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953f092d0545632c/Desktop/MIS Finance/DeGeorge/"/>
    </mc:Choice>
  </mc:AlternateContent>
  <xr:revisionPtr revIDLastSave="74" documentId="8_{9F5CBE94-48AB-4090-977B-2A271D904D8C}" xr6:coauthVersionLast="47" xr6:coauthVersionMax="47" xr10:uidLastSave="{0571E7E3-1AD8-4E81-9588-07FB712C241B}"/>
  <bookViews>
    <workbookView xWindow="3810" yWindow="1305" windowWidth="15375" windowHeight="14415" activeTab="6" xr2:uid="{555B496F-664A-4F83-B4C6-A6D8B124787A}"/>
  </bookViews>
  <sheets>
    <sheet name="Heinz-Kraft Merger" sheetId="4" r:id="rId1"/>
    <sheet name="Phase 2" sheetId="1" r:id="rId2"/>
    <sheet name="Phase 3" sheetId="2" r:id="rId3"/>
    <sheet name="Phase 4" sheetId="5" r:id="rId4"/>
    <sheet name="Phase 5 - 7" sheetId="6" r:id="rId5"/>
    <sheet name="Phase 8 - 9" sheetId="7" r:id="rId6"/>
    <sheet name="Projected I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8" l="1"/>
  <c r="G18" i="8"/>
  <c r="F18" i="8"/>
  <c r="E18" i="8"/>
  <c r="D18" i="8"/>
  <c r="C18" i="8"/>
  <c r="D24" i="8"/>
  <c r="E24" i="8"/>
  <c r="F24" i="8"/>
  <c r="G24" i="8"/>
  <c r="H24" i="8"/>
  <c r="C24" i="8"/>
  <c r="H21" i="8"/>
  <c r="G21" i="8"/>
  <c r="F21" i="8"/>
  <c r="E21" i="8"/>
  <c r="D21" i="8"/>
  <c r="C21" i="8"/>
  <c r="H20" i="8"/>
  <c r="G20" i="8"/>
  <c r="F20" i="8"/>
  <c r="E20" i="8"/>
  <c r="D20" i="8"/>
  <c r="C20" i="8"/>
  <c r="D26" i="8"/>
  <c r="E26" i="8"/>
  <c r="F26" i="8"/>
  <c r="G26" i="8"/>
  <c r="H26" i="8"/>
  <c r="D27" i="8"/>
  <c r="E27" i="8"/>
  <c r="F27" i="8"/>
  <c r="G27" i="8"/>
  <c r="H27" i="8"/>
  <c r="C27" i="8"/>
  <c r="C26" i="8"/>
  <c r="H19" i="8"/>
  <c r="G19" i="8"/>
  <c r="F19" i="8"/>
  <c r="E19" i="8"/>
  <c r="D19" i="8"/>
  <c r="C19" i="8"/>
  <c r="D25" i="8"/>
  <c r="E25" i="8"/>
  <c r="F25" i="8"/>
  <c r="G25" i="8"/>
  <c r="H25" i="8"/>
  <c r="C25" i="8"/>
  <c r="B21" i="8"/>
  <c r="B20" i="8"/>
  <c r="B19" i="8"/>
  <c r="B444" i="7"/>
  <c r="B445" i="7"/>
  <c r="B446" i="7" s="1"/>
  <c r="R78" i="7"/>
  <c r="E14" i="8"/>
  <c r="F14" i="8" s="1"/>
  <c r="G14" i="8" s="1"/>
  <c r="H14" i="8" s="1"/>
  <c r="D14" i="8"/>
  <c r="C14" i="8"/>
  <c r="J13" i="8"/>
  <c r="E13" i="8"/>
  <c r="E15" i="8" s="1"/>
  <c r="D13" i="8"/>
  <c r="D15" i="8" s="1"/>
  <c r="C13" i="8"/>
  <c r="C15" i="8" s="1"/>
  <c r="E12" i="8"/>
  <c r="F12" i="8" s="1"/>
  <c r="G12" i="8" s="1"/>
  <c r="H12" i="8" s="1"/>
  <c r="D12" i="8"/>
  <c r="C12" i="8"/>
  <c r="E11" i="8"/>
  <c r="F11" i="8" s="1"/>
  <c r="G11" i="8" s="1"/>
  <c r="H11" i="8" s="1"/>
  <c r="D11" i="8"/>
  <c r="C11" i="8"/>
  <c r="J10" i="8"/>
  <c r="G10" i="8" s="1"/>
  <c r="E9" i="8"/>
  <c r="D9" i="8"/>
  <c r="C9" i="8"/>
  <c r="J8" i="8"/>
  <c r="G8" i="8" s="1"/>
  <c r="E5" i="8"/>
  <c r="E7" i="8" s="1"/>
  <c r="D5" i="8"/>
  <c r="D7" i="8" s="1"/>
  <c r="C5" i="8"/>
  <c r="C7" i="8" s="1"/>
  <c r="E6" i="8"/>
  <c r="D6" i="8"/>
  <c r="C6" i="8"/>
  <c r="D15" i="7"/>
  <c r="B63" i="7"/>
  <c r="E63" i="7"/>
  <c r="C63" i="7"/>
  <c r="D63" i="7"/>
  <c r="F63" i="7"/>
  <c r="G63" i="7"/>
  <c r="C71" i="7"/>
  <c r="D71" i="7"/>
  <c r="E71" i="7"/>
  <c r="F71" i="7"/>
  <c r="G71" i="7"/>
  <c r="B71" i="7"/>
  <c r="G61" i="7"/>
  <c r="B61" i="7"/>
  <c r="C61" i="7"/>
  <c r="D61" i="7"/>
  <c r="E61" i="7"/>
  <c r="F61" i="7"/>
  <c r="D70" i="7"/>
  <c r="E70" i="7"/>
  <c r="F70" i="7"/>
  <c r="G70" i="7"/>
  <c r="B70" i="7"/>
  <c r="C60" i="7"/>
  <c r="D60" i="7"/>
  <c r="E60" i="7"/>
  <c r="F60" i="7"/>
  <c r="G60" i="7"/>
  <c r="B60" i="7"/>
  <c r="C449" i="7" a="1"/>
  <c r="C449" i="7" s="1"/>
  <c r="C128" i="6"/>
  <c r="D128" i="6"/>
  <c r="E128" i="6"/>
  <c r="F128" i="6"/>
  <c r="G128" i="6"/>
  <c r="B128" i="6"/>
  <c r="B111" i="6"/>
  <c r="E112" i="6"/>
  <c r="E113" i="6"/>
  <c r="C70" i="7"/>
  <c r="B318" i="7"/>
  <c r="B115" i="6"/>
  <c r="B424" i="7"/>
  <c r="D424" i="7" s="1"/>
  <c r="R207" i="7"/>
  <c r="R98" i="7"/>
  <c r="T98" i="7"/>
  <c r="U98" i="7"/>
  <c r="V98" i="7"/>
  <c r="W98" i="7"/>
  <c r="X98" i="7"/>
  <c r="R99" i="7"/>
  <c r="T99" i="7"/>
  <c r="U99" i="7"/>
  <c r="V99" i="7"/>
  <c r="W99" i="7"/>
  <c r="X99" i="7"/>
  <c r="R100" i="7"/>
  <c r="T100" i="7"/>
  <c r="U100" i="7"/>
  <c r="V100" i="7"/>
  <c r="W100" i="7"/>
  <c r="X100" i="7"/>
  <c r="H10" i="8" l="1"/>
  <c r="F5" i="8"/>
  <c r="F13" i="8"/>
  <c r="F8" i="8"/>
  <c r="F7" i="8" s="1"/>
  <c r="H8" i="8"/>
  <c r="S99" i="7"/>
  <c r="S98" i="7"/>
  <c r="S100" i="7"/>
  <c r="G13" i="8" l="1"/>
  <c r="F15" i="8"/>
  <c r="G5" i="8"/>
  <c r="F9" i="8"/>
  <c r="C403" i="7"/>
  <c r="D403" i="7"/>
  <c r="E403" i="7"/>
  <c r="F403" i="7"/>
  <c r="G403" i="7"/>
  <c r="B403" i="7"/>
  <c r="C385" i="7"/>
  <c r="D385" i="7"/>
  <c r="E385" i="7"/>
  <c r="F385" i="7"/>
  <c r="G385" i="7"/>
  <c r="B385" i="7"/>
  <c r="C382" i="7"/>
  <c r="D382" i="7"/>
  <c r="E382" i="7"/>
  <c r="F382" i="7"/>
  <c r="G382" i="7"/>
  <c r="B382" i="7"/>
  <c r="C441" i="7" s="1"/>
  <c r="C67" i="7"/>
  <c r="D67" i="7"/>
  <c r="E67" i="7"/>
  <c r="F67" i="7"/>
  <c r="G67" i="7"/>
  <c r="B67" i="7"/>
  <c r="C66" i="7"/>
  <c r="D66" i="7"/>
  <c r="E66" i="7"/>
  <c r="F66" i="7"/>
  <c r="G66" i="7"/>
  <c r="B66" i="7"/>
  <c r="C87" i="7"/>
  <c r="E87" i="7"/>
  <c r="F87" i="7"/>
  <c r="B75" i="7"/>
  <c r="C75" i="7"/>
  <c r="D75" i="7"/>
  <c r="E75" i="7"/>
  <c r="E94" i="7" s="1"/>
  <c r="F75" i="7"/>
  <c r="F94" i="7" s="1"/>
  <c r="G75" i="7"/>
  <c r="G520" i="7"/>
  <c r="F520" i="7"/>
  <c r="E520" i="7"/>
  <c r="D520" i="7"/>
  <c r="C520" i="7"/>
  <c r="B520" i="7"/>
  <c r="G519" i="7"/>
  <c r="F519" i="7"/>
  <c r="E519" i="7"/>
  <c r="D519" i="7"/>
  <c r="C519" i="7"/>
  <c r="B519" i="7"/>
  <c r="X518" i="7"/>
  <c r="W518" i="7"/>
  <c r="V518" i="7"/>
  <c r="U518" i="7"/>
  <c r="T518" i="7"/>
  <c r="R518" i="7"/>
  <c r="G516" i="7"/>
  <c r="G34" i="7" s="1"/>
  <c r="F516" i="7"/>
  <c r="E516" i="7"/>
  <c r="E34" i="7" s="1"/>
  <c r="D516" i="7"/>
  <c r="D34" i="7" s="1"/>
  <c r="D289" i="7" s="1"/>
  <c r="C516" i="7"/>
  <c r="C34" i="7" s="1"/>
  <c r="C54" i="7" s="1"/>
  <c r="B516" i="7"/>
  <c r="B34" i="7" s="1"/>
  <c r="X515" i="7"/>
  <c r="W515" i="7"/>
  <c r="V515" i="7"/>
  <c r="U515" i="7"/>
  <c r="T515" i="7"/>
  <c r="R515" i="7"/>
  <c r="X514" i="7"/>
  <c r="W514" i="7"/>
  <c r="V514" i="7"/>
  <c r="U514" i="7"/>
  <c r="T514" i="7"/>
  <c r="R514" i="7"/>
  <c r="X513" i="7"/>
  <c r="W513" i="7"/>
  <c r="V513" i="7"/>
  <c r="U513" i="7"/>
  <c r="T513" i="7"/>
  <c r="R513" i="7"/>
  <c r="X512" i="7"/>
  <c r="W512" i="7"/>
  <c r="V512" i="7"/>
  <c r="U512" i="7"/>
  <c r="T512" i="7"/>
  <c r="R512" i="7"/>
  <c r="X511" i="7"/>
  <c r="W511" i="7"/>
  <c r="V511" i="7"/>
  <c r="U511" i="7"/>
  <c r="T511" i="7"/>
  <c r="R511" i="7"/>
  <c r="X510" i="7"/>
  <c r="W510" i="7"/>
  <c r="V510" i="7"/>
  <c r="U510" i="7"/>
  <c r="T510" i="7"/>
  <c r="R510" i="7"/>
  <c r="G507" i="7"/>
  <c r="G508" i="7" s="1"/>
  <c r="G31" i="7" s="1"/>
  <c r="F507" i="7"/>
  <c r="F508" i="7" s="1"/>
  <c r="F31" i="7" s="1"/>
  <c r="E507" i="7"/>
  <c r="E508" i="7" s="1"/>
  <c r="E31" i="7" s="1"/>
  <c r="D507" i="7"/>
  <c r="D508" i="7" s="1"/>
  <c r="D31" i="7" s="1"/>
  <c r="C507" i="7"/>
  <c r="C508" i="7" s="1"/>
  <c r="C31" i="7" s="1"/>
  <c r="B507" i="7"/>
  <c r="B508" i="7" s="1"/>
  <c r="B31" i="7" s="1"/>
  <c r="X506" i="7"/>
  <c r="W506" i="7"/>
  <c r="V506" i="7"/>
  <c r="U506" i="7"/>
  <c r="T506" i="7"/>
  <c r="R506" i="7"/>
  <c r="X505" i="7"/>
  <c r="W505" i="7"/>
  <c r="V505" i="7"/>
  <c r="U505" i="7"/>
  <c r="T505" i="7"/>
  <c r="R505" i="7"/>
  <c r="X504" i="7"/>
  <c r="W504" i="7"/>
  <c r="V504" i="7"/>
  <c r="U504" i="7"/>
  <c r="T504" i="7"/>
  <c r="R504" i="7"/>
  <c r="X503" i="7"/>
  <c r="W503" i="7"/>
  <c r="V503" i="7"/>
  <c r="U503" i="7"/>
  <c r="T503" i="7"/>
  <c r="R503" i="7"/>
  <c r="G500" i="7"/>
  <c r="G501" i="7" s="1"/>
  <c r="G27" i="7" s="1"/>
  <c r="F500" i="7"/>
  <c r="F501" i="7" s="1"/>
  <c r="F27" i="7" s="1"/>
  <c r="E500" i="7"/>
  <c r="E501" i="7" s="1"/>
  <c r="E27" i="7" s="1"/>
  <c r="D500" i="7"/>
  <c r="D501" i="7" s="1"/>
  <c r="D27" i="7" s="1"/>
  <c r="C500" i="7"/>
  <c r="C501" i="7" s="1"/>
  <c r="C27" i="7" s="1"/>
  <c r="B500" i="7"/>
  <c r="B501" i="7" s="1"/>
  <c r="B27" i="7" s="1"/>
  <c r="X499" i="7"/>
  <c r="W499" i="7"/>
  <c r="V499" i="7"/>
  <c r="U499" i="7"/>
  <c r="T499" i="7"/>
  <c r="R499" i="7"/>
  <c r="X498" i="7"/>
  <c r="W498" i="7"/>
  <c r="V498" i="7"/>
  <c r="U498" i="7"/>
  <c r="T498" i="7"/>
  <c r="S498" i="7" s="1"/>
  <c r="R498" i="7"/>
  <c r="X497" i="7"/>
  <c r="W497" i="7"/>
  <c r="V497" i="7"/>
  <c r="U497" i="7"/>
  <c r="T497" i="7"/>
  <c r="R497" i="7"/>
  <c r="X496" i="7"/>
  <c r="W496" i="7"/>
  <c r="V496" i="7"/>
  <c r="U496" i="7"/>
  <c r="T496" i="7"/>
  <c r="R496" i="7"/>
  <c r="X495" i="7"/>
  <c r="W495" i="7"/>
  <c r="V495" i="7"/>
  <c r="U495" i="7"/>
  <c r="T495" i="7"/>
  <c r="R495" i="7"/>
  <c r="G493" i="7"/>
  <c r="G23" i="7" s="1"/>
  <c r="G286" i="7" s="1"/>
  <c r="G384" i="7" s="1"/>
  <c r="F493" i="7"/>
  <c r="F23" i="7" s="1"/>
  <c r="F286" i="7" s="1"/>
  <c r="F384" i="7" s="1"/>
  <c r="E493" i="7"/>
  <c r="E23" i="7" s="1"/>
  <c r="D493" i="7"/>
  <c r="D23" i="7" s="1"/>
  <c r="C493" i="7"/>
  <c r="C23" i="7" s="1"/>
  <c r="C286" i="7" s="1"/>
  <c r="C384" i="7" s="1"/>
  <c r="B493" i="7"/>
  <c r="B23" i="7" s="1"/>
  <c r="B286" i="7" s="1"/>
  <c r="X492" i="7"/>
  <c r="W492" i="7"/>
  <c r="V492" i="7"/>
  <c r="U492" i="7"/>
  <c r="T492" i="7"/>
  <c r="R492" i="7"/>
  <c r="X491" i="7"/>
  <c r="W491" i="7"/>
  <c r="V491" i="7"/>
  <c r="U491" i="7"/>
  <c r="T491" i="7"/>
  <c r="R491" i="7"/>
  <c r="G488" i="7"/>
  <c r="G489" i="7" s="1"/>
  <c r="G20" i="7" s="1"/>
  <c r="F488" i="7"/>
  <c r="F489" i="7" s="1"/>
  <c r="F20" i="7" s="1"/>
  <c r="E488" i="7"/>
  <c r="E489" i="7" s="1"/>
  <c r="E20" i="7" s="1"/>
  <c r="D488" i="7"/>
  <c r="D489" i="7" s="1"/>
  <c r="D20" i="7" s="1"/>
  <c r="C488" i="7"/>
  <c r="C489" i="7" s="1"/>
  <c r="C20" i="7" s="1"/>
  <c r="B488" i="7"/>
  <c r="B489" i="7" s="1"/>
  <c r="B20" i="7" s="1"/>
  <c r="G485" i="7"/>
  <c r="G19" i="7" s="1"/>
  <c r="F485" i="7"/>
  <c r="F19" i="7" s="1"/>
  <c r="E485" i="7"/>
  <c r="E19" i="7" s="1"/>
  <c r="D485" i="7"/>
  <c r="D19" i="7" s="1"/>
  <c r="C485" i="7"/>
  <c r="C19" i="7" s="1"/>
  <c r="B485" i="7"/>
  <c r="B19" i="7" s="1"/>
  <c r="X484" i="7"/>
  <c r="W484" i="7"/>
  <c r="V484" i="7"/>
  <c r="U484" i="7"/>
  <c r="T484" i="7"/>
  <c r="R484" i="7"/>
  <c r="X483" i="7"/>
  <c r="W483" i="7"/>
  <c r="V483" i="7"/>
  <c r="U483" i="7"/>
  <c r="T483" i="7"/>
  <c r="R483" i="7"/>
  <c r="G481" i="7"/>
  <c r="G10" i="7" s="1"/>
  <c r="G11" i="7" s="1"/>
  <c r="F481" i="7"/>
  <c r="F10" i="7" s="1"/>
  <c r="E481" i="7"/>
  <c r="E10" i="7" s="1"/>
  <c r="D481" i="7"/>
  <c r="D10" i="7" s="1"/>
  <c r="C481" i="7"/>
  <c r="C10" i="7" s="1"/>
  <c r="B481" i="7"/>
  <c r="B10" i="7" s="1"/>
  <c r="B11" i="7" s="1"/>
  <c r="X480" i="7"/>
  <c r="W480" i="7"/>
  <c r="V480" i="7"/>
  <c r="U480" i="7"/>
  <c r="T480" i="7"/>
  <c r="R480" i="7"/>
  <c r="X479" i="7"/>
  <c r="W479" i="7"/>
  <c r="V479" i="7"/>
  <c r="U479" i="7"/>
  <c r="T479" i="7"/>
  <c r="R479" i="7"/>
  <c r="X478" i="7"/>
  <c r="W478" i="7"/>
  <c r="V478" i="7"/>
  <c r="U478" i="7"/>
  <c r="T478" i="7"/>
  <c r="R478" i="7"/>
  <c r="X477" i="7"/>
  <c r="W477" i="7"/>
  <c r="V477" i="7"/>
  <c r="U477" i="7"/>
  <c r="T477" i="7"/>
  <c r="S477" i="7" s="1"/>
  <c r="R477" i="7"/>
  <c r="A476" i="7"/>
  <c r="A475" i="7"/>
  <c r="B473" i="7"/>
  <c r="A473" i="7"/>
  <c r="G465" i="7"/>
  <c r="G463" i="7" s="1"/>
  <c r="G462" i="7" s="1"/>
  <c r="G14" i="7" s="1"/>
  <c r="F465" i="7"/>
  <c r="F463" i="7" s="1"/>
  <c r="F462" i="7" s="1"/>
  <c r="F14" i="7" s="1"/>
  <c r="E465" i="7"/>
  <c r="E463" i="7" s="1"/>
  <c r="E462" i="7" s="1"/>
  <c r="E14" i="7" s="1"/>
  <c r="D463" i="7"/>
  <c r="D462" i="7" s="1"/>
  <c r="D14" i="7" s="1"/>
  <c r="C465" i="7"/>
  <c r="C463" i="7" s="1"/>
  <c r="C462" i="7" s="1"/>
  <c r="C14" i="7" s="1"/>
  <c r="B465" i="7"/>
  <c r="B463" i="7" s="1"/>
  <c r="B462" i="7" s="1"/>
  <c r="B14" i="7" s="1"/>
  <c r="A456" i="7"/>
  <c r="A455" i="7"/>
  <c r="B453" i="7"/>
  <c r="A453" i="7"/>
  <c r="A415" i="7" s="1"/>
  <c r="G318" i="7"/>
  <c r="F318" i="7"/>
  <c r="E318" i="7"/>
  <c r="D318" i="7"/>
  <c r="C318" i="7"/>
  <c r="G232" i="7"/>
  <c r="F232" i="7"/>
  <c r="X232" i="7" s="1"/>
  <c r="E232" i="7"/>
  <c r="D232" i="7"/>
  <c r="V232" i="7" s="1"/>
  <c r="C232" i="7"/>
  <c r="B232" i="7"/>
  <c r="G223" i="7"/>
  <c r="F223" i="7"/>
  <c r="E223" i="7"/>
  <c r="D223" i="7"/>
  <c r="C223" i="7"/>
  <c r="B223" i="7"/>
  <c r="G222" i="7"/>
  <c r="F222" i="7"/>
  <c r="E222" i="7"/>
  <c r="D222" i="7"/>
  <c r="C222" i="7"/>
  <c r="B222" i="7"/>
  <c r="G221" i="7"/>
  <c r="F221" i="7"/>
  <c r="E221" i="7"/>
  <c r="D221" i="7"/>
  <c r="C221" i="7"/>
  <c r="B221" i="7"/>
  <c r="G219" i="7"/>
  <c r="F219" i="7"/>
  <c r="E219" i="7"/>
  <c r="D219" i="7"/>
  <c r="C219" i="7"/>
  <c r="B219" i="7"/>
  <c r="G218" i="7"/>
  <c r="F218" i="7"/>
  <c r="E218" i="7"/>
  <c r="D218" i="7"/>
  <c r="C218" i="7"/>
  <c r="B218" i="7"/>
  <c r="G216" i="7"/>
  <c r="F216" i="7"/>
  <c r="E216" i="7"/>
  <c r="D216" i="7"/>
  <c r="V216" i="7" s="1"/>
  <c r="C216" i="7"/>
  <c r="B216" i="7"/>
  <c r="X203" i="7"/>
  <c r="H203" i="7"/>
  <c r="X201" i="7"/>
  <c r="W201" i="7"/>
  <c r="V201" i="7"/>
  <c r="U201" i="7"/>
  <c r="T201" i="7"/>
  <c r="R201" i="7"/>
  <c r="H201" i="7"/>
  <c r="X199" i="7"/>
  <c r="W199" i="7"/>
  <c r="V199" i="7"/>
  <c r="U199" i="7"/>
  <c r="T199" i="7"/>
  <c r="R199" i="7"/>
  <c r="H199" i="7"/>
  <c r="X198" i="7"/>
  <c r="W198" i="7"/>
  <c r="V198" i="7"/>
  <c r="U198" i="7"/>
  <c r="T198" i="7"/>
  <c r="R198" i="7"/>
  <c r="H198" i="7"/>
  <c r="G197" i="7"/>
  <c r="G200" i="7" s="1"/>
  <c r="F197" i="7"/>
  <c r="F220" i="7" s="1"/>
  <c r="E197" i="7"/>
  <c r="D197" i="7"/>
  <c r="D220" i="7" s="1"/>
  <c r="C197" i="7"/>
  <c r="C220" i="7" s="1"/>
  <c r="B197" i="7"/>
  <c r="B220" i="7" s="1"/>
  <c r="X196" i="7"/>
  <c r="W196" i="7"/>
  <c r="V196" i="7"/>
  <c r="U196" i="7"/>
  <c r="T196" i="7"/>
  <c r="S196" i="7" s="1"/>
  <c r="R196" i="7"/>
  <c r="H196" i="7"/>
  <c r="X195" i="7"/>
  <c r="W195" i="7"/>
  <c r="V195" i="7"/>
  <c r="U195" i="7"/>
  <c r="T195" i="7"/>
  <c r="S195" i="7" s="1"/>
  <c r="R195" i="7"/>
  <c r="H195" i="7"/>
  <c r="X194" i="7"/>
  <c r="W194" i="7"/>
  <c r="V194" i="7"/>
  <c r="U194" i="7"/>
  <c r="T194" i="7"/>
  <c r="S194" i="7" s="1"/>
  <c r="R194" i="7"/>
  <c r="H194" i="7"/>
  <c r="X193" i="7"/>
  <c r="W193" i="7"/>
  <c r="V193" i="7"/>
  <c r="U193" i="7"/>
  <c r="T193" i="7"/>
  <c r="S193" i="7" s="1"/>
  <c r="R193" i="7"/>
  <c r="H193" i="7"/>
  <c r="X192" i="7"/>
  <c r="W192" i="7"/>
  <c r="V192" i="7"/>
  <c r="U192" i="7"/>
  <c r="T192" i="7"/>
  <c r="R192" i="7"/>
  <c r="H192" i="7"/>
  <c r="X191" i="7"/>
  <c r="W191" i="7"/>
  <c r="V191" i="7"/>
  <c r="U191" i="7"/>
  <c r="T191" i="7"/>
  <c r="S191" i="7" s="1"/>
  <c r="R191" i="7"/>
  <c r="H191" i="7"/>
  <c r="X190" i="7"/>
  <c r="W190" i="7"/>
  <c r="V190" i="7"/>
  <c r="U190" i="7"/>
  <c r="T190" i="7"/>
  <c r="R190" i="7"/>
  <c r="H190" i="7"/>
  <c r="G188" i="7"/>
  <c r="F188" i="7"/>
  <c r="E188" i="7"/>
  <c r="D188" i="7"/>
  <c r="C188" i="7"/>
  <c r="B188" i="7"/>
  <c r="X187" i="7"/>
  <c r="W187" i="7"/>
  <c r="V187" i="7"/>
  <c r="U187" i="7"/>
  <c r="T187" i="7"/>
  <c r="R187" i="7"/>
  <c r="H187" i="7"/>
  <c r="X186" i="7"/>
  <c r="W186" i="7"/>
  <c r="V186" i="7"/>
  <c r="U186" i="7"/>
  <c r="T186" i="7"/>
  <c r="R186" i="7"/>
  <c r="H186" i="7"/>
  <c r="X185" i="7"/>
  <c r="W185" i="7"/>
  <c r="V185" i="7"/>
  <c r="U185" i="7"/>
  <c r="T185" i="7"/>
  <c r="R185" i="7"/>
  <c r="H185" i="7"/>
  <c r="X184" i="7"/>
  <c r="W184" i="7"/>
  <c r="V184" i="7"/>
  <c r="U184" i="7"/>
  <c r="T184" i="7"/>
  <c r="R184" i="7"/>
  <c r="H184" i="7"/>
  <c r="X183" i="7"/>
  <c r="W183" i="7"/>
  <c r="V183" i="7"/>
  <c r="U183" i="7"/>
  <c r="T183" i="7"/>
  <c r="S183" i="7" s="1"/>
  <c r="R183" i="7"/>
  <c r="H183" i="7"/>
  <c r="X182" i="7"/>
  <c r="W182" i="7"/>
  <c r="V182" i="7"/>
  <c r="U182" i="7"/>
  <c r="T182" i="7"/>
  <c r="R182" i="7"/>
  <c r="H182" i="7"/>
  <c r="G178" i="7"/>
  <c r="F178" i="7"/>
  <c r="E178" i="7"/>
  <c r="D178" i="7"/>
  <c r="C178" i="7"/>
  <c r="B178" i="7"/>
  <c r="G177" i="7"/>
  <c r="F177" i="7"/>
  <c r="E177" i="7"/>
  <c r="D177" i="7"/>
  <c r="C177" i="7"/>
  <c r="B177" i="7"/>
  <c r="G176" i="7"/>
  <c r="F176" i="7"/>
  <c r="E176" i="7"/>
  <c r="D176" i="7"/>
  <c r="C176" i="7"/>
  <c r="B176" i="7"/>
  <c r="G175" i="7"/>
  <c r="F175" i="7"/>
  <c r="E175" i="7"/>
  <c r="D175" i="7"/>
  <c r="C175" i="7"/>
  <c r="B175" i="7"/>
  <c r="G174" i="7"/>
  <c r="F174" i="7"/>
  <c r="E174" i="7"/>
  <c r="D174" i="7"/>
  <c r="C174" i="7"/>
  <c r="B174" i="7"/>
  <c r="X168" i="7"/>
  <c r="W168" i="7"/>
  <c r="V168" i="7"/>
  <c r="U168" i="7"/>
  <c r="T168" i="7"/>
  <c r="R168" i="7"/>
  <c r="H168" i="7"/>
  <c r="X167" i="7"/>
  <c r="W167" i="7"/>
  <c r="V167" i="7"/>
  <c r="U167" i="7"/>
  <c r="T167" i="7"/>
  <c r="R167" i="7"/>
  <c r="H167" i="7"/>
  <c r="X166" i="7"/>
  <c r="W166" i="7"/>
  <c r="V166" i="7"/>
  <c r="U166" i="7"/>
  <c r="T166" i="7"/>
  <c r="R166" i="7"/>
  <c r="H166" i="7"/>
  <c r="X165" i="7"/>
  <c r="W165" i="7"/>
  <c r="V165" i="7"/>
  <c r="U165" i="7"/>
  <c r="T165" i="7"/>
  <c r="R165" i="7"/>
  <c r="H165" i="7"/>
  <c r="X164" i="7"/>
  <c r="W164" i="7"/>
  <c r="V164" i="7"/>
  <c r="U164" i="7"/>
  <c r="T164" i="7"/>
  <c r="R164" i="7"/>
  <c r="H164" i="7"/>
  <c r="X163" i="7"/>
  <c r="W163" i="7"/>
  <c r="V163" i="7"/>
  <c r="U163" i="7"/>
  <c r="T163" i="7"/>
  <c r="S163" i="7" s="1"/>
  <c r="R163" i="7"/>
  <c r="X161" i="7"/>
  <c r="W161" i="7"/>
  <c r="V161" i="7"/>
  <c r="U161" i="7"/>
  <c r="T161" i="7"/>
  <c r="R161" i="7"/>
  <c r="H161" i="7"/>
  <c r="X160" i="7"/>
  <c r="W160" i="7"/>
  <c r="V160" i="7"/>
  <c r="U160" i="7"/>
  <c r="T160" i="7"/>
  <c r="R160" i="7"/>
  <c r="H160" i="7"/>
  <c r="X159" i="7"/>
  <c r="W159" i="7"/>
  <c r="V159" i="7"/>
  <c r="U159" i="7"/>
  <c r="T159" i="7"/>
  <c r="R159" i="7"/>
  <c r="H159" i="7"/>
  <c r="X158" i="7"/>
  <c r="W158" i="7"/>
  <c r="V158" i="7"/>
  <c r="U158" i="7"/>
  <c r="T158" i="7"/>
  <c r="R158" i="7"/>
  <c r="H158" i="7"/>
  <c r="X157" i="7"/>
  <c r="W157" i="7"/>
  <c r="V157" i="7"/>
  <c r="U157" i="7"/>
  <c r="T157" i="7"/>
  <c r="S157" i="7" s="1"/>
  <c r="R157" i="7"/>
  <c r="H157" i="7"/>
  <c r="X156" i="7"/>
  <c r="W156" i="7"/>
  <c r="V156" i="7"/>
  <c r="U156" i="7"/>
  <c r="T156" i="7"/>
  <c r="R156" i="7"/>
  <c r="H156" i="7"/>
  <c r="X155" i="7"/>
  <c r="W155" i="7"/>
  <c r="V155" i="7"/>
  <c r="U155" i="7"/>
  <c r="T155" i="7"/>
  <c r="R155" i="7"/>
  <c r="H155" i="7"/>
  <c r="X154" i="7"/>
  <c r="W154" i="7"/>
  <c r="V154" i="7"/>
  <c r="U154" i="7"/>
  <c r="T154" i="7"/>
  <c r="R154" i="7"/>
  <c r="H154" i="7"/>
  <c r="X153" i="7"/>
  <c r="W153" i="7"/>
  <c r="V153" i="7"/>
  <c r="U153" i="7"/>
  <c r="T153" i="7"/>
  <c r="R153" i="7"/>
  <c r="H153" i="7"/>
  <c r="X152" i="7"/>
  <c r="W152" i="7"/>
  <c r="V152" i="7"/>
  <c r="U152" i="7"/>
  <c r="T152" i="7"/>
  <c r="R152" i="7"/>
  <c r="H152" i="7"/>
  <c r="X151" i="7"/>
  <c r="W151" i="7"/>
  <c r="V151" i="7"/>
  <c r="U151" i="7"/>
  <c r="T151" i="7"/>
  <c r="R151" i="7"/>
  <c r="H151" i="7"/>
  <c r="X150" i="7"/>
  <c r="W150" i="7"/>
  <c r="V150" i="7"/>
  <c r="U150" i="7"/>
  <c r="T150" i="7"/>
  <c r="R150" i="7"/>
  <c r="H150" i="7"/>
  <c r="G149" i="7"/>
  <c r="G162" i="7" s="1"/>
  <c r="F149" i="7"/>
  <c r="F162" i="7" s="1"/>
  <c r="E149" i="7"/>
  <c r="E162" i="7" s="1"/>
  <c r="E169" i="7" s="1"/>
  <c r="D149" i="7"/>
  <c r="D162" i="7" s="1"/>
  <c r="D169" i="7" s="1"/>
  <c r="C149" i="7"/>
  <c r="C162" i="7" s="1"/>
  <c r="B149" i="7"/>
  <c r="B162" i="7" s="1"/>
  <c r="A148" i="7"/>
  <c r="A147" i="7"/>
  <c r="B145" i="7"/>
  <c r="A145" i="7"/>
  <c r="G89" i="7"/>
  <c r="F89" i="7"/>
  <c r="E89" i="7"/>
  <c r="D89" i="7"/>
  <c r="C89" i="7"/>
  <c r="U89" i="7" s="1"/>
  <c r="B89" i="7"/>
  <c r="X80" i="7"/>
  <c r="W80" i="7"/>
  <c r="V80" i="7"/>
  <c r="U80" i="7"/>
  <c r="T80" i="7"/>
  <c r="R80" i="7"/>
  <c r="X78" i="7"/>
  <c r="W78" i="7"/>
  <c r="V78" i="7"/>
  <c r="U78" i="7"/>
  <c r="T78" i="7"/>
  <c r="A59" i="7"/>
  <c r="A58" i="7"/>
  <c r="B56" i="7"/>
  <c r="R56" i="7" s="1"/>
  <c r="A56" i="7"/>
  <c r="H53" i="7"/>
  <c r="H50" i="7"/>
  <c r="H48" i="7"/>
  <c r="G47" i="7"/>
  <c r="G49" i="7" s="1"/>
  <c r="F47" i="7"/>
  <c r="F49" i="7" s="1"/>
  <c r="E47" i="7"/>
  <c r="E49" i="7" s="1"/>
  <c r="D47" i="7"/>
  <c r="D49" i="7" s="1"/>
  <c r="C47" i="7"/>
  <c r="C49" i="7" s="1"/>
  <c r="B47" i="7"/>
  <c r="A46" i="7"/>
  <c r="A45" i="7"/>
  <c r="A43" i="7"/>
  <c r="G39" i="7"/>
  <c r="G41" i="7" s="1"/>
  <c r="G303" i="7" s="1"/>
  <c r="F39" i="7"/>
  <c r="F41" i="7" s="1"/>
  <c r="F303" i="7" s="1"/>
  <c r="E39" i="7"/>
  <c r="E41" i="7" s="1"/>
  <c r="E303" i="7" s="1"/>
  <c r="D39" i="7"/>
  <c r="D41" i="7" s="1"/>
  <c r="D303" i="7" s="1"/>
  <c r="C39" i="7"/>
  <c r="C41" i="7" s="1"/>
  <c r="C303" i="7" s="1"/>
  <c r="B39" i="7"/>
  <c r="B41" i="7" s="1"/>
  <c r="B303" i="7" s="1"/>
  <c r="X33" i="7"/>
  <c r="W33" i="7"/>
  <c r="V33" i="7"/>
  <c r="U33" i="7"/>
  <c r="T33" i="7"/>
  <c r="R33" i="7"/>
  <c r="G30" i="7"/>
  <c r="F30" i="7"/>
  <c r="E30" i="7"/>
  <c r="D30" i="7"/>
  <c r="C30" i="7"/>
  <c r="B30" i="7"/>
  <c r="X29" i="7"/>
  <c r="W29" i="7"/>
  <c r="V29" i="7"/>
  <c r="U29" i="7"/>
  <c r="T29" i="7"/>
  <c r="R29" i="7"/>
  <c r="G26" i="7"/>
  <c r="F26" i="7"/>
  <c r="E26" i="7"/>
  <c r="D26" i="7"/>
  <c r="C26" i="7"/>
  <c r="B26" i="7"/>
  <c r="X25" i="7"/>
  <c r="W25" i="7"/>
  <c r="V25" i="7"/>
  <c r="U25" i="7"/>
  <c r="T25" i="7"/>
  <c r="S25" i="7" s="1"/>
  <c r="R25" i="7"/>
  <c r="X24" i="7"/>
  <c r="W24" i="7"/>
  <c r="V24" i="7"/>
  <c r="U24" i="7"/>
  <c r="T24" i="7"/>
  <c r="R24" i="7"/>
  <c r="G18" i="7"/>
  <c r="F18" i="7"/>
  <c r="E18" i="7"/>
  <c r="D18" i="7"/>
  <c r="C18" i="7"/>
  <c r="B18" i="7"/>
  <c r="X17" i="7"/>
  <c r="W17" i="7"/>
  <c r="V17" i="7"/>
  <c r="U17" i="7"/>
  <c r="T17" i="7"/>
  <c r="R17" i="7"/>
  <c r="G16" i="7"/>
  <c r="G234" i="7" s="1"/>
  <c r="F16" i="7"/>
  <c r="F234" i="7" s="1"/>
  <c r="E16" i="7"/>
  <c r="E234" i="7" s="1"/>
  <c r="W234" i="7" s="1"/>
  <c r="D16" i="7"/>
  <c r="D234" i="7" s="1"/>
  <c r="C16" i="7"/>
  <c r="C234" i="7" s="1"/>
  <c r="B16" i="7"/>
  <c r="B234" i="7" s="1"/>
  <c r="G13" i="7"/>
  <c r="F13" i="7"/>
  <c r="E13" i="7"/>
  <c r="D13" i="7"/>
  <c r="C13" i="7"/>
  <c r="B13" i="7"/>
  <c r="G12" i="7"/>
  <c r="F12" i="7"/>
  <c r="E12" i="7"/>
  <c r="D12" i="7"/>
  <c r="C12" i="7"/>
  <c r="B12" i="7"/>
  <c r="X9" i="7"/>
  <c r="W9" i="7"/>
  <c r="V9" i="7"/>
  <c r="U9" i="7"/>
  <c r="T9" i="7"/>
  <c r="R9" i="7"/>
  <c r="X8" i="7"/>
  <c r="W8" i="7"/>
  <c r="V8" i="7"/>
  <c r="U8" i="7"/>
  <c r="T8" i="7"/>
  <c r="R8" i="7"/>
  <c r="X6" i="7"/>
  <c r="W6" i="7"/>
  <c r="V6" i="7"/>
  <c r="U6" i="7"/>
  <c r="T6" i="7"/>
  <c r="R6" i="7"/>
  <c r="R1" i="7"/>
  <c r="J1" i="7"/>
  <c r="K71" i="6"/>
  <c r="L71" i="6"/>
  <c r="M71" i="6"/>
  <c r="N71" i="6"/>
  <c r="O71" i="6"/>
  <c r="J71" i="6"/>
  <c r="B114" i="6"/>
  <c r="H5" i="8" l="1"/>
  <c r="G9" i="8"/>
  <c r="G7" i="8"/>
  <c r="H13" i="8"/>
  <c r="H15" i="8" s="1"/>
  <c r="G15" i="8"/>
  <c r="T234" i="7"/>
  <c r="W232" i="7"/>
  <c r="W216" i="7"/>
  <c r="T216" i="7"/>
  <c r="T232" i="7"/>
  <c r="C267" i="7"/>
  <c r="C271" i="7" s="1"/>
  <c r="G275" i="7"/>
  <c r="F252" i="7"/>
  <c r="F256" i="7" s="1"/>
  <c r="E372" i="7"/>
  <c r="B94" i="7"/>
  <c r="B87" i="7"/>
  <c r="T87" i="7" s="1"/>
  <c r="R89" i="7"/>
  <c r="X223" i="7"/>
  <c r="W87" i="7"/>
  <c r="D264" i="7"/>
  <c r="C253" i="7"/>
  <c r="C257" i="7" s="1"/>
  <c r="G172" i="7"/>
  <c r="F276" i="7"/>
  <c r="E276" i="7"/>
  <c r="U234" i="7"/>
  <c r="D441" i="7"/>
  <c r="B441" i="7"/>
  <c r="R223" i="7"/>
  <c r="X216" i="7"/>
  <c r="U220" i="7"/>
  <c r="V223" i="7"/>
  <c r="X89" i="7"/>
  <c r="T220" i="7"/>
  <c r="U223" i="7"/>
  <c r="W223" i="7"/>
  <c r="W94" i="7"/>
  <c r="V234" i="7"/>
  <c r="U216" i="7"/>
  <c r="U232" i="7"/>
  <c r="X234" i="7"/>
  <c r="T89" i="7"/>
  <c r="V89" i="7"/>
  <c r="R216" i="7"/>
  <c r="R232" i="7"/>
  <c r="R234" i="7"/>
  <c r="W89" i="7"/>
  <c r="T223" i="7"/>
  <c r="D404" i="7"/>
  <c r="E404" i="7"/>
  <c r="G404" i="7"/>
  <c r="B390" i="7"/>
  <c r="B394" i="7" s="1"/>
  <c r="C404" i="7"/>
  <c r="D390" i="7"/>
  <c r="D394" i="7" s="1"/>
  <c r="B404" i="7"/>
  <c r="F404" i="7"/>
  <c r="E390" i="7"/>
  <c r="E394" i="7" s="1"/>
  <c r="G390" i="7"/>
  <c r="G394" i="7" s="1"/>
  <c r="D381" i="7"/>
  <c r="D383" i="7" s="1"/>
  <c r="C381" i="7"/>
  <c r="C383" i="7" s="1"/>
  <c r="C390" i="7"/>
  <c r="C394" i="7" s="1"/>
  <c r="U75" i="7"/>
  <c r="B381" i="7"/>
  <c r="B383" i="7" s="1"/>
  <c r="G381" i="7"/>
  <c r="G383" i="7" s="1"/>
  <c r="G412" i="7" s="1"/>
  <c r="F381" i="7"/>
  <c r="F383" i="7" s="1"/>
  <c r="E381" i="7"/>
  <c r="E383" i="7" s="1"/>
  <c r="E396" i="7" s="1"/>
  <c r="E211" i="7"/>
  <c r="E263" i="7"/>
  <c r="C15" i="7"/>
  <c r="C233" i="7" s="1"/>
  <c r="G171" i="7"/>
  <c r="T66" i="7"/>
  <c r="G252" i="7"/>
  <c r="G256" i="7" s="1"/>
  <c r="O60" i="7"/>
  <c r="R75" i="7"/>
  <c r="G263" i="7"/>
  <c r="G267" i="7"/>
  <c r="G271" i="7" s="1"/>
  <c r="G211" i="7"/>
  <c r="G372" i="7"/>
  <c r="O518" i="7"/>
  <c r="O70" i="7"/>
  <c r="U20" i="7"/>
  <c r="M519" i="7"/>
  <c r="C94" i="7"/>
  <c r="R31" i="7"/>
  <c r="G15" i="7"/>
  <c r="G233" i="7" s="1"/>
  <c r="U13" i="7"/>
  <c r="G276" i="7"/>
  <c r="M75" i="7"/>
  <c r="C268" i="7"/>
  <c r="C272" i="7" s="1"/>
  <c r="E275" i="7"/>
  <c r="X516" i="7"/>
  <c r="E171" i="7"/>
  <c r="E252" i="7"/>
  <c r="E256" i="7" s="1"/>
  <c r="C278" i="7"/>
  <c r="M518" i="7"/>
  <c r="D233" i="7"/>
  <c r="M60" i="7"/>
  <c r="C172" i="7"/>
  <c r="S186" i="7"/>
  <c r="U520" i="7"/>
  <c r="W60" i="7"/>
  <c r="E267" i="7"/>
  <c r="E271" i="7" s="1"/>
  <c r="T12" i="7"/>
  <c r="E15" i="7"/>
  <c r="E233" i="7" s="1"/>
  <c r="V75" i="7"/>
  <c r="S484" i="7"/>
  <c r="X20" i="7"/>
  <c r="X61" i="7"/>
  <c r="S8" i="7"/>
  <c r="V70" i="7"/>
  <c r="R67" i="7"/>
  <c r="G278" i="7"/>
  <c r="X10" i="7"/>
  <c r="X13" i="7"/>
  <c r="V10" i="7"/>
  <c r="G264" i="7"/>
  <c r="U12" i="7"/>
  <c r="O61" i="7"/>
  <c r="R20" i="7"/>
  <c r="T520" i="7"/>
  <c r="W66" i="7"/>
  <c r="F15" i="7"/>
  <c r="F233" i="7" s="1"/>
  <c r="U70" i="7"/>
  <c r="N520" i="7"/>
  <c r="W12" i="7"/>
  <c r="D172" i="7"/>
  <c r="S184" i="7"/>
  <c r="W516" i="7"/>
  <c r="U61" i="7"/>
  <c r="S166" i="7"/>
  <c r="S511" i="7"/>
  <c r="X519" i="7"/>
  <c r="W14" i="7"/>
  <c r="V188" i="7"/>
  <c r="S518" i="7"/>
  <c r="X75" i="7"/>
  <c r="S198" i="7"/>
  <c r="B200" i="7"/>
  <c r="R200" i="7" s="1"/>
  <c r="V12" i="7"/>
  <c r="S80" i="7"/>
  <c r="D278" i="7"/>
  <c r="F34" i="7"/>
  <c r="W13" i="7"/>
  <c r="N75" i="7"/>
  <c r="D94" i="7"/>
  <c r="V94" i="7" s="1"/>
  <c r="W188" i="7"/>
  <c r="F278" i="7"/>
  <c r="S478" i="7"/>
  <c r="T75" i="7"/>
  <c r="G94" i="7"/>
  <c r="X94" i="7" s="1"/>
  <c r="F172" i="7"/>
  <c r="G253" i="7"/>
  <c r="G257" i="7" s="1"/>
  <c r="G268" i="7"/>
  <c r="G272" i="7" s="1"/>
  <c r="U14" i="7"/>
  <c r="W27" i="7"/>
  <c r="O75" i="7"/>
  <c r="U67" i="7"/>
  <c r="V520" i="7"/>
  <c r="G62" i="7"/>
  <c r="G363" i="7" s="1"/>
  <c r="F268" i="7"/>
  <c r="F269" i="7" s="1"/>
  <c r="F265" i="7" s="1"/>
  <c r="S24" i="7"/>
  <c r="U10" i="7"/>
  <c r="T20" i="7"/>
  <c r="X70" i="7"/>
  <c r="F62" i="7"/>
  <c r="N62" i="7" s="1"/>
  <c r="S6" i="7"/>
  <c r="S9" i="7"/>
  <c r="T70" i="7"/>
  <c r="W75" i="7"/>
  <c r="B521" i="7"/>
  <c r="F253" i="7"/>
  <c r="F257" i="7" s="1"/>
  <c r="S17" i="7"/>
  <c r="N61" i="7"/>
  <c r="C264" i="7"/>
  <c r="C276" i="7"/>
  <c r="E521" i="7"/>
  <c r="M521" i="7" s="1"/>
  <c r="M70" i="7"/>
  <c r="V66" i="7"/>
  <c r="R12" i="7"/>
  <c r="T34" i="7"/>
  <c r="S165" i="7"/>
  <c r="G220" i="7"/>
  <c r="R220" i="7" s="1"/>
  <c r="F264" i="7"/>
  <c r="T31" i="7"/>
  <c r="V519" i="7"/>
  <c r="U149" i="7"/>
  <c r="S154" i="7"/>
  <c r="S503" i="7"/>
  <c r="S505" i="7"/>
  <c r="V27" i="7"/>
  <c r="U27" i="7"/>
  <c r="T14" i="7"/>
  <c r="E289" i="7"/>
  <c r="E290" i="7" s="1"/>
  <c r="E54" i="7"/>
  <c r="D53" i="7" s="1"/>
  <c r="G289" i="7"/>
  <c r="G290" i="7" s="1"/>
  <c r="G54" i="7"/>
  <c r="D286" i="7"/>
  <c r="V23" i="7"/>
  <c r="X27" i="7"/>
  <c r="D54" i="7"/>
  <c r="C53" i="7" s="1"/>
  <c r="C52" i="7" s="1"/>
  <c r="C51" i="7" s="1"/>
  <c r="N70" i="7"/>
  <c r="S158" i="7"/>
  <c r="S164" i="7"/>
  <c r="F171" i="7"/>
  <c r="H175" i="7"/>
  <c r="H177" i="7"/>
  <c r="S512" i="7"/>
  <c r="W520" i="7"/>
  <c r="S78" i="7"/>
  <c r="S185" i="7"/>
  <c r="X520" i="7"/>
  <c r="W10" i="7"/>
  <c r="R14" i="7"/>
  <c r="V20" i="7"/>
  <c r="X60" i="7"/>
  <c r="R70" i="7"/>
  <c r="D87" i="7"/>
  <c r="V87" i="7" s="1"/>
  <c r="S155" i="7"/>
  <c r="S160" i="7"/>
  <c r="S182" i="7"/>
  <c r="X188" i="7"/>
  <c r="F275" i="7"/>
  <c r="S496" i="7"/>
  <c r="D521" i="7"/>
  <c r="L521" i="7" s="1"/>
  <c r="B15" i="7"/>
  <c r="B233" i="7" s="1"/>
  <c r="U16" i="7"/>
  <c r="S29" i="7"/>
  <c r="N66" i="7"/>
  <c r="G87" i="7"/>
  <c r="S152" i="7"/>
  <c r="S168" i="7"/>
  <c r="F200" i="7"/>
  <c r="X200" i="7" s="1"/>
  <c r="F211" i="7"/>
  <c r="S513" i="7"/>
  <c r="R520" i="7"/>
  <c r="W149" i="7"/>
  <c r="S159" i="7"/>
  <c r="H174" i="7"/>
  <c r="H176" i="7"/>
  <c r="S187" i="7"/>
  <c r="S190" i="7"/>
  <c r="S515" i="7"/>
  <c r="K520" i="7"/>
  <c r="D11" i="7"/>
  <c r="D21" i="7" s="1"/>
  <c r="L12" i="7" s="1"/>
  <c r="U66" i="7"/>
  <c r="F267" i="7"/>
  <c r="F271" i="7" s="1"/>
  <c r="F372" i="7"/>
  <c r="S479" i="7"/>
  <c r="N518" i="7"/>
  <c r="M66" i="7"/>
  <c r="S156" i="7"/>
  <c r="S495" i="7"/>
  <c r="S497" i="7"/>
  <c r="S506" i="7"/>
  <c r="N519" i="7"/>
  <c r="O520" i="7"/>
  <c r="N67" i="7"/>
  <c r="W70" i="7"/>
  <c r="F11" i="7"/>
  <c r="F21" i="7" s="1"/>
  <c r="N10" i="7" s="1"/>
  <c r="H149" i="7"/>
  <c r="S161" i="7"/>
  <c r="V34" i="7"/>
  <c r="N60" i="7"/>
  <c r="T149" i="7"/>
  <c r="S151" i="7"/>
  <c r="S167" i="7"/>
  <c r="S201" i="7"/>
  <c r="S510" i="7"/>
  <c r="S153" i="7"/>
  <c r="H178" i="7"/>
  <c r="S199" i="7"/>
  <c r="F263" i="7"/>
  <c r="S514" i="7"/>
  <c r="D253" i="7"/>
  <c r="D257" i="7" s="1"/>
  <c r="T67" i="7"/>
  <c r="O66" i="7"/>
  <c r="E62" i="7"/>
  <c r="M62" i="7" s="1"/>
  <c r="D276" i="7"/>
  <c r="D62" i="7"/>
  <c r="L62" i="7" s="1"/>
  <c r="C62" i="7"/>
  <c r="K62" i="7" s="1"/>
  <c r="D268" i="7"/>
  <c r="D269" i="7" s="1"/>
  <c r="D265" i="7" s="1"/>
  <c r="L60" i="7"/>
  <c r="L61" i="7"/>
  <c r="L70" i="7"/>
  <c r="D275" i="7"/>
  <c r="L518" i="7"/>
  <c r="K519" i="7"/>
  <c r="X66" i="7"/>
  <c r="C211" i="7"/>
  <c r="C263" i="7"/>
  <c r="M520" i="7"/>
  <c r="D211" i="7"/>
  <c r="C252" i="7"/>
  <c r="C256" i="7" s="1"/>
  <c r="D263" i="7"/>
  <c r="L519" i="7"/>
  <c r="K67" i="7"/>
  <c r="D252" i="7"/>
  <c r="D256" i="7" s="1"/>
  <c r="U60" i="7"/>
  <c r="K66" i="7"/>
  <c r="L67" i="7"/>
  <c r="V60" i="7"/>
  <c r="L66" i="7"/>
  <c r="L520" i="7"/>
  <c r="C171" i="7"/>
  <c r="D267" i="7"/>
  <c r="D271" i="7" s="1"/>
  <c r="K75" i="7"/>
  <c r="D171" i="7"/>
  <c r="C372" i="7"/>
  <c r="L75" i="7"/>
  <c r="D372" i="7"/>
  <c r="M67" i="7"/>
  <c r="K60" i="7"/>
  <c r="K61" i="7"/>
  <c r="K70" i="7"/>
  <c r="C275" i="7"/>
  <c r="K518" i="7"/>
  <c r="J56" i="7"/>
  <c r="M61" i="7"/>
  <c r="E278" i="7"/>
  <c r="W67" i="7"/>
  <c r="V61" i="7"/>
  <c r="W61" i="7"/>
  <c r="E253" i="7"/>
  <c r="E257" i="7" s="1"/>
  <c r="E264" i="7"/>
  <c r="E268" i="7"/>
  <c r="E272" i="7" s="1"/>
  <c r="E172" i="7"/>
  <c r="R66" i="7"/>
  <c r="V67" i="7"/>
  <c r="X67" i="7"/>
  <c r="O67" i="7"/>
  <c r="B53" i="7"/>
  <c r="M191" i="7"/>
  <c r="M187" i="7"/>
  <c r="M194" i="7"/>
  <c r="E334" i="7"/>
  <c r="M199" i="7"/>
  <c r="M169" i="7"/>
  <c r="M198" i="7"/>
  <c r="M182" i="7"/>
  <c r="M186" i="7"/>
  <c r="M195" i="7"/>
  <c r="M193" i="7"/>
  <c r="M190" i="7"/>
  <c r="M184" i="7"/>
  <c r="M201" i="7"/>
  <c r="M188" i="7"/>
  <c r="M183" i="7"/>
  <c r="E180" i="7"/>
  <c r="M192" i="7"/>
  <c r="M196" i="7"/>
  <c r="M185" i="7"/>
  <c r="R11" i="7"/>
  <c r="G21" i="7"/>
  <c r="O16" i="7" s="1"/>
  <c r="L201" i="7"/>
  <c r="L198" i="7"/>
  <c r="L193" i="7"/>
  <c r="D332" i="7"/>
  <c r="D334" i="7"/>
  <c r="L183" i="7"/>
  <c r="L199" i="7"/>
  <c r="L169" i="7"/>
  <c r="L182" i="7"/>
  <c r="V169" i="7"/>
  <c r="L187" i="7"/>
  <c r="L196" i="7"/>
  <c r="L192" i="7"/>
  <c r="L191" i="7"/>
  <c r="D180" i="7"/>
  <c r="L195" i="7"/>
  <c r="L194" i="7"/>
  <c r="L190" i="7"/>
  <c r="L184" i="7"/>
  <c r="L188" i="7"/>
  <c r="L185" i="7"/>
  <c r="L186" i="7"/>
  <c r="L203" i="7"/>
  <c r="C11" i="7"/>
  <c r="X12" i="7"/>
  <c r="V14" i="7"/>
  <c r="T16" i="7"/>
  <c r="R19" i="7"/>
  <c r="W20" i="7"/>
  <c r="E286" i="7"/>
  <c r="E384" i="7" s="1"/>
  <c r="E28" i="7"/>
  <c r="U23" i="7"/>
  <c r="T27" i="7"/>
  <c r="G227" i="7"/>
  <c r="G339" i="7"/>
  <c r="G213" i="7"/>
  <c r="R162" i="7"/>
  <c r="B422" i="7" s="1"/>
  <c r="D422" i="7" s="1"/>
  <c r="G169" i="7"/>
  <c r="U516" i="7"/>
  <c r="E11" i="7"/>
  <c r="X14" i="7"/>
  <c r="V16" i="7"/>
  <c r="T19" i="7"/>
  <c r="B21" i="7"/>
  <c r="G301" i="7"/>
  <c r="W23" i="7"/>
  <c r="R149" i="7"/>
  <c r="H188" i="7"/>
  <c r="T188" i="7"/>
  <c r="T13" i="7"/>
  <c r="W16" i="7"/>
  <c r="U19" i="7"/>
  <c r="X23" i="7"/>
  <c r="X31" i="7"/>
  <c r="U188" i="7"/>
  <c r="R13" i="7"/>
  <c r="R10" i="7"/>
  <c r="X16" i="7"/>
  <c r="V19" i="7"/>
  <c r="C28" i="7"/>
  <c r="S33" i="7"/>
  <c r="R145" i="7"/>
  <c r="J145" i="7"/>
  <c r="E200" i="7"/>
  <c r="E220" i="7"/>
  <c r="W220" i="7" s="1"/>
  <c r="V13" i="7"/>
  <c r="W19" i="7"/>
  <c r="D28" i="7"/>
  <c r="T10" i="7"/>
  <c r="X19" i="7"/>
  <c r="F28" i="7"/>
  <c r="R34" i="7"/>
  <c r="G28" i="7"/>
  <c r="G247" i="7" s="1"/>
  <c r="B339" i="7"/>
  <c r="B227" i="7"/>
  <c r="B213" i="7"/>
  <c r="T162" i="7"/>
  <c r="H162" i="7"/>
  <c r="B169" i="7"/>
  <c r="S150" i="7"/>
  <c r="E339" i="7"/>
  <c r="E213" i="7"/>
  <c r="E227" i="7"/>
  <c r="W162" i="7"/>
  <c r="F213" i="7"/>
  <c r="F227" i="7"/>
  <c r="F339" i="7"/>
  <c r="F169" i="7"/>
  <c r="X162" i="7"/>
  <c r="B384" i="7"/>
  <c r="B28" i="7"/>
  <c r="B248" i="7" s="1"/>
  <c r="R23" i="7"/>
  <c r="U31" i="7"/>
  <c r="B289" i="7"/>
  <c r="D227" i="7"/>
  <c r="D339" i="7"/>
  <c r="V162" i="7"/>
  <c r="D213" i="7"/>
  <c r="R188" i="7"/>
  <c r="R16" i="7"/>
  <c r="C301" i="7"/>
  <c r="R27" i="7"/>
  <c r="V31" i="7"/>
  <c r="C289" i="7"/>
  <c r="U34" i="7"/>
  <c r="F301" i="7"/>
  <c r="T23" i="7"/>
  <c r="W31" i="7"/>
  <c r="D290" i="7"/>
  <c r="B49" i="7"/>
  <c r="H49" i="7" s="1"/>
  <c r="H47" i="7"/>
  <c r="B54" i="7"/>
  <c r="X149" i="7"/>
  <c r="T516" i="7"/>
  <c r="R516" i="7"/>
  <c r="S480" i="7"/>
  <c r="C339" i="7"/>
  <c r="C227" i="7"/>
  <c r="S483" i="7"/>
  <c r="C169" i="7"/>
  <c r="S492" i="7"/>
  <c r="V516" i="7"/>
  <c r="S192" i="7"/>
  <c r="H197" i="7"/>
  <c r="G521" i="7"/>
  <c r="R519" i="7"/>
  <c r="O519" i="7"/>
  <c r="F521" i="7"/>
  <c r="V149" i="7"/>
  <c r="C200" i="7"/>
  <c r="S491" i="7"/>
  <c r="S499" i="7"/>
  <c r="U162" i="7"/>
  <c r="D200" i="7"/>
  <c r="S504" i="7"/>
  <c r="C213" i="7"/>
  <c r="W519" i="7"/>
  <c r="T519" i="7"/>
  <c r="U519" i="7"/>
  <c r="C521" i="7"/>
  <c r="B278" i="6"/>
  <c r="C142" i="6"/>
  <c r="D142" i="6"/>
  <c r="E142" i="6"/>
  <c r="F142" i="6"/>
  <c r="G142" i="6"/>
  <c r="B142" i="6"/>
  <c r="G252" i="6"/>
  <c r="H7" i="8" l="1"/>
  <c r="H9" i="8"/>
  <c r="V227" i="7"/>
  <c r="S232" i="7"/>
  <c r="C258" i="7"/>
  <c r="G277" i="7"/>
  <c r="F258" i="7"/>
  <c r="X213" i="7"/>
  <c r="G173" i="7"/>
  <c r="R87" i="7"/>
  <c r="V211" i="7"/>
  <c r="X211" i="7"/>
  <c r="I404" i="7"/>
  <c r="F277" i="7"/>
  <c r="U227" i="7"/>
  <c r="J34" i="7"/>
  <c r="U94" i="7"/>
  <c r="E277" i="7"/>
  <c r="S67" i="7"/>
  <c r="S66" i="7"/>
  <c r="U211" i="7"/>
  <c r="X227" i="7"/>
  <c r="S216" i="7"/>
  <c r="S223" i="7"/>
  <c r="V213" i="7"/>
  <c r="T213" i="7"/>
  <c r="T227" i="7"/>
  <c r="S234" i="7"/>
  <c r="X87" i="7"/>
  <c r="V220" i="7"/>
  <c r="S89" i="7"/>
  <c r="X220" i="7"/>
  <c r="B235" i="7"/>
  <c r="T233" i="7"/>
  <c r="F236" i="7"/>
  <c r="X233" i="7"/>
  <c r="W227" i="7"/>
  <c r="R213" i="7"/>
  <c r="G235" i="7"/>
  <c r="R233" i="7"/>
  <c r="D236" i="7"/>
  <c r="V233" i="7"/>
  <c r="E236" i="7"/>
  <c r="W233" i="7"/>
  <c r="U213" i="7"/>
  <c r="R227" i="7"/>
  <c r="C236" i="7"/>
  <c r="U233" i="7"/>
  <c r="U87" i="7"/>
  <c r="W213" i="7"/>
  <c r="T94" i="7"/>
  <c r="W211" i="7"/>
  <c r="E212" i="7"/>
  <c r="C235" i="7"/>
  <c r="E235" i="7"/>
  <c r="G396" i="7"/>
  <c r="G399" i="7"/>
  <c r="G413" i="7"/>
  <c r="G386" i="7"/>
  <c r="G400" i="7"/>
  <c r="B412" i="7"/>
  <c r="B413" i="7" s="1"/>
  <c r="B386" i="7"/>
  <c r="B399" i="7"/>
  <c r="B400" i="7"/>
  <c r="C399" i="7"/>
  <c r="C412" i="7"/>
  <c r="C386" i="7"/>
  <c r="C400" i="7"/>
  <c r="D399" i="7"/>
  <c r="D412" i="7"/>
  <c r="D413" i="7" s="1"/>
  <c r="D400" i="7"/>
  <c r="C396" i="7"/>
  <c r="D396" i="7"/>
  <c r="D301" i="7"/>
  <c r="D304" i="7" s="1"/>
  <c r="D306" i="7" s="1"/>
  <c r="D384" i="7"/>
  <c r="D386" i="7" s="1"/>
  <c r="F399" i="7"/>
  <c r="F412" i="7"/>
  <c r="F413" i="7" s="1"/>
  <c r="F386" i="7"/>
  <c r="F400" i="7"/>
  <c r="F396" i="7"/>
  <c r="X34" i="7"/>
  <c r="F390" i="7"/>
  <c r="F394" i="7" s="1"/>
  <c r="K394" i="7" s="1"/>
  <c r="E400" i="7"/>
  <c r="E399" i="7"/>
  <c r="E412" i="7"/>
  <c r="E386" i="7"/>
  <c r="G258" i="7"/>
  <c r="G212" i="7"/>
  <c r="C173" i="7"/>
  <c r="T521" i="7"/>
  <c r="E258" i="7"/>
  <c r="F363" i="7"/>
  <c r="G236" i="7"/>
  <c r="C269" i="7"/>
  <c r="C265" i="7" s="1"/>
  <c r="W521" i="7"/>
  <c r="C254" i="7"/>
  <c r="C260" i="7" s="1"/>
  <c r="T200" i="7"/>
  <c r="V11" i="7"/>
  <c r="D247" i="7"/>
  <c r="F202" i="7"/>
  <c r="X15" i="7"/>
  <c r="D212" i="7"/>
  <c r="F212" i="7"/>
  <c r="E173" i="7"/>
  <c r="E179" i="7" s="1"/>
  <c r="W15" i="7"/>
  <c r="V15" i="7"/>
  <c r="D235" i="7"/>
  <c r="U15" i="7"/>
  <c r="S20" i="7"/>
  <c r="V521" i="7"/>
  <c r="S12" i="7"/>
  <c r="F289" i="7"/>
  <c r="F290" i="7" s="1"/>
  <c r="F235" i="7"/>
  <c r="D173" i="7"/>
  <c r="D179" i="7" s="1"/>
  <c r="G254" i="7"/>
  <c r="G260" i="7" s="1"/>
  <c r="E332" i="7"/>
  <c r="F54" i="7"/>
  <c r="E53" i="7" s="1"/>
  <c r="E52" i="7" s="1"/>
  <c r="E51" i="7" s="1"/>
  <c r="G269" i="7"/>
  <c r="G265" i="7" s="1"/>
  <c r="W34" i="7"/>
  <c r="X11" i="7"/>
  <c r="W62" i="7"/>
  <c r="C277" i="7"/>
  <c r="F173" i="7"/>
  <c r="S75" i="7"/>
  <c r="O14" i="7"/>
  <c r="S520" i="7"/>
  <c r="X62" i="7"/>
  <c r="O23" i="7"/>
  <c r="O62" i="7"/>
  <c r="D52" i="7"/>
  <c r="D51" i="7" s="1"/>
  <c r="F272" i="7"/>
  <c r="H200" i="7"/>
  <c r="O12" i="7"/>
  <c r="F254" i="7"/>
  <c r="F260" i="7" s="1"/>
  <c r="S14" i="7"/>
  <c r="N34" i="7"/>
  <c r="S149" i="7"/>
  <c r="B247" i="7"/>
  <c r="N14" i="7"/>
  <c r="N31" i="7"/>
  <c r="S27" i="7"/>
  <c r="S70" i="7"/>
  <c r="N11" i="7"/>
  <c r="S10" i="7"/>
  <c r="L516" i="7"/>
  <c r="T15" i="7"/>
  <c r="L20" i="7"/>
  <c r="J16" i="7"/>
  <c r="G52" i="7"/>
  <c r="G51" i="7" s="1"/>
  <c r="F53" i="7"/>
  <c r="L16" i="7"/>
  <c r="R15" i="7"/>
  <c r="J31" i="7"/>
  <c r="S31" i="7"/>
  <c r="N23" i="7"/>
  <c r="N12" i="7"/>
  <c r="E363" i="7"/>
  <c r="D246" i="7"/>
  <c r="D248" i="7"/>
  <c r="O19" i="7"/>
  <c r="B236" i="7"/>
  <c r="L19" i="7"/>
  <c r="D258" i="7"/>
  <c r="N16" i="7"/>
  <c r="L11" i="7"/>
  <c r="L23" i="7"/>
  <c r="S188" i="7"/>
  <c r="L14" i="7"/>
  <c r="S516" i="7"/>
  <c r="J516" i="7"/>
  <c r="D277" i="7"/>
  <c r="V62" i="7"/>
  <c r="D272" i="7"/>
  <c r="D254" i="7"/>
  <c r="D260" i="7" s="1"/>
  <c r="D363" i="7"/>
  <c r="U62" i="7"/>
  <c r="C363" i="7"/>
  <c r="C212" i="7"/>
  <c r="E269" i="7"/>
  <c r="E265" i="7" s="1"/>
  <c r="E254" i="7"/>
  <c r="E260" i="7" s="1"/>
  <c r="O196" i="7"/>
  <c r="O190" i="7"/>
  <c r="O186" i="7"/>
  <c r="O193" i="7"/>
  <c r="G334" i="7"/>
  <c r="O187" i="7"/>
  <c r="O203" i="7"/>
  <c r="O185" i="7"/>
  <c r="G180" i="7"/>
  <c r="O183" i="7"/>
  <c r="R169" i="7"/>
  <c r="B423" i="7" s="1"/>
  <c r="O199" i="7"/>
  <c r="O169" i="7"/>
  <c r="O198" i="7"/>
  <c r="O182" i="7"/>
  <c r="O194" i="7"/>
  <c r="G202" i="7"/>
  <c r="O191" i="7"/>
  <c r="O195" i="7"/>
  <c r="O188" i="7"/>
  <c r="O200" i="7"/>
  <c r="O192" i="7"/>
  <c r="O201" i="7"/>
  <c r="O184" i="7"/>
  <c r="C334" i="7"/>
  <c r="K192" i="7"/>
  <c r="K182" i="7"/>
  <c r="K195" i="7"/>
  <c r="C332" i="7"/>
  <c r="K183" i="7"/>
  <c r="K199" i="7"/>
  <c r="K198" i="7"/>
  <c r="K169" i="7"/>
  <c r="U169" i="7"/>
  <c r="K185" i="7"/>
  <c r="K196" i="7"/>
  <c r="K193" i="7"/>
  <c r="K191" i="7"/>
  <c r="C180" i="7"/>
  <c r="K201" i="7"/>
  <c r="K194" i="7"/>
  <c r="K190" i="7"/>
  <c r="K184" i="7"/>
  <c r="K186" i="7"/>
  <c r="K187" i="7"/>
  <c r="J505" i="7"/>
  <c r="J483" i="7"/>
  <c r="J504" i="7"/>
  <c r="J515" i="7"/>
  <c r="J498" i="7"/>
  <c r="J514" i="7"/>
  <c r="J497" i="7"/>
  <c r="J513" i="7"/>
  <c r="J512" i="7"/>
  <c r="J495" i="7"/>
  <c r="J479" i="7"/>
  <c r="J511" i="7"/>
  <c r="J478" i="7"/>
  <c r="J510" i="7"/>
  <c r="J477" i="7"/>
  <c r="B291" i="7"/>
  <c r="B296" i="7" s="1"/>
  <c r="J506" i="7"/>
  <c r="J484" i="7"/>
  <c r="J480" i="7"/>
  <c r="J499" i="7"/>
  <c r="J491" i="7"/>
  <c r="J492" i="7"/>
  <c r="J503" i="7"/>
  <c r="J496" i="7"/>
  <c r="J33" i="7"/>
  <c r="J21" i="7"/>
  <c r="J29" i="7"/>
  <c r="J25" i="7"/>
  <c r="J17" i="7"/>
  <c r="J24" i="7"/>
  <c r="J6" i="7"/>
  <c r="J9" i="7"/>
  <c r="J20" i="7"/>
  <c r="J8" i="7"/>
  <c r="J12" i="7"/>
  <c r="E301" i="7"/>
  <c r="B332" i="7"/>
  <c r="B334" i="7"/>
  <c r="J199" i="7"/>
  <c r="J194" i="7"/>
  <c r="J201" i="7"/>
  <c r="J190" i="7"/>
  <c r="J184" i="7"/>
  <c r="J183" i="7"/>
  <c r="J198" i="7"/>
  <c r="J182" i="7"/>
  <c r="J169" i="7"/>
  <c r="H169" i="7"/>
  <c r="J186" i="7"/>
  <c r="J192" i="7"/>
  <c r="J185" i="7"/>
  <c r="J196" i="7"/>
  <c r="J195" i="7"/>
  <c r="J193" i="7"/>
  <c r="J191" i="7"/>
  <c r="B180" i="7"/>
  <c r="B215" i="7" s="1"/>
  <c r="T169" i="7"/>
  <c r="J187" i="7"/>
  <c r="E250" i="7"/>
  <c r="E32" i="7"/>
  <c r="E249" i="7"/>
  <c r="W28" i="7"/>
  <c r="B290" i="7"/>
  <c r="F304" i="7"/>
  <c r="S162" i="7"/>
  <c r="S19" i="7"/>
  <c r="G341" i="7"/>
  <c r="G345" i="7"/>
  <c r="G340" i="7"/>
  <c r="J23" i="7"/>
  <c r="E330" i="7"/>
  <c r="E328" i="7"/>
  <c r="E326" i="7"/>
  <c r="E215" i="7"/>
  <c r="E329" i="7"/>
  <c r="E335" i="7"/>
  <c r="E327" i="7"/>
  <c r="R521" i="7"/>
  <c r="O521" i="7"/>
  <c r="J188" i="7"/>
  <c r="O515" i="7"/>
  <c r="O498" i="7"/>
  <c r="O514" i="7"/>
  <c r="O497" i="7"/>
  <c r="O516" i="7"/>
  <c r="O510" i="7"/>
  <c r="O477" i="7"/>
  <c r="G291" i="7"/>
  <c r="O506" i="7"/>
  <c r="O484" i="7"/>
  <c r="O505" i="7"/>
  <c r="O504" i="7"/>
  <c r="O503" i="7"/>
  <c r="O492" i="7"/>
  <c r="O499" i="7"/>
  <c r="O491" i="7"/>
  <c r="O483" i="7"/>
  <c r="O29" i="7"/>
  <c r="O480" i="7"/>
  <c r="O511" i="7"/>
  <c r="O495" i="7"/>
  <c r="O512" i="7"/>
  <c r="O513" i="7"/>
  <c r="O478" i="7"/>
  <c r="O479" i="7"/>
  <c r="O25" i="7"/>
  <c r="O17" i="7"/>
  <c r="O27" i="7"/>
  <c r="O24" i="7"/>
  <c r="O9" i="7"/>
  <c r="O21" i="7"/>
  <c r="O8" i="7"/>
  <c r="O31" i="7"/>
  <c r="O6" i="7"/>
  <c r="O34" i="7"/>
  <c r="O10" i="7"/>
  <c r="O33" i="7"/>
  <c r="R21" i="7"/>
  <c r="O15" i="7"/>
  <c r="O496" i="7"/>
  <c r="J10" i="7"/>
  <c r="D345" i="7"/>
  <c r="D340" i="7"/>
  <c r="D341" i="7"/>
  <c r="J11" i="7"/>
  <c r="S16" i="7"/>
  <c r="O11" i="7"/>
  <c r="J19" i="7"/>
  <c r="B301" i="7"/>
  <c r="F341" i="7"/>
  <c r="F345" i="7"/>
  <c r="F340" i="7"/>
  <c r="B341" i="7"/>
  <c r="B345" i="7"/>
  <c r="B340" i="7"/>
  <c r="S13" i="7"/>
  <c r="J14" i="7"/>
  <c r="L13" i="7"/>
  <c r="G304" i="7"/>
  <c r="G306" i="7" s="1"/>
  <c r="B52" i="7"/>
  <c r="W200" i="7"/>
  <c r="E202" i="7"/>
  <c r="M200" i="7"/>
  <c r="K188" i="7"/>
  <c r="G246" i="7"/>
  <c r="G371" i="7" s="1"/>
  <c r="B249" i="7"/>
  <c r="B250" i="7"/>
  <c r="J28" i="7"/>
  <c r="T28" i="7"/>
  <c r="B32" i="7"/>
  <c r="B285" i="7" s="1"/>
  <c r="B202" i="7"/>
  <c r="J200" i="7"/>
  <c r="C304" i="7"/>
  <c r="C306" i="7" s="1"/>
  <c r="F250" i="7"/>
  <c r="F249" i="7"/>
  <c r="F32" i="7"/>
  <c r="X28" i="7"/>
  <c r="N28" i="7"/>
  <c r="C249" i="7"/>
  <c r="C250" i="7"/>
  <c r="C32" i="7"/>
  <c r="U28" i="7"/>
  <c r="F247" i="7"/>
  <c r="E248" i="7"/>
  <c r="E246" i="7"/>
  <c r="E247" i="7"/>
  <c r="E21" i="7"/>
  <c r="M11" i="7" s="1"/>
  <c r="W11" i="7"/>
  <c r="G248" i="7"/>
  <c r="N20" i="7"/>
  <c r="N19" i="7"/>
  <c r="C202" i="7"/>
  <c r="K200" i="7"/>
  <c r="U200" i="7"/>
  <c r="K521" i="7"/>
  <c r="U521" i="7"/>
  <c r="C341" i="7"/>
  <c r="C345" i="7"/>
  <c r="C340" i="7"/>
  <c r="J501" i="7"/>
  <c r="J15" i="7"/>
  <c r="D249" i="7"/>
  <c r="D32" i="7"/>
  <c r="D250" i="7"/>
  <c r="L28" i="7"/>
  <c r="V28" i="7"/>
  <c r="F246" i="7"/>
  <c r="O13" i="7"/>
  <c r="F332" i="7"/>
  <c r="F334" i="7"/>
  <c r="N192" i="7"/>
  <c r="N198" i="7"/>
  <c r="N182" i="7"/>
  <c r="X169" i="7"/>
  <c r="N187" i="7"/>
  <c r="N186" i="7"/>
  <c r="N203" i="7"/>
  <c r="N185" i="7"/>
  <c r="N201" i="7"/>
  <c r="N194" i="7"/>
  <c r="N188" i="7"/>
  <c r="N183" i="7"/>
  <c r="N199" i="7"/>
  <c r="N169" i="7"/>
  <c r="N184" i="7"/>
  <c r="N191" i="7"/>
  <c r="F180" i="7"/>
  <c r="N195" i="7"/>
  <c r="N196" i="7"/>
  <c r="N193" i="7"/>
  <c r="N190" i="7"/>
  <c r="N499" i="7"/>
  <c r="N491" i="7"/>
  <c r="F312" i="7"/>
  <c r="F360" i="7" s="1"/>
  <c r="N515" i="7"/>
  <c r="N498" i="7"/>
  <c r="N511" i="7"/>
  <c r="N478" i="7"/>
  <c r="N516" i="7"/>
  <c r="N510" i="7"/>
  <c r="N477" i="7"/>
  <c r="F291" i="7"/>
  <c r="N506" i="7"/>
  <c r="N505" i="7"/>
  <c r="N483" i="7"/>
  <c r="N504" i="7"/>
  <c r="N503" i="7"/>
  <c r="N492" i="7"/>
  <c r="N514" i="7"/>
  <c r="N479" i="7"/>
  <c r="N29" i="7"/>
  <c r="N480" i="7"/>
  <c r="N33" i="7"/>
  <c r="N484" i="7"/>
  <c r="N495" i="7"/>
  <c r="N513" i="7"/>
  <c r="N497" i="7"/>
  <c r="N496" i="7"/>
  <c r="N13" i="7"/>
  <c r="N512" i="7"/>
  <c r="N25" i="7"/>
  <c r="N17" i="7"/>
  <c r="N24" i="7"/>
  <c r="X21" i="7"/>
  <c r="N15" i="7"/>
  <c r="N9" i="7"/>
  <c r="N8" i="7"/>
  <c r="N6" i="7"/>
  <c r="N21" i="7"/>
  <c r="L503" i="7"/>
  <c r="L492" i="7"/>
  <c r="L513" i="7"/>
  <c r="L496" i="7"/>
  <c r="L480" i="7"/>
  <c r="L512" i="7"/>
  <c r="L495" i="7"/>
  <c r="L479" i="7"/>
  <c r="L511" i="7"/>
  <c r="L510" i="7"/>
  <c r="L477" i="7"/>
  <c r="D291" i="7"/>
  <c r="L506" i="7"/>
  <c r="L484" i="7"/>
  <c r="L505" i="7"/>
  <c r="L483" i="7"/>
  <c r="L504" i="7"/>
  <c r="L497" i="7"/>
  <c r="L514" i="7"/>
  <c r="L498" i="7"/>
  <c r="L515" i="7"/>
  <c r="L499" i="7"/>
  <c r="L491" i="7"/>
  <c r="L478" i="7"/>
  <c r="L15" i="7"/>
  <c r="L21" i="7"/>
  <c r="L29" i="7"/>
  <c r="L25" i="7"/>
  <c r="L17" i="7"/>
  <c r="L27" i="7"/>
  <c r="L24" i="7"/>
  <c r="L9" i="7"/>
  <c r="L8" i="7"/>
  <c r="L34" i="7"/>
  <c r="L6" i="7"/>
  <c r="L33" i="7"/>
  <c r="L10" i="7"/>
  <c r="F248" i="7"/>
  <c r="C247" i="7"/>
  <c r="C248" i="7"/>
  <c r="C21" i="7"/>
  <c r="C246" i="7"/>
  <c r="U11" i="7"/>
  <c r="T11" i="7"/>
  <c r="W169" i="7"/>
  <c r="C290" i="7"/>
  <c r="S23" i="7"/>
  <c r="S519" i="7"/>
  <c r="V200" i="7"/>
  <c r="L200" i="7"/>
  <c r="D202" i="7"/>
  <c r="X521" i="7"/>
  <c r="N521" i="7"/>
  <c r="F358" i="7"/>
  <c r="N200" i="7"/>
  <c r="N27" i="7"/>
  <c r="E341" i="7"/>
  <c r="E345" i="7"/>
  <c r="E340" i="7"/>
  <c r="G249" i="7"/>
  <c r="G250" i="7"/>
  <c r="R28" i="7"/>
  <c r="O28" i="7"/>
  <c r="G32" i="7"/>
  <c r="O20" i="7"/>
  <c r="L31" i="7"/>
  <c r="J27" i="7"/>
  <c r="B246" i="7"/>
  <c r="D335" i="7"/>
  <c r="D330" i="7"/>
  <c r="D328" i="7"/>
  <c r="D326" i="7"/>
  <c r="D215" i="7"/>
  <c r="D329" i="7"/>
  <c r="D327" i="7"/>
  <c r="J13" i="7"/>
  <c r="B268" i="6"/>
  <c r="B254" i="6" s="1"/>
  <c r="B232" i="6"/>
  <c r="B218" i="6"/>
  <c r="B197" i="6"/>
  <c r="B220" i="6" s="1"/>
  <c r="B176" i="5"/>
  <c r="B175" i="5"/>
  <c r="B173" i="5"/>
  <c r="B174" i="5"/>
  <c r="B171" i="5"/>
  <c r="B133" i="5"/>
  <c r="B131" i="5"/>
  <c r="B130" i="5"/>
  <c r="B121" i="5"/>
  <c r="C261" i="7" l="1"/>
  <c r="F261" i="7"/>
  <c r="S227" i="7"/>
  <c r="S94" i="7"/>
  <c r="S87" i="7"/>
  <c r="B312" i="7"/>
  <c r="S213" i="7"/>
  <c r="X236" i="7"/>
  <c r="W212" i="7"/>
  <c r="X235" i="7"/>
  <c r="U236" i="7"/>
  <c r="T236" i="7"/>
  <c r="U235" i="7"/>
  <c r="U212" i="7"/>
  <c r="V215" i="7"/>
  <c r="W235" i="7"/>
  <c r="V212" i="7"/>
  <c r="T235" i="7"/>
  <c r="W236" i="7"/>
  <c r="B217" i="7"/>
  <c r="B228" i="7" s="1"/>
  <c r="B401" i="7" s="1"/>
  <c r="V236" i="7"/>
  <c r="V235" i="7"/>
  <c r="S220" i="7"/>
  <c r="R236" i="7"/>
  <c r="R235" i="7"/>
  <c r="X212" i="7"/>
  <c r="S233" i="7"/>
  <c r="S34" i="7"/>
  <c r="D261" i="7"/>
  <c r="E413" i="7"/>
  <c r="C413" i="7"/>
  <c r="G261" i="7"/>
  <c r="J400" i="7"/>
  <c r="I400" i="7"/>
  <c r="K400" i="7"/>
  <c r="I399" i="7"/>
  <c r="K399" i="7"/>
  <c r="J399" i="7"/>
  <c r="I394" i="7"/>
  <c r="J394" i="7"/>
  <c r="L394" i="7" s="1"/>
  <c r="E261" i="7"/>
  <c r="X202" i="7"/>
  <c r="F225" i="7"/>
  <c r="F204" i="7"/>
  <c r="F205" i="7" s="1"/>
  <c r="N202" i="7"/>
  <c r="S15" i="7"/>
  <c r="F52" i="7"/>
  <c r="F51" i="7" s="1"/>
  <c r="D312" i="7"/>
  <c r="D360" i="7" s="1"/>
  <c r="V21" i="7"/>
  <c r="C371" i="7"/>
  <c r="S11" i="7"/>
  <c r="S521" i="7"/>
  <c r="B294" i="7"/>
  <c r="S200" i="7"/>
  <c r="F371" i="7"/>
  <c r="S28" i="7"/>
  <c r="F296" i="7"/>
  <c r="F294" i="7"/>
  <c r="M492" i="7"/>
  <c r="M499" i="7"/>
  <c r="M491" i="7"/>
  <c r="E312" i="7"/>
  <c r="E360" i="7" s="1"/>
  <c r="M512" i="7"/>
  <c r="M495" i="7"/>
  <c r="M479" i="7"/>
  <c r="M511" i="7"/>
  <c r="M478" i="7"/>
  <c r="M516" i="7"/>
  <c r="M510" i="7"/>
  <c r="M506" i="7"/>
  <c r="M484" i="7"/>
  <c r="M505" i="7"/>
  <c r="M483" i="7"/>
  <c r="M504" i="7"/>
  <c r="M503" i="7"/>
  <c r="M514" i="7"/>
  <c r="M498" i="7"/>
  <c r="M515" i="7"/>
  <c r="M480" i="7"/>
  <c r="M477" i="7"/>
  <c r="M496" i="7"/>
  <c r="E291" i="7"/>
  <c r="M513" i="7"/>
  <c r="M497" i="7"/>
  <c r="M21" i="7"/>
  <c r="M33" i="7"/>
  <c r="M10" i="7"/>
  <c r="M13" i="7"/>
  <c r="M29" i="7"/>
  <c r="M25" i="7"/>
  <c r="M17" i="7"/>
  <c r="M27" i="7"/>
  <c r="M24" i="7"/>
  <c r="W21" i="7"/>
  <c r="M9" i="7"/>
  <c r="M8" i="7"/>
  <c r="M34" i="7"/>
  <c r="M6" i="7"/>
  <c r="M12" i="7"/>
  <c r="M16" i="7"/>
  <c r="M20" i="7"/>
  <c r="M23" i="7"/>
  <c r="M15" i="7"/>
  <c r="M31" i="7"/>
  <c r="M14" i="7"/>
  <c r="E358" i="7"/>
  <c r="D358" i="7"/>
  <c r="M19" i="7"/>
  <c r="T32" i="7"/>
  <c r="B287" i="7"/>
  <c r="B293" i="7" s="1"/>
  <c r="J32" i="7"/>
  <c r="B35" i="7"/>
  <c r="E304" i="7"/>
  <c r="E306" i="7" s="1"/>
  <c r="C335" i="7"/>
  <c r="C330" i="7"/>
  <c r="C328" i="7"/>
  <c r="C326" i="7"/>
  <c r="C331" i="7"/>
  <c r="C215" i="7"/>
  <c r="U215" i="7" s="1"/>
  <c r="C179" i="7"/>
  <c r="C329" i="7"/>
  <c r="C327" i="7"/>
  <c r="B304" i="7"/>
  <c r="B306" i="7" s="1"/>
  <c r="S169" i="7"/>
  <c r="E371" i="7"/>
  <c r="B331" i="7"/>
  <c r="B329" i="7"/>
  <c r="B327" i="7"/>
  <c r="B328" i="7"/>
  <c r="B326" i="7"/>
  <c r="H180" i="7"/>
  <c r="B335" i="7"/>
  <c r="D331" i="7"/>
  <c r="F285" i="7"/>
  <c r="F287" i="7" s="1"/>
  <c r="F293" i="7" s="1"/>
  <c r="X32" i="7"/>
  <c r="N32" i="7"/>
  <c r="F35" i="7"/>
  <c r="F307" i="7"/>
  <c r="F308" i="7"/>
  <c r="G307" i="7"/>
  <c r="G308" i="7"/>
  <c r="E217" i="7"/>
  <c r="E228" i="7" s="1"/>
  <c r="E401" i="7" s="1"/>
  <c r="E270" i="7"/>
  <c r="E214" i="7"/>
  <c r="F306" i="7"/>
  <c r="F215" i="7"/>
  <c r="F331" i="7"/>
  <c r="F329" i="7"/>
  <c r="F327" i="7"/>
  <c r="F179" i="7"/>
  <c r="F330" i="7"/>
  <c r="F335" i="7"/>
  <c r="F326" i="7"/>
  <c r="F328" i="7"/>
  <c r="D285" i="7"/>
  <c r="D287" i="7" s="1"/>
  <c r="D293" i="7" s="1"/>
  <c r="V32" i="7"/>
  <c r="L32" i="7"/>
  <c r="D35" i="7"/>
  <c r="K202" i="7"/>
  <c r="U202" i="7"/>
  <c r="C225" i="7"/>
  <c r="F297" i="7"/>
  <c r="E331" i="7"/>
  <c r="G329" i="7"/>
  <c r="G327" i="7"/>
  <c r="G330" i="7"/>
  <c r="G328" i="7"/>
  <c r="G326" i="7"/>
  <c r="G215" i="7"/>
  <c r="R215" i="7" s="1"/>
  <c r="G179" i="7"/>
  <c r="G335" i="7"/>
  <c r="G285" i="7"/>
  <c r="G287" i="7" s="1"/>
  <c r="G293" i="7" s="1"/>
  <c r="O32" i="7"/>
  <c r="R32" i="7"/>
  <c r="G35" i="7"/>
  <c r="D307" i="7"/>
  <c r="D308" i="7"/>
  <c r="D371" i="7"/>
  <c r="B297" i="7"/>
  <c r="B298" i="7" s="1"/>
  <c r="D204" i="7"/>
  <c r="V202" i="7"/>
  <c r="D225" i="7"/>
  <c r="L202" i="7"/>
  <c r="M202" i="7"/>
  <c r="W202" i="7"/>
  <c r="E225" i="7"/>
  <c r="W225" i="7" s="1"/>
  <c r="K504" i="7"/>
  <c r="K503" i="7"/>
  <c r="K514" i="7"/>
  <c r="K497" i="7"/>
  <c r="K513" i="7"/>
  <c r="K496" i="7"/>
  <c r="K480" i="7"/>
  <c r="K512" i="7"/>
  <c r="K511" i="7"/>
  <c r="K478" i="7"/>
  <c r="K510" i="7"/>
  <c r="K477" i="7"/>
  <c r="C291" i="7"/>
  <c r="K506" i="7"/>
  <c r="K484" i="7"/>
  <c r="K505" i="7"/>
  <c r="K483" i="7"/>
  <c r="K479" i="7"/>
  <c r="K498" i="7"/>
  <c r="C312" i="7"/>
  <c r="C360" i="7" s="1"/>
  <c r="K515" i="7"/>
  <c r="K499" i="7"/>
  <c r="K491" i="7"/>
  <c r="K33" i="7"/>
  <c r="K10" i="7"/>
  <c r="K15" i="7"/>
  <c r="K21" i="7"/>
  <c r="K12" i="7"/>
  <c r="K13" i="7"/>
  <c r="K29" i="7"/>
  <c r="K25" i="7"/>
  <c r="K17" i="7"/>
  <c r="K31" i="7"/>
  <c r="K24" i="7"/>
  <c r="U21" i="7"/>
  <c r="K495" i="7"/>
  <c r="K9" i="7"/>
  <c r="K492" i="7"/>
  <c r="K14" i="7"/>
  <c r="K8" i="7"/>
  <c r="K20" i="7"/>
  <c r="K6" i="7"/>
  <c r="K516" i="7"/>
  <c r="K27" i="7"/>
  <c r="K23" i="7"/>
  <c r="K34" i="7"/>
  <c r="K19" i="7"/>
  <c r="K16" i="7"/>
  <c r="C358" i="7"/>
  <c r="D214" i="7"/>
  <c r="D217" i="7"/>
  <c r="D228" i="7" s="1"/>
  <c r="D401" i="7" s="1"/>
  <c r="D270" i="7"/>
  <c r="K11" i="7"/>
  <c r="D296" i="7"/>
  <c r="D294" i="7"/>
  <c r="D297" i="7"/>
  <c r="K28" i="7"/>
  <c r="C307" i="7"/>
  <c r="C308" i="7"/>
  <c r="G296" i="7"/>
  <c r="G297" i="7"/>
  <c r="G294" i="7"/>
  <c r="M28" i="7"/>
  <c r="T21" i="7"/>
  <c r="B360" i="7"/>
  <c r="R202" i="7"/>
  <c r="G225" i="7"/>
  <c r="O202" i="7"/>
  <c r="G204" i="7"/>
  <c r="U32" i="7"/>
  <c r="C285" i="7"/>
  <c r="C287" i="7" s="1"/>
  <c r="K32" i="7"/>
  <c r="C35" i="7"/>
  <c r="J202" i="7"/>
  <c r="T202" i="7"/>
  <c r="B225" i="7"/>
  <c r="H202" i="7"/>
  <c r="H204" i="7" s="1"/>
  <c r="B51" i="7"/>
  <c r="E285" i="7"/>
  <c r="E287" i="7" s="1"/>
  <c r="W32" i="7"/>
  <c r="M32" i="7"/>
  <c r="E35" i="7"/>
  <c r="B272" i="6"/>
  <c r="C372" i="6"/>
  <c r="D372" i="6"/>
  <c r="E372" i="6"/>
  <c r="F372" i="6"/>
  <c r="G372" i="6"/>
  <c r="B372" i="6"/>
  <c r="X204" i="7" l="1"/>
  <c r="N204" i="7"/>
  <c r="E203" i="7"/>
  <c r="W203" i="7" s="1"/>
  <c r="X215" i="7"/>
  <c r="S236" i="7"/>
  <c r="U225" i="7"/>
  <c r="X225" i="7"/>
  <c r="T225" i="7"/>
  <c r="T215" i="7"/>
  <c r="W215" i="7"/>
  <c r="R225" i="7"/>
  <c r="V225" i="7"/>
  <c r="L400" i="7"/>
  <c r="S235" i="7"/>
  <c r="L399" i="7"/>
  <c r="H52" i="7"/>
  <c r="H54" i="7" s="1"/>
  <c r="H51" i="7"/>
  <c r="G309" i="7"/>
  <c r="E293" i="7"/>
  <c r="B295" i="7"/>
  <c r="B299" i="7" s="1"/>
  <c r="D295" i="7"/>
  <c r="F295" i="7"/>
  <c r="G298" i="7"/>
  <c r="H360" i="7"/>
  <c r="G295" i="7"/>
  <c r="C309" i="7"/>
  <c r="E224" i="7"/>
  <c r="D224" i="7"/>
  <c r="S21" i="7"/>
  <c r="D309" i="7"/>
  <c r="S202" i="7"/>
  <c r="E307" i="7"/>
  <c r="E308" i="7"/>
  <c r="L35" i="7"/>
  <c r="D36" i="7"/>
  <c r="V35" i="7"/>
  <c r="D347" i="7"/>
  <c r="F217" i="7"/>
  <c r="F270" i="7"/>
  <c r="F214" i="7"/>
  <c r="B36" i="7"/>
  <c r="T35" i="7"/>
  <c r="J35" i="7"/>
  <c r="B347" i="7"/>
  <c r="C296" i="7"/>
  <c r="C294" i="7"/>
  <c r="C297" i="7"/>
  <c r="F309" i="7"/>
  <c r="F36" i="7"/>
  <c r="N35" i="7"/>
  <c r="X35" i="7"/>
  <c r="F347" i="7"/>
  <c r="C214" i="7"/>
  <c r="C217" i="7"/>
  <c r="C228" i="7" s="1"/>
  <c r="C401" i="7" s="1"/>
  <c r="C270" i="7"/>
  <c r="S32" i="7"/>
  <c r="C36" i="7"/>
  <c r="U35" i="7"/>
  <c r="K35" i="7"/>
  <c r="C347" i="7"/>
  <c r="C293" i="7"/>
  <c r="D205" i="7"/>
  <c r="L204" i="7"/>
  <c r="C203" i="7"/>
  <c r="G270" i="7"/>
  <c r="G217" i="7"/>
  <c r="G214" i="7"/>
  <c r="E344" i="7"/>
  <c r="E343" i="7"/>
  <c r="E229" i="7"/>
  <c r="E36" i="7"/>
  <c r="W35" i="7"/>
  <c r="M35" i="7"/>
  <c r="E347" i="7"/>
  <c r="E296" i="7"/>
  <c r="E297" i="7"/>
  <c r="E294" i="7"/>
  <c r="B214" i="7"/>
  <c r="B307" i="7"/>
  <c r="B308" i="7"/>
  <c r="F298" i="7"/>
  <c r="D298" i="7"/>
  <c r="O204" i="7"/>
  <c r="G205" i="7"/>
  <c r="D343" i="7"/>
  <c r="D344" i="7"/>
  <c r="D229" i="7"/>
  <c r="G36" i="7"/>
  <c r="R35" i="7"/>
  <c r="O35" i="7"/>
  <c r="G347" i="7"/>
  <c r="C252" i="6"/>
  <c r="C256" i="6" s="1"/>
  <c r="D252" i="6"/>
  <c r="E252" i="6"/>
  <c r="E256" i="6" s="1"/>
  <c r="F252" i="6"/>
  <c r="F256" i="6" s="1"/>
  <c r="G256" i="6"/>
  <c r="C253" i="6"/>
  <c r="C257" i="6" s="1"/>
  <c r="D253" i="6"/>
  <c r="D257" i="6" s="1"/>
  <c r="E253" i="6"/>
  <c r="E257" i="6" s="1"/>
  <c r="F253" i="6"/>
  <c r="F257" i="6" s="1"/>
  <c r="G253" i="6"/>
  <c r="G257" i="6" s="1"/>
  <c r="C318" i="6"/>
  <c r="D318" i="6"/>
  <c r="E318" i="6"/>
  <c r="F318" i="6"/>
  <c r="G318" i="6"/>
  <c r="B318" i="6"/>
  <c r="G444" i="6"/>
  <c r="F444" i="6"/>
  <c r="E444" i="6"/>
  <c r="D444" i="6"/>
  <c r="L444" i="6" s="1"/>
  <c r="C444" i="6"/>
  <c r="K444" i="6" s="1"/>
  <c r="B444" i="6"/>
  <c r="J444" i="6" s="1"/>
  <c r="G443" i="6"/>
  <c r="F443" i="6"/>
  <c r="E443" i="6"/>
  <c r="M443" i="6" s="1"/>
  <c r="D443" i="6"/>
  <c r="C443" i="6"/>
  <c r="B443" i="6"/>
  <c r="J443" i="6" s="1"/>
  <c r="X442" i="6"/>
  <c r="W442" i="6"/>
  <c r="V442" i="6"/>
  <c r="U442" i="6"/>
  <c r="T442" i="6"/>
  <c r="R442" i="6"/>
  <c r="O442" i="6"/>
  <c r="N442" i="6"/>
  <c r="M442" i="6"/>
  <c r="L442" i="6"/>
  <c r="K442" i="6"/>
  <c r="J442" i="6"/>
  <c r="G440" i="6"/>
  <c r="G34" i="6" s="1"/>
  <c r="G289" i="6" s="1"/>
  <c r="F440" i="6"/>
  <c r="F34" i="6" s="1"/>
  <c r="F289" i="6" s="1"/>
  <c r="E440" i="6"/>
  <c r="E34" i="6" s="1"/>
  <c r="E54" i="6" s="1"/>
  <c r="D440" i="6"/>
  <c r="D34" i="6" s="1"/>
  <c r="D54" i="6" s="1"/>
  <c r="C440" i="6"/>
  <c r="C34" i="6" s="1"/>
  <c r="C289" i="6" s="1"/>
  <c r="B440" i="6"/>
  <c r="B34" i="6" s="1"/>
  <c r="B289" i="6" s="1"/>
  <c r="X439" i="6"/>
  <c r="W439" i="6"/>
  <c r="V439" i="6"/>
  <c r="U439" i="6"/>
  <c r="T439" i="6"/>
  <c r="R439" i="6"/>
  <c r="X438" i="6"/>
  <c r="W438" i="6"/>
  <c r="V438" i="6"/>
  <c r="U438" i="6"/>
  <c r="T438" i="6"/>
  <c r="R438" i="6"/>
  <c r="X437" i="6"/>
  <c r="W437" i="6"/>
  <c r="V437" i="6"/>
  <c r="U437" i="6"/>
  <c r="T437" i="6"/>
  <c r="R437" i="6"/>
  <c r="X436" i="6"/>
  <c r="W436" i="6"/>
  <c r="V436" i="6"/>
  <c r="U436" i="6"/>
  <c r="T436" i="6"/>
  <c r="R436" i="6"/>
  <c r="X435" i="6"/>
  <c r="W435" i="6"/>
  <c r="V435" i="6"/>
  <c r="U435" i="6"/>
  <c r="T435" i="6"/>
  <c r="R435" i="6"/>
  <c r="X434" i="6"/>
  <c r="W434" i="6"/>
  <c r="V434" i="6"/>
  <c r="U434" i="6"/>
  <c r="T434" i="6"/>
  <c r="R434" i="6"/>
  <c r="G431" i="6"/>
  <c r="G432" i="6" s="1"/>
  <c r="G31" i="6" s="1"/>
  <c r="F431" i="6"/>
  <c r="F432" i="6" s="1"/>
  <c r="F31" i="6" s="1"/>
  <c r="E431" i="6"/>
  <c r="E432" i="6" s="1"/>
  <c r="E31" i="6" s="1"/>
  <c r="D431" i="6"/>
  <c r="D432" i="6" s="1"/>
  <c r="D31" i="6" s="1"/>
  <c r="C431" i="6"/>
  <c r="C432" i="6" s="1"/>
  <c r="C31" i="6" s="1"/>
  <c r="B431" i="6"/>
  <c r="B432" i="6" s="1"/>
  <c r="B31" i="6" s="1"/>
  <c r="X430" i="6"/>
  <c r="W430" i="6"/>
  <c r="V430" i="6"/>
  <c r="U430" i="6"/>
  <c r="T430" i="6"/>
  <c r="R430" i="6"/>
  <c r="X429" i="6"/>
  <c r="W429" i="6"/>
  <c r="V429" i="6"/>
  <c r="U429" i="6"/>
  <c r="T429" i="6"/>
  <c r="R429" i="6"/>
  <c r="X428" i="6"/>
  <c r="W428" i="6"/>
  <c r="V428" i="6"/>
  <c r="U428" i="6"/>
  <c r="T428" i="6"/>
  <c r="R428" i="6"/>
  <c r="X427" i="6"/>
  <c r="W427" i="6"/>
  <c r="V427" i="6"/>
  <c r="U427" i="6"/>
  <c r="T427" i="6"/>
  <c r="R427" i="6"/>
  <c r="G424" i="6"/>
  <c r="G425" i="6" s="1"/>
  <c r="G27" i="6" s="1"/>
  <c r="F424" i="6"/>
  <c r="F425" i="6" s="1"/>
  <c r="F27" i="6" s="1"/>
  <c r="E424" i="6"/>
  <c r="E425" i="6" s="1"/>
  <c r="E27" i="6" s="1"/>
  <c r="D424" i="6"/>
  <c r="D425" i="6" s="1"/>
  <c r="D27" i="6" s="1"/>
  <c r="C424" i="6"/>
  <c r="C425" i="6" s="1"/>
  <c r="C27" i="6" s="1"/>
  <c r="B424" i="6"/>
  <c r="B425" i="6" s="1"/>
  <c r="B27" i="6" s="1"/>
  <c r="X423" i="6"/>
  <c r="W423" i="6"/>
  <c r="V423" i="6"/>
  <c r="U423" i="6"/>
  <c r="T423" i="6"/>
  <c r="R423" i="6"/>
  <c r="X422" i="6"/>
  <c r="W422" i="6"/>
  <c r="V422" i="6"/>
  <c r="U422" i="6"/>
  <c r="T422" i="6"/>
  <c r="S422" i="6" s="1"/>
  <c r="R422" i="6"/>
  <c r="X421" i="6"/>
  <c r="W421" i="6"/>
  <c r="V421" i="6"/>
  <c r="U421" i="6"/>
  <c r="T421" i="6"/>
  <c r="R421" i="6"/>
  <c r="X420" i="6"/>
  <c r="W420" i="6"/>
  <c r="V420" i="6"/>
  <c r="U420" i="6"/>
  <c r="T420" i="6"/>
  <c r="R420" i="6"/>
  <c r="X419" i="6"/>
  <c r="W419" i="6"/>
  <c r="V419" i="6"/>
  <c r="U419" i="6"/>
  <c r="T419" i="6"/>
  <c r="R419" i="6"/>
  <c r="G417" i="6"/>
  <c r="G23" i="6" s="1"/>
  <c r="G286" i="6" s="1"/>
  <c r="F417" i="6"/>
  <c r="F23" i="6" s="1"/>
  <c r="E417" i="6"/>
  <c r="E23" i="6" s="1"/>
  <c r="D417" i="6"/>
  <c r="D23" i="6" s="1"/>
  <c r="D286" i="6" s="1"/>
  <c r="C417" i="6"/>
  <c r="C23" i="6" s="1"/>
  <c r="C286" i="6" s="1"/>
  <c r="B417" i="6"/>
  <c r="B23" i="6" s="1"/>
  <c r="B286" i="6" s="1"/>
  <c r="X416" i="6"/>
  <c r="W416" i="6"/>
  <c r="V416" i="6"/>
  <c r="U416" i="6"/>
  <c r="T416" i="6"/>
  <c r="R416" i="6"/>
  <c r="X415" i="6"/>
  <c r="W415" i="6"/>
  <c r="V415" i="6"/>
  <c r="U415" i="6"/>
  <c r="T415" i="6"/>
  <c r="R415" i="6"/>
  <c r="G412" i="6"/>
  <c r="G413" i="6" s="1"/>
  <c r="G20" i="6" s="1"/>
  <c r="F412" i="6"/>
  <c r="F413" i="6" s="1"/>
  <c r="F20" i="6" s="1"/>
  <c r="E412" i="6"/>
  <c r="E413" i="6" s="1"/>
  <c r="E20" i="6" s="1"/>
  <c r="D412" i="6"/>
  <c r="D413" i="6" s="1"/>
  <c r="D20" i="6" s="1"/>
  <c r="C412" i="6"/>
  <c r="C413" i="6" s="1"/>
  <c r="C20" i="6" s="1"/>
  <c r="B412" i="6"/>
  <c r="B413" i="6" s="1"/>
  <c r="B20" i="6" s="1"/>
  <c r="G409" i="6"/>
  <c r="G19" i="6" s="1"/>
  <c r="F409" i="6"/>
  <c r="F19" i="6" s="1"/>
  <c r="E409" i="6"/>
  <c r="D409" i="6"/>
  <c r="D19" i="6" s="1"/>
  <c r="C409" i="6"/>
  <c r="C19" i="6" s="1"/>
  <c r="B409" i="6"/>
  <c r="B19" i="6" s="1"/>
  <c r="X408" i="6"/>
  <c r="W408" i="6"/>
  <c r="V408" i="6"/>
  <c r="U408" i="6"/>
  <c r="T408" i="6"/>
  <c r="R408" i="6"/>
  <c r="X407" i="6"/>
  <c r="W407" i="6"/>
  <c r="V407" i="6"/>
  <c r="U407" i="6"/>
  <c r="T407" i="6"/>
  <c r="R407" i="6"/>
  <c r="G405" i="6"/>
  <c r="G10" i="6" s="1"/>
  <c r="F405" i="6"/>
  <c r="F10" i="6" s="1"/>
  <c r="E405" i="6"/>
  <c r="E10" i="6" s="1"/>
  <c r="E11" i="6" s="1"/>
  <c r="D405" i="6"/>
  <c r="D10" i="6" s="1"/>
  <c r="D11" i="6" s="1"/>
  <c r="C405" i="6"/>
  <c r="C10" i="6" s="1"/>
  <c r="C11" i="6" s="1"/>
  <c r="B405" i="6"/>
  <c r="B10" i="6" s="1"/>
  <c r="B11" i="6" s="1"/>
  <c r="X404" i="6"/>
  <c r="W404" i="6"/>
  <c r="V404" i="6"/>
  <c r="U404" i="6"/>
  <c r="T404" i="6"/>
  <c r="R404" i="6"/>
  <c r="X403" i="6"/>
  <c r="W403" i="6"/>
  <c r="V403" i="6"/>
  <c r="U403" i="6"/>
  <c r="T403" i="6"/>
  <c r="R403" i="6"/>
  <c r="X402" i="6"/>
  <c r="W402" i="6"/>
  <c r="V402" i="6"/>
  <c r="U402" i="6"/>
  <c r="T402" i="6"/>
  <c r="R402" i="6"/>
  <c r="X401" i="6"/>
  <c r="W401" i="6"/>
  <c r="V401" i="6"/>
  <c r="U401" i="6"/>
  <c r="T401" i="6"/>
  <c r="S401" i="6" s="1"/>
  <c r="R401" i="6"/>
  <c r="A400" i="6"/>
  <c r="A399" i="6"/>
  <c r="B397" i="6"/>
  <c r="A397" i="6"/>
  <c r="G389" i="6"/>
  <c r="G387" i="6" s="1"/>
  <c r="F389" i="6"/>
  <c r="F387" i="6" s="1"/>
  <c r="F386" i="6" s="1"/>
  <c r="F14" i="6" s="1"/>
  <c r="E389" i="6"/>
  <c r="E387" i="6" s="1"/>
  <c r="E386" i="6" s="1"/>
  <c r="E14" i="6" s="1"/>
  <c r="D389" i="6"/>
  <c r="D387" i="6" s="1"/>
  <c r="C389" i="6"/>
  <c r="C387" i="6" s="1"/>
  <c r="C386" i="6" s="1"/>
  <c r="C14" i="6" s="1"/>
  <c r="B389" i="6"/>
  <c r="B387" i="6" s="1"/>
  <c r="A380" i="6"/>
  <c r="A379" i="6"/>
  <c r="B377" i="6"/>
  <c r="A377" i="6"/>
  <c r="G278" i="6"/>
  <c r="F278" i="6"/>
  <c r="E278" i="6"/>
  <c r="D278" i="6"/>
  <c r="C278" i="6"/>
  <c r="G276" i="6"/>
  <c r="F276" i="6"/>
  <c r="E276" i="6"/>
  <c r="D276" i="6"/>
  <c r="C276" i="6"/>
  <c r="B276" i="6"/>
  <c r="G275" i="6"/>
  <c r="F275" i="6"/>
  <c r="E275" i="6"/>
  <c r="D275" i="6"/>
  <c r="C275" i="6"/>
  <c r="B275" i="6"/>
  <c r="G268" i="6"/>
  <c r="F268" i="6"/>
  <c r="E268" i="6"/>
  <c r="D268" i="6"/>
  <c r="C268" i="6"/>
  <c r="G267" i="6"/>
  <c r="G271" i="6" s="1"/>
  <c r="F267" i="6"/>
  <c r="F271" i="6" s="1"/>
  <c r="E267" i="6"/>
  <c r="E271" i="6" s="1"/>
  <c r="D267" i="6"/>
  <c r="D271" i="6" s="1"/>
  <c r="C267" i="6"/>
  <c r="C271" i="6" s="1"/>
  <c r="B267" i="6"/>
  <c r="B271" i="6" s="1"/>
  <c r="G264" i="6"/>
  <c r="F264" i="6"/>
  <c r="E264" i="6"/>
  <c r="D264" i="6"/>
  <c r="C264" i="6"/>
  <c r="B264" i="6"/>
  <c r="G263" i="6"/>
  <c r="F263" i="6"/>
  <c r="E263" i="6"/>
  <c r="D263" i="6"/>
  <c r="C263" i="6"/>
  <c r="B263" i="6"/>
  <c r="B260" i="6"/>
  <c r="B253" i="6"/>
  <c r="B257" i="6" s="1"/>
  <c r="D256" i="6"/>
  <c r="B252" i="6"/>
  <c r="B256" i="6" s="1"/>
  <c r="G232" i="6"/>
  <c r="F232" i="6"/>
  <c r="E232" i="6"/>
  <c r="D232" i="6"/>
  <c r="C232" i="6"/>
  <c r="G223" i="6"/>
  <c r="F223" i="6"/>
  <c r="E223" i="6"/>
  <c r="D223" i="6"/>
  <c r="C223" i="6"/>
  <c r="B223" i="6"/>
  <c r="G222" i="6"/>
  <c r="F222" i="6"/>
  <c r="E222" i="6"/>
  <c r="D222" i="6"/>
  <c r="C222" i="6"/>
  <c r="B222" i="6"/>
  <c r="G221" i="6"/>
  <c r="F221" i="6"/>
  <c r="E221" i="6"/>
  <c r="D221" i="6"/>
  <c r="C221" i="6"/>
  <c r="B221" i="6"/>
  <c r="G219" i="6"/>
  <c r="F219" i="6"/>
  <c r="E219" i="6"/>
  <c r="D219" i="6"/>
  <c r="C219" i="6"/>
  <c r="B219" i="6"/>
  <c r="G218" i="6"/>
  <c r="F218" i="6"/>
  <c r="E218" i="6"/>
  <c r="D218" i="6"/>
  <c r="C218" i="6"/>
  <c r="G216" i="6"/>
  <c r="F216" i="6"/>
  <c r="E216" i="6"/>
  <c r="D216" i="6"/>
  <c r="C216" i="6"/>
  <c r="B216" i="6"/>
  <c r="G211" i="6"/>
  <c r="F211" i="6"/>
  <c r="E211" i="6"/>
  <c r="D211" i="6"/>
  <c r="C211" i="6"/>
  <c r="B211" i="6"/>
  <c r="X203" i="6"/>
  <c r="H203" i="6"/>
  <c r="X201" i="6"/>
  <c r="W201" i="6"/>
  <c r="V201" i="6"/>
  <c r="U201" i="6"/>
  <c r="T201" i="6"/>
  <c r="R201" i="6"/>
  <c r="H201" i="6"/>
  <c r="X199" i="6"/>
  <c r="W199" i="6"/>
  <c r="V199" i="6"/>
  <c r="U199" i="6"/>
  <c r="T199" i="6"/>
  <c r="R199" i="6"/>
  <c r="H199" i="6"/>
  <c r="X198" i="6"/>
  <c r="W198" i="6"/>
  <c r="V198" i="6"/>
  <c r="U198" i="6"/>
  <c r="T198" i="6"/>
  <c r="R198" i="6"/>
  <c r="H198" i="6"/>
  <c r="G197" i="6"/>
  <c r="G200" i="6" s="1"/>
  <c r="F197" i="6"/>
  <c r="F200" i="6" s="1"/>
  <c r="E197" i="6"/>
  <c r="E200" i="6" s="1"/>
  <c r="D197" i="6"/>
  <c r="C197" i="6"/>
  <c r="C200" i="6" s="1"/>
  <c r="B200" i="6"/>
  <c r="X196" i="6"/>
  <c r="W196" i="6"/>
  <c r="V196" i="6"/>
  <c r="U196" i="6"/>
  <c r="T196" i="6"/>
  <c r="S196" i="6" s="1"/>
  <c r="R196" i="6"/>
  <c r="H196" i="6"/>
  <c r="X195" i="6"/>
  <c r="W195" i="6"/>
  <c r="V195" i="6"/>
  <c r="U195" i="6"/>
  <c r="T195" i="6"/>
  <c r="S195" i="6" s="1"/>
  <c r="R195" i="6"/>
  <c r="H195" i="6"/>
  <c r="X194" i="6"/>
  <c r="W194" i="6"/>
  <c r="V194" i="6"/>
  <c r="U194" i="6"/>
  <c r="T194" i="6"/>
  <c r="S194" i="6" s="1"/>
  <c r="R194" i="6"/>
  <c r="H194" i="6"/>
  <c r="X193" i="6"/>
  <c r="W193" i="6"/>
  <c r="V193" i="6"/>
  <c r="U193" i="6"/>
  <c r="T193" i="6"/>
  <c r="S193" i="6" s="1"/>
  <c r="R193" i="6"/>
  <c r="H193" i="6"/>
  <c r="X192" i="6"/>
  <c r="W192" i="6"/>
  <c r="V192" i="6"/>
  <c r="U192" i="6"/>
  <c r="T192" i="6"/>
  <c r="R192" i="6"/>
  <c r="H192" i="6"/>
  <c r="X191" i="6"/>
  <c r="W191" i="6"/>
  <c r="V191" i="6"/>
  <c r="U191" i="6"/>
  <c r="T191" i="6"/>
  <c r="S191" i="6" s="1"/>
  <c r="R191" i="6"/>
  <c r="H191" i="6"/>
  <c r="X190" i="6"/>
  <c r="W190" i="6"/>
  <c r="V190" i="6"/>
  <c r="U190" i="6"/>
  <c r="T190" i="6"/>
  <c r="R190" i="6"/>
  <c r="H190" i="6"/>
  <c r="G188" i="6"/>
  <c r="F188" i="6"/>
  <c r="E188" i="6"/>
  <c r="D188" i="6"/>
  <c r="C188" i="6"/>
  <c r="B188" i="6"/>
  <c r="X187" i="6"/>
  <c r="W187" i="6"/>
  <c r="V187" i="6"/>
  <c r="U187" i="6"/>
  <c r="T187" i="6"/>
  <c r="R187" i="6"/>
  <c r="H187" i="6"/>
  <c r="X186" i="6"/>
  <c r="W186" i="6"/>
  <c r="V186" i="6"/>
  <c r="U186" i="6"/>
  <c r="T186" i="6"/>
  <c r="R186" i="6"/>
  <c r="H186" i="6"/>
  <c r="X185" i="6"/>
  <c r="W185" i="6"/>
  <c r="V185" i="6"/>
  <c r="U185" i="6"/>
  <c r="T185" i="6"/>
  <c r="R185" i="6"/>
  <c r="H185" i="6"/>
  <c r="X184" i="6"/>
  <c r="W184" i="6"/>
  <c r="V184" i="6"/>
  <c r="U184" i="6"/>
  <c r="T184" i="6"/>
  <c r="R184" i="6"/>
  <c r="H184" i="6"/>
  <c r="X183" i="6"/>
  <c r="W183" i="6"/>
  <c r="V183" i="6"/>
  <c r="U183" i="6"/>
  <c r="T183" i="6"/>
  <c r="S183" i="6" s="1"/>
  <c r="R183" i="6"/>
  <c r="H183" i="6"/>
  <c r="X182" i="6"/>
  <c r="W182" i="6"/>
  <c r="V182" i="6"/>
  <c r="U182" i="6"/>
  <c r="T182" i="6"/>
  <c r="R182" i="6"/>
  <c r="H182" i="6"/>
  <c r="G178" i="6"/>
  <c r="F178" i="6"/>
  <c r="E178" i="6"/>
  <c r="D178" i="6"/>
  <c r="C178" i="6"/>
  <c r="B178" i="6"/>
  <c r="G177" i="6"/>
  <c r="F177" i="6"/>
  <c r="E177" i="6"/>
  <c r="D177" i="6"/>
  <c r="C177" i="6"/>
  <c r="B177" i="6"/>
  <c r="G176" i="6"/>
  <c r="F176" i="6"/>
  <c r="E176" i="6"/>
  <c r="D176" i="6"/>
  <c r="C176" i="6"/>
  <c r="B176" i="6"/>
  <c r="G175" i="6"/>
  <c r="F175" i="6"/>
  <c r="E175" i="6"/>
  <c r="D175" i="6"/>
  <c r="C175" i="6"/>
  <c r="B175" i="6"/>
  <c r="G174" i="6"/>
  <c r="F174" i="6"/>
  <c r="E174" i="6"/>
  <c r="D174" i="6"/>
  <c r="C174" i="6"/>
  <c r="B174" i="6"/>
  <c r="G172" i="6"/>
  <c r="F172" i="6"/>
  <c r="E172" i="6"/>
  <c r="D172" i="6"/>
  <c r="C172" i="6"/>
  <c r="B172" i="6"/>
  <c r="G171" i="6"/>
  <c r="F171" i="6"/>
  <c r="E171" i="6"/>
  <c r="D171" i="6"/>
  <c r="C171" i="6"/>
  <c r="B171" i="6"/>
  <c r="X168" i="6"/>
  <c r="W168" i="6"/>
  <c r="V168" i="6"/>
  <c r="U168" i="6"/>
  <c r="T168" i="6"/>
  <c r="R168" i="6"/>
  <c r="H168" i="6"/>
  <c r="X167" i="6"/>
  <c r="W167" i="6"/>
  <c r="V167" i="6"/>
  <c r="U167" i="6"/>
  <c r="T167" i="6"/>
  <c r="R167" i="6"/>
  <c r="H167" i="6"/>
  <c r="X166" i="6"/>
  <c r="W166" i="6"/>
  <c r="V166" i="6"/>
  <c r="U166" i="6"/>
  <c r="T166" i="6"/>
  <c r="R166" i="6"/>
  <c r="H166" i="6"/>
  <c r="X165" i="6"/>
  <c r="W165" i="6"/>
  <c r="V165" i="6"/>
  <c r="U165" i="6"/>
  <c r="T165" i="6"/>
  <c r="R165" i="6"/>
  <c r="H165" i="6"/>
  <c r="X164" i="6"/>
  <c r="W164" i="6"/>
  <c r="V164" i="6"/>
  <c r="U164" i="6"/>
  <c r="T164" i="6"/>
  <c r="R164" i="6"/>
  <c r="H164" i="6"/>
  <c r="X163" i="6"/>
  <c r="W163" i="6"/>
  <c r="V163" i="6"/>
  <c r="U163" i="6"/>
  <c r="T163" i="6"/>
  <c r="S163" i="6" s="1"/>
  <c r="R163" i="6"/>
  <c r="X161" i="6"/>
  <c r="W161" i="6"/>
  <c r="V161" i="6"/>
  <c r="U161" i="6"/>
  <c r="T161" i="6"/>
  <c r="R161" i="6"/>
  <c r="H161" i="6"/>
  <c r="X160" i="6"/>
  <c r="W160" i="6"/>
  <c r="V160" i="6"/>
  <c r="U160" i="6"/>
  <c r="T160" i="6"/>
  <c r="R160" i="6"/>
  <c r="H160" i="6"/>
  <c r="X159" i="6"/>
  <c r="W159" i="6"/>
  <c r="V159" i="6"/>
  <c r="U159" i="6"/>
  <c r="T159" i="6"/>
  <c r="R159" i="6"/>
  <c r="H159" i="6"/>
  <c r="X158" i="6"/>
  <c r="W158" i="6"/>
  <c r="V158" i="6"/>
  <c r="U158" i="6"/>
  <c r="T158" i="6"/>
  <c r="R158" i="6"/>
  <c r="H158" i="6"/>
  <c r="X157" i="6"/>
  <c r="W157" i="6"/>
  <c r="V157" i="6"/>
  <c r="U157" i="6"/>
  <c r="T157" i="6"/>
  <c r="S157" i="6" s="1"/>
  <c r="R157" i="6"/>
  <c r="H157" i="6"/>
  <c r="X156" i="6"/>
  <c r="W156" i="6"/>
  <c r="V156" i="6"/>
  <c r="U156" i="6"/>
  <c r="T156" i="6"/>
  <c r="R156" i="6"/>
  <c r="H156" i="6"/>
  <c r="X155" i="6"/>
  <c r="W155" i="6"/>
  <c r="V155" i="6"/>
  <c r="U155" i="6"/>
  <c r="T155" i="6"/>
  <c r="R155" i="6"/>
  <c r="H155" i="6"/>
  <c r="X154" i="6"/>
  <c r="W154" i="6"/>
  <c r="V154" i="6"/>
  <c r="U154" i="6"/>
  <c r="T154" i="6"/>
  <c r="R154" i="6"/>
  <c r="H154" i="6"/>
  <c r="X153" i="6"/>
  <c r="W153" i="6"/>
  <c r="V153" i="6"/>
  <c r="U153" i="6"/>
  <c r="T153" i="6"/>
  <c r="R153" i="6"/>
  <c r="H153" i="6"/>
  <c r="X152" i="6"/>
  <c r="W152" i="6"/>
  <c r="V152" i="6"/>
  <c r="U152" i="6"/>
  <c r="T152" i="6"/>
  <c r="R152" i="6"/>
  <c r="H152" i="6"/>
  <c r="X151" i="6"/>
  <c r="W151" i="6"/>
  <c r="V151" i="6"/>
  <c r="U151" i="6"/>
  <c r="T151" i="6"/>
  <c r="R151" i="6"/>
  <c r="H151" i="6"/>
  <c r="X150" i="6"/>
  <c r="W150" i="6"/>
  <c r="V150" i="6"/>
  <c r="U150" i="6"/>
  <c r="T150" i="6"/>
  <c r="R150" i="6"/>
  <c r="H150" i="6"/>
  <c r="G149" i="6"/>
  <c r="G162" i="6" s="1"/>
  <c r="G339" i="6" s="1"/>
  <c r="F149" i="6"/>
  <c r="E149" i="6"/>
  <c r="D149" i="6"/>
  <c r="D162" i="6" s="1"/>
  <c r="D339" i="6" s="1"/>
  <c r="C149" i="6"/>
  <c r="B149" i="6"/>
  <c r="B162" i="6" s="1"/>
  <c r="A148" i="6"/>
  <c r="A147" i="6"/>
  <c r="B145" i="6"/>
  <c r="J145" i="6" s="1"/>
  <c r="A145" i="6"/>
  <c r="G94" i="6"/>
  <c r="F94" i="6"/>
  <c r="E94" i="6"/>
  <c r="D94" i="6"/>
  <c r="C94" i="6"/>
  <c r="B94" i="6"/>
  <c r="G93" i="6"/>
  <c r="F93" i="6"/>
  <c r="E93" i="6"/>
  <c r="D93" i="6"/>
  <c r="C93" i="6"/>
  <c r="B93" i="6"/>
  <c r="G89" i="6"/>
  <c r="F89" i="6"/>
  <c r="E89" i="6"/>
  <c r="D89" i="6"/>
  <c r="C89" i="6"/>
  <c r="B89" i="6"/>
  <c r="G87" i="6"/>
  <c r="F87" i="6"/>
  <c r="E87" i="6"/>
  <c r="D87" i="6"/>
  <c r="C87" i="6"/>
  <c r="B87" i="6"/>
  <c r="G86" i="6"/>
  <c r="F86" i="6"/>
  <c r="E86" i="6"/>
  <c r="D86" i="6"/>
  <c r="C86" i="6"/>
  <c r="B86" i="6"/>
  <c r="X80" i="6"/>
  <c r="W80" i="6"/>
  <c r="V80" i="6"/>
  <c r="U80" i="6"/>
  <c r="T80" i="6"/>
  <c r="R80" i="6"/>
  <c r="X78" i="6"/>
  <c r="W78" i="6"/>
  <c r="V78" i="6"/>
  <c r="U78" i="6"/>
  <c r="T78" i="6"/>
  <c r="R78" i="6"/>
  <c r="X75" i="6"/>
  <c r="W75" i="6"/>
  <c r="V75" i="6"/>
  <c r="U75" i="6"/>
  <c r="T75" i="6"/>
  <c r="R75" i="6"/>
  <c r="O75" i="6"/>
  <c r="N75" i="6"/>
  <c r="M75" i="6"/>
  <c r="L75" i="6"/>
  <c r="K75" i="6"/>
  <c r="J75" i="6"/>
  <c r="H75" i="6"/>
  <c r="H75" i="7" s="1"/>
  <c r="X73" i="6"/>
  <c r="W73" i="6"/>
  <c r="V73" i="6"/>
  <c r="U73" i="6"/>
  <c r="T73" i="6"/>
  <c r="R73" i="6"/>
  <c r="O73" i="6"/>
  <c r="N73" i="6"/>
  <c r="M73" i="6"/>
  <c r="L73" i="6"/>
  <c r="K73" i="6"/>
  <c r="J73" i="6"/>
  <c r="H73" i="6"/>
  <c r="X71" i="6"/>
  <c r="W71" i="6"/>
  <c r="V71" i="6"/>
  <c r="U71" i="6"/>
  <c r="T71" i="6"/>
  <c r="R71" i="6"/>
  <c r="H71" i="6"/>
  <c r="X70" i="6"/>
  <c r="W70" i="6"/>
  <c r="V70" i="6"/>
  <c r="U70" i="6"/>
  <c r="T70" i="6"/>
  <c r="R70" i="6"/>
  <c r="O70" i="6"/>
  <c r="N70" i="6"/>
  <c r="M70" i="6"/>
  <c r="L70" i="6"/>
  <c r="K70" i="6"/>
  <c r="J70" i="6"/>
  <c r="H70" i="6"/>
  <c r="H70" i="7" s="1"/>
  <c r="X67" i="6"/>
  <c r="W67" i="6"/>
  <c r="V67" i="6"/>
  <c r="U67" i="6"/>
  <c r="T67" i="6"/>
  <c r="R67" i="6"/>
  <c r="O67" i="6"/>
  <c r="N67" i="6"/>
  <c r="M67" i="6"/>
  <c r="L67" i="6"/>
  <c r="K67" i="6"/>
  <c r="J67" i="6"/>
  <c r="H67" i="6"/>
  <c r="X66" i="6"/>
  <c r="W66" i="6"/>
  <c r="V66" i="6"/>
  <c r="U66" i="6"/>
  <c r="T66" i="6"/>
  <c r="R66" i="6"/>
  <c r="O66" i="6"/>
  <c r="N66" i="6"/>
  <c r="M66" i="6"/>
  <c r="L66" i="6"/>
  <c r="K66" i="6"/>
  <c r="J66" i="6"/>
  <c r="H66" i="6"/>
  <c r="G65" i="6"/>
  <c r="F65" i="6"/>
  <c r="E65" i="6"/>
  <c r="D65" i="6"/>
  <c r="C65" i="6"/>
  <c r="B65" i="6"/>
  <c r="G64" i="6"/>
  <c r="F64" i="6"/>
  <c r="E64" i="6"/>
  <c r="D64" i="6"/>
  <c r="C64" i="6"/>
  <c r="B64" i="6"/>
  <c r="G62" i="6"/>
  <c r="G363" i="6" s="1"/>
  <c r="F62" i="6"/>
  <c r="F363" i="6" s="1"/>
  <c r="E62" i="6"/>
  <c r="E363" i="6" s="1"/>
  <c r="D62" i="6"/>
  <c r="D363" i="6" s="1"/>
  <c r="C62" i="6"/>
  <c r="B62" i="6"/>
  <c r="X61" i="6"/>
  <c r="W61" i="6"/>
  <c r="V61" i="6"/>
  <c r="U61" i="6"/>
  <c r="T61" i="6"/>
  <c r="R61" i="6"/>
  <c r="O61" i="6"/>
  <c r="N61" i="6"/>
  <c r="M61" i="6"/>
  <c r="L61" i="6"/>
  <c r="K61" i="6"/>
  <c r="J61" i="6"/>
  <c r="H61" i="6"/>
  <c r="H61" i="7" s="1"/>
  <c r="X60" i="6"/>
  <c r="W60" i="6"/>
  <c r="V60" i="6"/>
  <c r="U60" i="6"/>
  <c r="T60" i="6"/>
  <c r="R60" i="6"/>
  <c r="O60" i="6"/>
  <c r="N60" i="6"/>
  <c r="M60" i="6"/>
  <c r="L60" i="6"/>
  <c r="K60" i="6"/>
  <c r="J60" i="6"/>
  <c r="H60" i="6"/>
  <c r="H60" i="7" s="1"/>
  <c r="A59" i="6"/>
  <c r="A58" i="6"/>
  <c r="B56" i="6"/>
  <c r="R56" i="6" s="1"/>
  <c r="A56" i="6"/>
  <c r="H50" i="6"/>
  <c r="H48" i="6"/>
  <c r="G47" i="6"/>
  <c r="G49" i="6" s="1"/>
  <c r="F47" i="6"/>
  <c r="F49" i="6" s="1"/>
  <c r="E47" i="6"/>
  <c r="E49" i="6" s="1"/>
  <c r="D47" i="6"/>
  <c r="D49" i="6" s="1"/>
  <c r="C47" i="6"/>
  <c r="C49" i="6" s="1"/>
  <c r="B47" i="6"/>
  <c r="B49" i="6" s="1"/>
  <c r="A46" i="6"/>
  <c r="A45" i="6"/>
  <c r="A43" i="6"/>
  <c r="G39" i="6"/>
  <c r="G41" i="6" s="1"/>
  <c r="G303" i="6" s="1"/>
  <c r="F39" i="6"/>
  <c r="F41" i="6" s="1"/>
  <c r="F303" i="6" s="1"/>
  <c r="E39" i="6"/>
  <c r="E41" i="6" s="1"/>
  <c r="E303" i="6" s="1"/>
  <c r="D39" i="6"/>
  <c r="D41" i="6" s="1"/>
  <c r="D303" i="6" s="1"/>
  <c r="C39" i="6"/>
  <c r="C41" i="6" s="1"/>
  <c r="C303" i="6" s="1"/>
  <c r="B39" i="6"/>
  <c r="B41" i="6" s="1"/>
  <c r="B303" i="6" s="1"/>
  <c r="X33" i="6"/>
  <c r="W33" i="6"/>
  <c r="V33" i="6"/>
  <c r="U33" i="6"/>
  <c r="T33" i="6"/>
  <c r="R33" i="6"/>
  <c r="G30" i="6"/>
  <c r="F30" i="6"/>
  <c r="E30" i="6"/>
  <c r="D30" i="6"/>
  <c r="C30" i="6"/>
  <c r="B30" i="6"/>
  <c r="X29" i="6"/>
  <c r="W29" i="6"/>
  <c r="V29" i="6"/>
  <c r="U29" i="6"/>
  <c r="T29" i="6"/>
  <c r="R29" i="6"/>
  <c r="G26" i="6"/>
  <c r="F26" i="6"/>
  <c r="E26" i="6"/>
  <c r="D26" i="6"/>
  <c r="C26" i="6"/>
  <c r="B26" i="6"/>
  <c r="X25" i="6"/>
  <c r="W25" i="6"/>
  <c r="V25" i="6"/>
  <c r="U25" i="6"/>
  <c r="T25" i="6"/>
  <c r="S25" i="6" s="1"/>
  <c r="R25" i="6"/>
  <c r="X24" i="6"/>
  <c r="W24" i="6"/>
  <c r="V24" i="6"/>
  <c r="U24" i="6"/>
  <c r="T24" i="6"/>
  <c r="R24" i="6"/>
  <c r="E19" i="6"/>
  <c r="G18" i="6"/>
  <c r="F18" i="6"/>
  <c r="E18" i="6"/>
  <c r="D18" i="6"/>
  <c r="C18" i="6"/>
  <c r="B18" i="6"/>
  <c r="X17" i="6"/>
  <c r="W17" i="6"/>
  <c r="V17" i="6"/>
  <c r="U17" i="6"/>
  <c r="T17" i="6"/>
  <c r="R17" i="6"/>
  <c r="G16" i="6"/>
  <c r="G234" i="6" s="1"/>
  <c r="F16" i="6"/>
  <c r="F234" i="6" s="1"/>
  <c r="E16" i="6"/>
  <c r="E234" i="6" s="1"/>
  <c r="D16" i="6"/>
  <c r="C16" i="6"/>
  <c r="C234" i="6" s="1"/>
  <c r="B16" i="6"/>
  <c r="B234" i="6" s="1"/>
  <c r="G13" i="6"/>
  <c r="F13" i="6"/>
  <c r="E13" i="6"/>
  <c r="D13" i="6"/>
  <c r="C13" i="6"/>
  <c r="B13" i="6"/>
  <c r="G12" i="6"/>
  <c r="F12" i="6"/>
  <c r="E12" i="6"/>
  <c r="D12" i="6"/>
  <c r="C12" i="6"/>
  <c r="B12" i="6"/>
  <c r="X9" i="6"/>
  <c r="W9" i="6"/>
  <c r="V9" i="6"/>
  <c r="U9" i="6"/>
  <c r="T9" i="6"/>
  <c r="R9" i="6"/>
  <c r="X8" i="6"/>
  <c r="W8" i="6"/>
  <c r="V8" i="6"/>
  <c r="U8" i="6"/>
  <c r="T8" i="6"/>
  <c r="R8" i="6"/>
  <c r="X6" i="6"/>
  <c r="W6" i="6"/>
  <c r="V6" i="6"/>
  <c r="U6" i="6"/>
  <c r="T6" i="6"/>
  <c r="R6" i="6"/>
  <c r="R1" i="6"/>
  <c r="J1" i="6"/>
  <c r="B191" i="5"/>
  <c r="C191" i="5"/>
  <c r="D191" i="5"/>
  <c r="E191" i="5"/>
  <c r="F191" i="5"/>
  <c r="G191" i="5"/>
  <c r="C182" i="5"/>
  <c r="D182" i="5"/>
  <c r="E182" i="5"/>
  <c r="F182" i="5"/>
  <c r="G182" i="5"/>
  <c r="B182" i="5"/>
  <c r="C181" i="5"/>
  <c r="D181" i="5"/>
  <c r="E181" i="5"/>
  <c r="F181" i="5"/>
  <c r="G181" i="5"/>
  <c r="B181" i="5"/>
  <c r="C180" i="5"/>
  <c r="D180" i="5"/>
  <c r="E180" i="5"/>
  <c r="F180" i="5"/>
  <c r="G180" i="5"/>
  <c r="B180" i="5"/>
  <c r="C177" i="5"/>
  <c r="D177" i="5"/>
  <c r="E177" i="5"/>
  <c r="F177" i="5"/>
  <c r="G177" i="5"/>
  <c r="B177" i="5"/>
  <c r="C178" i="5"/>
  <c r="D178" i="5"/>
  <c r="E178" i="5"/>
  <c r="F178" i="5"/>
  <c r="G178" i="5"/>
  <c r="B178" i="5"/>
  <c r="C175" i="5"/>
  <c r="D175" i="5"/>
  <c r="E175" i="5"/>
  <c r="F175" i="5"/>
  <c r="G175" i="5"/>
  <c r="C170" i="5"/>
  <c r="D170" i="5"/>
  <c r="E170" i="5"/>
  <c r="F170" i="5"/>
  <c r="G170" i="5"/>
  <c r="B170" i="5"/>
  <c r="G270" i="5"/>
  <c r="F270" i="5"/>
  <c r="E270" i="5"/>
  <c r="D270" i="5"/>
  <c r="M270" i="5" s="1"/>
  <c r="C270" i="5"/>
  <c r="L270" i="5" s="1"/>
  <c r="B270" i="5"/>
  <c r="K270" i="5" s="1"/>
  <c r="G269" i="5"/>
  <c r="F269" i="5"/>
  <c r="E269" i="5"/>
  <c r="D269" i="5"/>
  <c r="C269" i="5"/>
  <c r="B269" i="5"/>
  <c r="K269" i="5" s="1"/>
  <c r="Y268" i="5"/>
  <c r="X268" i="5"/>
  <c r="W268" i="5"/>
  <c r="V268" i="5"/>
  <c r="U268" i="5"/>
  <c r="S268" i="5"/>
  <c r="P268" i="5"/>
  <c r="O268" i="5"/>
  <c r="N268" i="5"/>
  <c r="M268" i="5"/>
  <c r="L268" i="5"/>
  <c r="K268" i="5"/>
  <c r="G266" i="5"/>
  <c r="G34" i="5" s="1"/>
  <c r="G54" i="5" s="1"/>
  <c r="F266" i="5"/>
  <c r="F34" i="5" s="1"/>
  <c r="F54" i="5" s="1"/>
  <c r="E266" i="5"/>
  <c r="E34" i="5" s="1"/>
  <c r="D266" i="5"/>
  <c r="D34" i="5" s="1"/>
  <c r="D54" i="5" s="1"/>
  <c r="C53" i="5" s="1"/>
  <c r="C266" i="5"/>
  <c r="C34" i="5" s="1"/>
  <c r="C54" i="5" s="1"/>
  <c r="B266" i="5"/>
  <c r="B34" i="5" s="1"/>
  <c r="Y265" i="5"/>
  <c r="X265" i="5"/>
  <c r="W265" i="5"/>
  <c r="V265" i="5"/>
  <c r="U265" i="5"/>
  <c r="S265" i="5"/>
  <c r="Y264" i="5"/>
  <c r="X264" i="5"/>
  <c r="W264" i="5"/>
  <c r="V264" i="5"/>
  <c r="U264" i="5"/>
  <c r="S264" i="5"/>
  <c r="Y263" i="5"/>
  <c r="X263" i="5"/>
  <c r="W263" i="5"/>
  <c r="V263" i="5"/>
  <c r="U263" i="5"/>
  <c r="S263" i="5"/>
  <c r="Y262" i="5"/>
  <c r="X262" i="5"/>
  <c r="W262" i="5"/>
  <c r="V262" i="5"/>
  <c r="U262" i="5"/>
  <c r="S262" i="5"/>
  <c r="Y261" i="5"/>
  <c r="X261" i="5"/>
  <c r="W261" i="5"/>
  <c r="V261" i="5"/>
  <c r="U261" i="5"/>
  <c r="S261" i="5"/>
  <c r="Y260" i="5"/>
  <c r="X260" i="5"/>
  <c r="W260" i="5"/>
  <c r="V260" i="5"/>
  <c r="U260" i="5"/>
  <c r="S260" i="5"/>
  <c r="G257" i="5"/>
  <c r="G258" i="5" s="1"/>
  <c r="G31" i="5" s="1"/>
  <c r="F257" i="5"/>
  <c r="F258" i="5" s="1"/>
  <c r="F31" i="5" s="1"/>
  <c r="E257" i="5"/>
  <c r="E258" i="5" s="1"/>
  <c r="E31" i="5" s="1"/>
  <c r="D257" i="5"/>
  <c r="D258" i="5" s="1"/>
  <c r="D31" i="5" s="1"/>
  <c r="C257" i="5"/>
  <c r="C258" i="5" s="1"/>
  <c r="C31" i="5" s="1"/>
  <c r="B257" i="5"/>
  <c r="B258" i="5" s="1"/>
  <c r="B31" i="5" s="1"/>
  <c r="Y256" i="5"/>
  <c r="X256" i="5"/>
  <c r="W256" i="5"/>
  <c r="V256" i="5"/>
  <c r="U256" i="5"/>
  <c r="S256" i="5"/>
  <c r="Y255" i="5"/>
  <c r="X255" i="5"/>
  <c r="W255" i="5"/>
  <c r="V255" i="5"/>
  <c r="U255" i="5"/>
  <c r="S255" i="5"/>
  <c r="Y254" i="5"/>
  <c r="X254" i="5"/>
  <c r="W254" i="5"/>
  <c r="V254" i="5"/>
  <c r="U254" i="5"/>
  <c r="S254" i="5"/>
  <c r="Y253" i="5"/>
  <c r="X253" i="5"/>
  <c r="W253" i="5"/>
  <c r="V253" i="5"/>
  <c r="U253" i="5"/>
  <c r="S253" i="5"/>
  <c r="G250" i="5"/>
  <c r="G251" i="5" s="1"/>
  <c r="G27" i="5" s="1"/>
  <c r="F250" i="5"/>
  <c r="F251" i="5" s="1"/>
  <c r="F27" i="5" s="1"/>
  <c r="E250" i="5"/>
  <c r="E251" i="5" s="1"/>
  <c r="E27" i="5" s="1"/>
  <c r="D250" i="5"/>
  <c r="D251" i="5" s="1"/>
  <c r="D27" i="5" s="1"/>
  <c r="C250" i="5"/>
  <c r="C251" i="5" s="1"/>
  <c r="C27" i="5" s="1"/>
  <c r="B250" i="5"/>
  <c r="B251" i="5" s="1"/>
  <c r="B27" i="5" s="1"/>
  <c r="Y249" i="5"/>
  <c r="X249" i="5"/>
  <c r="W249" i="5"/>
  <c r="V249" i="5"/>
  <c r="U249" i="5"/>
  <c r="S249" i="5"/>
  <c r="Y248" i="5"/>
  <c r="X248" i="5"/>
  <c r="W248" i="5"/>
  <c r="V248" i="5"/>
  <c r="U248" i="5"/>
  <c r="T248" i="5" s="1"/>
  <c r="S248" i="5"/>
  <c r="Y247" i="5"/>
  <c r="X247" i="5"/>
  <c r="W247" i="5"/>
  <c r="V247" i="5"/>
  <c r="U247" i="5"/>
  <c r="S247" i="5"/>
  <c r="Y246" i="5"/>
  <c r="X246" i="5"/>
  <c r="W246" i="5"/>
  <c r="V246" i="5"/>
  <c r="U246" i="5"/>
  <c r="S246" i="5"/>
  <c r="Y245" i="5"/>
  <c r="X245" i="5"/>
  <c r="W245" i="5"/>
  <c r="V245" i="5"/>
  <c r="U245" i="5"/>
  <c r="S245" i="5"/>
  <c r="G243" i="5"/>
  <c r="G23" i="5" s="1"/>
  <c r="F243" i="5"/>
  <c r="F23" i="5" s="1"/>
  <c r="E243" i="5"/>
  <c r="E23" i="5" s="1"/>
  <c r="D243" i="5"/>
  <c r="D23" i="5" s="1"/>
  <c r="C243" i="5"/>
  <c r="C23" i="5" s="1"/>
  <c r="B243" i="5"/>
  <c r="B23" i="5" s="1"/>
  <c r="Y242" i="5"/>
  <c r="X242" i="5"/>
  <c r="W242" i="5"/>
  <c r="V242" i="5"/>
  <c r="U242" i="5"/>
  <c r="S242" i="5"/>
  <c r="Y241" i="5"/>
  <c r="X241" i="5"/>
  <c r="W241" i="5"/>
  <c r="V241" i="5"/>
  <c r="U241" i="5"/>
  <c r="S241" i="5"/>
  <c r="G238" i="5"/>
  <c r="G239" i="5" s="1"/>
  <c r="G20" i="5" s="1"/>
  <c r="F238" i="5"/>
  <c r="F239" i="5" s="1"/>
  <c r="F20" i="5" s="1"/>
  <c r="E238" i="5"/>
  <c r="E239" i="5" s="1"/>
  <c r="E20" i="5" s="1"/>
  <c r="D238" i="5"/>
  <c r="D239" i="5" s="1"/>
  <c r="D20" i="5" s="1"/>
  <c r="C238" i="5"/>
  <c r="C239" i="5" s="1"/>
  <c r="C20" i="5" s="1"/>
  <c r="B238" i="5"/>
  <c r="B239" i="5" s="1"/>
  <c r="B20" i="5" s="1"/>
  <c r="G235" i="5"/>
  <c r="G19" i="5" s="1"/>
  <c r="F235" i="5"/>
  <c r="F19" i="5" s="1"/>
  <c r="E235" i="5"/>
  <c r="E19" i="5" s="1"/>
  <c r="D235" i="5"/>
  <c r="D19" i="5" s="1"/>
  <c r="C235" i="5"/>
  <c r="C19" i="5" s="1"/>
  <c r="B235" i="5"/>
  <c r="B19" i="5" s="1"/>
  <c r="Y234" i="5"/>
  <c r="X234" i="5"/>
  <c r="W234" i="5"/>
  <c r="V234" i="5"/>
  <c r="U234" i="5"/>
  <c r="S234" i="5"/>
  <c r="Y233" i="5"/>
  <c r="X233" i="5"/>
  <c r="W233" i="5"/>
  <c r="V233" i="5"/>
  <c r="U233" i="5"/>
  <c r="S233" i="5"/>
  <c r="G231" i="5"/>
  <c r="G10" i="5" s="1"/>
  <c r="G11" i="5" s="1"/>
  <c r="F231" i="5"/>
  <c r="F10" i="5" s="1"/>
  <c r="E231" i="5"/>
  <c r="E10" i="5" s="1"/>
  <c r="E11" i="5" s="1"/>
  <c r="D231" i="5"/>
  <c r="D10" i="5" s="1"/>
  <c r="C231" i="5"/>
  <c r="C10" i="5" s="1"/>
  <c r="C11" i="5" s="1"/>
  <c r="B231" i="5"/>
  <c r="B10" i="5" s="1"/>
  <c r="B11" i="5" s="1"/>
  <c r="Y230" i="5"/>
  <c r="X230" i="5"/>
  <c r="W230" i="5"/>
  <c r="V230" i="5"/>
  <c r="U230" i="5"/>
  <c r="S230" i="5"/>
  <c r="Y229" i="5"/>
  <c r="X229" i="5"/>
  <c r="W229" i="5"/>
  <c r="V229" i="5"/>
  <c r="U229" i="5"/>
  <c r="S229" i="5"/>
  <c r="Y228" i="5"/>
  <c r="X228" i="5"/>
  <c r="W228" i="5"/>
  <c r="V228" i="5"/>
  <c r="U228" i="5"/>
  <c r="S228" i="5"/>
  <c r="Y227" i="5"/>
  <c r="X227" i="5"/>
  <c r="W227" i="5"/>
  <c r="V227" i="5"/>
  <c r="U227" i="5"/>
  <c r="T227" i="5" s="1"/>
  <c r="S227" i="5"/>
  <c r="A226" i="5"/>
  <c r="A225" i="5"/>
  <c r="B223" i="5"/>
  <c r="A223" i="5"/>
  <c r="G214" i="5"/>
  <c r="G212" i="5" s="1"/>
  <c r="G211" i="5" s="1"/>
  <c r="G14" i="5" s="1"/>
  <c r="F214" i="5"/>
  <c r="F212" i="5" s="1"/>
  <c r="E214" i="5"/>
  <c r="E212" i="5" s="1"/>
  <c r="D214" i="5"/>
  <c r="D212" i="5" s="1"/>
  <c r="C214" i="5"/>
  <c r="C212" i="5" s="1"/>
  <c r="C211" i="5" s="1"/>
  <c r="C14" i="5" s="1"/>
  <c r="B214" i="5"/>
  <c r="B212" i="5" s="1"/>
  <c r="A205" i="5"/>
  <c r="A204" i="5"/>
  <c r="B202" i="5"/>
  <c r="A202" i="5"/>
  <c r="Y162" i="5"/>
  <c r="I162" i="5"/>
  <c r="Y160" i="5"/>
  <c r="X160" i="5"/>
  <c r="W160" i="5"/>
  <c r="V160" i="5"/>
  <c r="U160" i="5"/>
  <c r="S160" i="5"/>
  <c r="I160" i="5"/>
  <c r="Y158" i="5"/>
  <c r="X158" i="5"/>
  <c r="W158" i="5"/>
  <c r="V158" i="5"/>
  <c r="U158" i="5"/>
  <c r="S158" i="5"/>
  <c r="I158" i="5"/>
  <c r="Y157" i="5"/>
  <c r="X157" i="5"/>
  <c r="W157" i="5"/>
  <c r="V157" i="5"/>
  <c r="U157" i="5"/>
  <c r="S157" i="5"/>
  <c r="I157" i="5"/>
  <c r="G156" i="5"/>
  <c r="G159" i="5" s="1"/>
  <c r="F156" i="5"/>
  <c r="F159" i="5" s="1"/>
  <c r="E156" i="5"/>
  <c r="E159" i="5" s="1"/>
  <c r="D156" i="5"/>
  <c r="D159" i="5" s="1"/>
  <c r="C156" i="5"/>
  <c r="C159" i="5" s="1"/>
  <c r="B156" i="5"/>
  <c r="B159" i="5" s="1"/>
  <c r="Y155" i="5"/>
  <c r="X155" i="5"/>
  <c r="W155" i="5"/>
  <c r="V155" i="5"/>
  <c r="U155" i="5"/>
  <c r="T155" i="5" s="1"/>
  <c r="S155" i="5"/>
  <c r="I155" i="5"/>
  <c r="Y154" i="5"/>
  <c r="X154" i="5"/>
  <c r="W154" i="5"/>
  <c r="V154" i="5"/>
  <c r="U154" i="5"/>
  <c r="T154" i="5" s="1"/>
  <c r="S154" i="5"/>
  <c r="I154" i="5"/>
  <c r="Y153" i="5"/>
  <c r="X153" i="5"/>
  <c r="W153" i="5"/>
  <c r="V153" i="5"/>
  <c r="U153" i="5"/>
  <c r="T153" i="5" s="1"/>
  <c r="S153" i="5"/>
  <c r="I153" i="5"/>
  <c r="Y152" i="5"/>
  <c r="X152" i="5"/>
  <c r="W152" i="5"/>
  <c r="V152" i="5"/>
  <c r="U152" i="5"/>
  <c r="T152" i="5" s="1"/>
  <c r="S152" i="5"/>
  <c r="I152" i="5"/>
  <c r="Y151" i="5"/>
  <c r="X151" i="5"/>
  <c r="W151" i="5"/>
  <c r="V151" i="5"/>
  <c r="U151" i="5"/>
  <c r="S151" i="5"/>
  <c r="I151" i="5"/>
  <c r="Y150" i="5"/>
  <c r="X150" i="5"/>
  <c r="W150" i="5"/>
  <c r="V150" i="5"/>
  <c r="U150" i="5"/>
  <c r="T150" i="5" s="1"/>
  <c r="S150" i="5"/>
  <c r="I150" i="5"/>
  <c r="Y149" i="5"/>
  <c r="X149" i="5"/>
  <c r="W149" i="5"/>
  <c r="V149" i="5"/>
  <c r="U149" i="5"/>
  <c r="S149" i="5"/>
  <c r="I149" i="5"/>
  <c r="G147" i="5"/>
  <c r="F147" i="5"/>
  <c r="E147" i="5"/>
  <c r="D147" i="5"/>
  <c r="C147" i="5"/>
  <c r="B147" i="5"/>
  <c r="Y146" i="5"/>
  <c r="X146" i="5"/>
  <c r="W146" i="5"/>
  <c r="V146" i="5"/>
  <c r="U146" i="5"/>
  <c r="S146" i="5"/>
  <c r="I146" i="5"/>
  <c r="Y145" i="5"/>
  <c r="X145" i="5"/>
  <c r="W145" i="5"/>
  <c r="V145" i="5"/>
  <c r="U145" i="5"/>
  <c r="S145" i="5"/>
  <c r="I145" i="5"/>
  <c r="Y144" i="5"/>
  <c r="X144" i="5"/>
  <c r="W144" i="5"/>
  <c r="V144" i="5"/>
  <c r="U144" i="5"/>
  <c r="S144" i="5"/>
  <c r="I144" i="5"/>
  <c r="Y143" i="5"/>
  <c r="X143" i="5"/>
  <c r="W143" i="5"/>
  <c r="V143" i="5"/>
  <c r="U143" i="5"/>
  <c r="S143" i="5"/>
  <c r="I143" i="5"/>
  <c r="Y142" i="5"/>
  <c r="X142" i="5"/>
  <c r="W142" i="5"/>
  <c r="V142" i="5"/>
  <c r="U142" i="5"/>
  <c r="T142" i="5" s="1"/>
  <c r="S142" i="5"/>
  <c r="I142" i="5"/>
  <c r="Y141" i="5"/>
  <c r="X141" i="5"/>
  <c r="W141" i="5"/>
  <c r="V141" i="5"/>
  <c r="U141" i="5"/>
  <c r="S141" i="5"/>
  <c r="I141" i="5"/>
  <c r="G137" i="5"/>
  <c r="F137" i="5"/>
  <c r="E137" i="5"/>
  <c r="D137" i="5"/>
  <c r="C137" i="5"/>
  <c r="B137" i="5"/>
  <c r="G136" i="5"/>
  <c r="F136" i="5"/>
  <c r="E136" i="5"/>
  <c r="D136" i="5"/>
  <c r="C136" i="5"/>
  <c r="B136" i="5"/>
  <c r="G135" i="5"/>
  <c r="F135" i="5"/>
  <c r="E135" i="5"/>
  <c r="D135" i="5"/>
  <c r="C135" i="5"/>
  <c r="B135" i="5"/>
  <c r="G134" i="5"/>
  <c r="F134" i="5"/>
  <c r="E134" i="5"/>
  <c r="D134" i="5"/>
  <c r="C134" i="5"/>
  <c r="B134" i="5"/>
  <c r="G133" i="5"/>
  <c r="F133" i="5"/>
  <c r="E133" i="5"/>
  <c r="D133" i="5"/>
  <c r="C133" i="5"/>
  <c r="G131" i="5"/>
  <c r="F131" i="5"/>
  <c r="E131" i="5"/>
  <c r="D131" i="5"/>
  <c r="C131" i="5"/>
  <c r="G130" i="5"/>
  <c r="F130" i="5"/>
  <c r="E130" i="5"/>
  <c r="D130" i="5"/>
  <c r="C130" i="5"/>
  <c r="Y127" i="5"/>
  <c r="X127" i="5"/>
  <c r="W127" i="5"/>
  <c r="V127" i="5"/>
  <c r="U127" i="5"/>
  <c r="S127" i="5"/>
  <c r="I127" i="5"/>
  <c r="Y126" i="5"/>
  <c r="X126" i="5"/>
  <c r="W126" i="5"/>
  <c r="V126" i="5"/>
  <c r="U126" i="5"/>
  <c r="S126" i="5"/>
  <c r="I126" i="5"/>
  <c r="Y125" i="5"/>
  <c r="X125" i="5"/>
  <c r="W125" i="5"/>
  <c r="V125" i="5"/>
  <c r="U125" i="5"/>
  <c r="S125" i="5"/>
  <c r="I125" i="5"/>
  <c r="Y124" i="5"/>
  <c r="X124" i="5"/>
  <c r="W124" i="5"/>
  <c r="V124" i="5"/>
  <c r="U124" i="5"/>
  <c r="S124" i="5"/>
  <c r="I124" i="5"/>
  <c r="Y123" i="5"/>
  <c r="X123" i="5"/>
  <c r="W123" i="5"/>
  <c r="V123" i="5"/>
  <c r="U123" i="5"/>
  <c r="S123" i="5"/>
  <c r="I123" i="5"/>
  <c r="Y122" i="5"/>
  <c r="X122" i="5"/>
  <c r="W122" i="5"/>
  <c r="V122" i="5"/>
  <c r="U122" i="5"/>
  <c r="T122" i="5" s="1"/>
  <c r="S122" i="5"/>
  <c r="Y120" i="5"/>
  <c r="X120" i="5"/>
  <c r="W120" i="5"/>
  <c r="V120" i="5"/>
  <c r="U120" i="5"/>
  <c r="S120" i="5"/>
  <c r="I120" i="5"/>
  <c r="Y119" i="5"/>
  <c r="X119" i="5"/>
  <c r="W119" i="5"/>
  <c r="V119" i="5"/>
  <c r="U119" i="5"/>
  <c r="S119" i="5"/>
  <c r="I119" i="5"/>
  <c r="Y118" i="5"/>
  <c r="X118" i="5"/>
  <c r="W118" i="5"/>
  <c r="V118" i="5"/>
  <c r="U118" i="5"/>
  <c r="S118" i="5"/>
  <c r="I118" i="5"/>
  <c r="Y117" i="5"/>
  <c r="X117" i="5"/>
  <c r="W117" i="5"/>
  <c r="V117" i="5"/>
  <c r="U117" i="5"/>
  <c r="S117" i="5"/>
  <c r="I117" i="5"/>
  <c r="Y116" i="5"/>
  <c r="X116" i="5"/>
  <c r="W116" i="5"/>
  <c r="V116" i="5"/>
  <c r="U116" i="5"/>
  <c r="T116" i="5" s="1"/>
  <c r="S116" i="5"/>
  <c r="I116" i="5"/>
  <c r="Y115" i="5"/>
  <c r="X115" i="5"/>
  <c r="W115" i="5"/>
  <c r="V115" i="5"/>
  <c r="U115" i="5"/>
  <c r="S115" i="5"/>
  <c r="I115" i="5"/>
  <c r="Y114" i="5"/>
  <c r="X114" i="5"/>
  <c r="W114" i="5"/>
  <c r="V114" i="5"/>
  <c r="U114" i="5"/>
  <c r="S114" i="5"/>
  <c r="I114" i="5"/>
  <c r="Y113" i="5"/>
  <c r="X113" i="5"/>
  <c r="W113" i="5"/>
  <c r="V113" i="5"/>
  <c r="U113" i="5"/>
  <c r="S113" i="5"/>
  <c r="I113" i="5"/>
  <c r="Y112" i="5"/>
  <c r="X112" i="5"/>
  <c r="W112" i="5"/>
  <c r="V112" i="5"/>
  <c r="U112" i="5"/>
  <c r="S112" i="5"/>
  <c r="I112" i="5"/>
  <c r="Y111" i="5"/>
  <c r="X111" i="5"/>
  <c r="W111" i="5"/>
  <c r="V111" i="5"/>
  <c r="U111" i="5"/>
  <c r="S111" i="5"/>
  <c r="I111" i="5"/>
  <c r="Y110" i="5"/>
  <c r="X110" i="5"/>
  <c r="W110" i="5"/>
  <c r="V110" i="5"/>
  <c r="U110" i="5"/>
  <c r="S110" i="5"/>
  <c r="I110" i="5"/>
  <c r="Y109" i="5"/>
  <c r="X109" i="5"/>
  <c r="W109" i="5"/>
  <c r="V109" i="5"/>
  <c r="U109" i="5"/>
  <c r="S109" i="5"/>
  <c r="I109" i="5"/>
  <c r="G108" i="5"/>
  <c r="G121" i="5" s="1"/>
  <c r="G128" i="5" s="1"/>
  <c r="F108" i="5"/>
  <c r="F121" i="5" s="1"/>
  <c r="F172" i="5" s="1"/>
  <c r="E108" i="5"/>
  <c r="E121" i="5" s="1"/>
  <c r="E172" i="5" s="1"/>
  <c r="D108" i="5"/>
  <c r="D121" i="5" s="1"/>
  <c r="D172" i="5" s="1"/>
  <c r="D171" i="5" s="1"/>
  <c r="C108" i="5"/>
  <c r="C121" i="5" s="1"/>
  <c r="C128" i="5" s="1"/>
  <c r="B108" i="5"/>
  <c r="A107" i="5"/>
  <c r="A106" i="5"/>
  <c r="B104" i="5"/>
  <c r="K104" i="5" s="1"/>
  <c r="A104" i="5"/>
  <c r="G94" i="5"/>
  <c r="F94" i="5"/>
  <c r="E94" i="5"/>
  <c r="D94" i="5"/>
  <c r="C94" i="5"/>
  <c r="B94" i="5"/>
  <c r="G93" i="5"/>
  <c r="F93" i="5"/>
  <c r="E93" i="5"/>
  <c r="D93" i="5"/>
  <c r="C93" i="5"/>
  <c r="B93" i="5"/>
  <c r="G89" i="5"/>
  <c r="F89" i="5"/>
  <c r="E89" i="5"/>
  <c r="D89" i="5"/>
  <c r="C89" i="5"/>
  <c r="B89" i="5"/>
  <c r="G87" i="5"/>
  <c r="F87" i="5"/>
  <c r="E87" i="5"/>
  <c r="D87" i="5"/>
  <c r="C87" i="5"/>
  <c r="B87" i="5"/>
  <c r="G86" i="5"/>
  <c r="F86" i="5"/>
  <c r="E86" i="5"/>
  <c r="D86" i="5"/>
  <c r="C86" i="5"/>
  <c r="B86" i="5"/>
  <c r="Y80" i="5"/>
  <c r="X80" i="5"/>
  <c r="W80" i="5"/>
  <c r="V80" i="5"/>
  <c r="U80" i="5"/>
  <c r="S80" i="5"/>
  <c r="Y78" i="5"/>
  <c r="X78" i="5"/>
  <c r="W78" i="5"/>
  <c r="V78" i="5"/>
  <c r="U78" i="5"/>
  <c r="S78" i="5"/>
  <c r="Y75" i="5"/>
  <c r="X75" i="5"/>
  <c r="W75" i="5"/>
  <c r="V75" i="5"/>
  <c r="U75" i="5"/>
  <c r="S75" i="5"/>
  <c r="P75" i="5"/>
  <c r="O75" i="5"/>
  <c r="N75" i="5"/>
  <c r="M75" i="5"/>
  <c r="L75" i="5"/>
  <c r="K75" i="5"/>
  <c r="I75" i="5"/>
  <c r="Y73" i="5"/>
  <c r="X73" i="5"/>
  <c r="W73" i="5"/>
  <c r="V73" i="5"/>
  <c r="U73" i="5"/>
  <c r="S73" i="5"/>
  <c r="P73" i="5"/>
  <c r="O73" i="5"/>
  <c r="N73" i="5"/>
  <c r="M73" i="5"/>
  <c r="L73" i="5"/>
  <c r="K73" i="5"/>
  <c r="I73" i="5"/>
  <c r="Y71" i="5"/>
  <c r="X71" i="5"/>
  <c r="W71" i="5"/>
  <c r="V71" i="5"/>
  <c r="U71" i="5"/>
  <c r="S71" i="5"/>
  <c r="P71" i="5"/>
  <c r="O71" i="5"/>
  <c r="N71" i="5"/>
  <c r="M71" i="5"/>
  <c r="L71" i="5"/>
  <c r="K71" i="5"/>
  <c r="I71" i="5"/>
  <c r="Y70" i="5"/>
  <c r="X70" i="5"/>
  <c r="W70" i="5"/>
  <c r="V70" i="5"/>
  <c r="U70" i="5"/>
  <c r="S70" i="5"/>
  <c r="P70" i="5"/>
  <c r="O70" i="5"/>
  <c r="N70" i="5"/>
  <c r="M70" i="5"/>
  <c r="L70" i="5"/>
  <c r="K70" i="5"/>
  <c r="I70" i="5"/>
  <c r="Y67" i="5"/>
  <c r="X67" i="5"/>
  <c r="W67" i="5"/>
  <c r="V67" i="5"/>
  <c r="U67" i="5"/>
  <c r="S67" i="5"/>
  <c r="P67" i="5"/>
  <c r="O67" i="5"/>
  <c r="N67" i="5"/>
  <c r="M67" i="5"/>
  <c r="L67" i="5"/>
  <c r="K67" i="5"/>
  <c r="I67" i="5"/>
  <c r="Y66" i="5"/>
  <c r="X66" i="5"/>
  <c r="W66" i="5"/>
  <c r="V66" i="5"/>
  <c r="U66" i="5"/>
  <c r="S66" i="5"/>
  <c r="P66" i="5"/>
  <c r="O66" i="5"/>
  <c r="N66" i="5"/>
  <c r="M66" i="5"/>
  <c r="L66" i="5"/>
  <c r="K66" i="5"/>
  <c r="I66" i="5"/>
  <c r="G65" i="5"/>
  <c r="P65" i="5" s="1"/>
  <c r="F65" i="5"/>
  <c r="O65" i="5" s="1"/>
  <c r="E65" i="5"/>
  <c r="N65" i="5" s="1"/>
  <c r="D65" i="5"/>
  <c r="M65" i="5" s="1"/>
  <c r="C65" i="5"/>
  <c r="B65" i="5"/>
  <c r="K65" i="5" s="1"/>
  <c r="G64" i="5"/>
  <c r="P64" i="5" s="1"/>
  <c r="F64" i="5"/>
  <c r="O64" i="5" s="1"/>
  <c r="E64" i="5"/>
  <c r="N64" i="5" s="1"/>
  <c r="D64" i="5"/>
  <c r="M64" i="5" s="1"/>
  <c r="C64" i="5"/>
  <c r="L64" i="5" s="1"/>
  <c r="B64" i="5"/>
  <c r="G62" i="5"/>
  <c r="P62" i="5" s="1"/>
  <c r="F62" i="5"/>
  <c r="E62" i="5"/>
  <c r="N62" i="5" s="1"/>
  <c r="D62" i="5"/>
  <c r="C62" i="5"/>
  <c r="B62" i="5"/>
  <c r="K62" i="5" s="1"/>
  <c r="Y61" i="5"/>
  <c r="X61" i="5"/>
  <c r="W61" i="5"/>
  <c r="V61" i="5"/>
  <c r="U61" i="5"/>
  <c r="S61" i="5"/>
  <c r="P61" i="5"/>
  <c r="O61" i="5"/>
  <c r="N61" i="5"/>
  <c r="M61" i="5"/>
  <c r="L61" i="5"/>
  <c r="K61" i="5"/>
  <c r="I61" i="5"/>
  <c r="Y60" i="5"/>
  <c r="X60" i="5"/>
  <c r="W60" i="5"/>
  <c r="V60" i="5"/>
  <c r="U60" i="5"/>
  <c r="S60" i="5"/>
  <c r="P60" i="5"/>
  <c r="O60" i="5"/>
  <c r="N60" i="5"/>
  <c r="M60" i="5"/>
  <c r="L60" i="5"/>
  <c r="K60" i="5"/>
  <c r="I60" i="5"/>
  <c r="A59" i="5"/>
  <c r="A58" i="5"/>
  <c r="B56" i="5"/>
  <c r="S56" i="5" s="1"/>
  <c r="A56" i="5"/>
  <c r="I53" i="5"/>
  <c r="I50" i="5"/>
  <c r="I48" i="5"/>
  <c r="G47" i="5"/>
  <c r="G49" i="5" s="1"/>
  <c r="F47" i="5"/>
  <c r="F49" i="5" s="1"/>
  <c r="E47" i="5"/>
  <c r="E49" i="5" s="1"/>
  <c r="D47" i="5"/>
  <c r="D49" i="5" s="1"/>
  <c r="C47" i="5"/>
  <c r="C49" i="5" s="1"/>
  <c r="B47" i="5"/>
  <c r="B49" i="5" s="1"/>
  <c r="A46" i="5"/>
  <c r="A45" i="5"/>
  <c r="A43" i="5"/>
  <c r="G39" i="5"/>
  <c r="G41" i="5" s="1"/>
  <c r="F39" i="5"/>
  <c r="F41" i="5" s="1"/>
  <c r="E39" i="5"/>
  <c r="E41" i="5" s="1"/>
  <c r="D39" i="5"/>
  <c r="D41" i="5" s="1"/>
  <c r="C39" i="5"/>
  <c r="C41" i="5" s="1"/>
  <c r="B39" i="5"/>
  <c r="B41" i="5" s="1"/>
  <c r="Y33" i="5"/>
  <c r="X33" i="5"/>
  <c r="W33" i="5"/>
  <c r="V33" i="5"/>
  <c r="U33" i="5"/>
  <c r="S33" i="5"/>
  <c r="G30" i="5"/>
  <c r="F30" i="5"/>
  <c r="E30" i="5"/>
  <c r="D30" i="5"/>
  <c r="C30" i="5"/>
  <c r="B30" i="5"/>
  <c r="Y29" i="5"/>
  <c r="X29" i="5"/>
  <c r="W29" i="5"/>
  <c r="V29" i="5"/>
  <c r="U29" i="5"/>
  <c r="S29" i="5"/>
  <c r="G26" i="5"/>
  <c r="F26" i="5"/>
  <c r="E26" i="5"/>
  <c r="D26" i="5"/>
  <c r="C26" i="5"/>
  <c r="B26" i="5"/>
  <c r="Y25" i="5"/>
  <c r="X25" i="5"/>
  <c r="W25" i="5"/>
  <c r="V25" i="5"/>
  <c r="U25" i="5"/>
  <c r="T25" i="5" s="1"/>
  <c r="S25" i="5"/>
  <c r="Y24" i="5"/>
  <c r="X24" i="5"/>
  <c r="W24" i="5"/>
  <c r="V24" i="5"/>
  <c r="U24" i="5"/>
  <c r="S24" i="5"/>
  <c r="G18" i="5"/>
  <c r="F18" i="5"/>
  <c r="E18" i="5"/>
  <c r="D18" i="5"/>
  <c r="C18" i="5"/>
  <c r="B18" i="5"/>
  <c r="Y17" i="5"/>
  <c r="X17" i="5"/>
  <c r="W17" i="5"/>
  <c r="V17" i="5"/>
  <c r="U17" i="5"/>
  <c r="S17" i="5"/>
  <c r="G16" i="5"/>
  <c r="G193" i="5" s="1"/>
  <c r="F16" i="5"/>
  <c r="F193" i="5" s="1"/>
  <c r="E16" i="5"/>
  <c r="E193" i="5" s="1"/>
  <c r="D16" i="5"/>
  <c r="D193" i="5" s="1"/>
  <c r="C16" i="5"/>
  <c r="B16" i="5"/>
  <c r="B193" i="5" s="1"/>
  <c r="G13" i="5"/>
  <c r="F13" i="5"/>
  <c r="E13" i="5"/>
  <c r="D13" i="5"/>
  <c r="C13" i="5"/>
  <c r="B13" i="5"/>
  <c r="G12" i="5"/>
  <c r="F12" i="5"/>
  <c r="E12" i="5"/>
  <c r="D12" i="5"/>
  <c r="C12" i="5"/>
  <c r="B12" i="5"/>
  <c r="Y9" i="5"/>
  <c r="X9" i="5"/>
  <c r="W9" i="5"/>
  <c r="V9" i="5"/>
  <c r="U9" i="5"/>
  <c r="S9" i="5"/>
  <c r="Y8" i="5"/>
  <c r="X8" i="5"/>
  <c r="W8" i="5"/>
  <c r="V8" i="5"/>
  <c r="U8" i="5"/>
  <c r="S8" i="5"/>
  <c r="Y6" i="5"/>
  <c r="X6" i="5"/>
  <c r="W6" i="5"/>
  <c r="V6" i="5"/>
  <c r="U6" i="5"/>
  <c r="S6" i="5"/>
  <c r="S1" i="5"/>
  <c r="K1" i="5"/>
  <c r="I236" i="1"/>
  <c r="H232" i="1"/>
  <c r="H233" i="1"/>
  <c r="H234" i="1"/>
  <c r="H235" i="1"/>
  <c r="H236" i="1"/>
  <c r="G235" i="1"/>
  <c r="G233" i="1"/>
  <c r="G232" i="1"/>
  <c r="B234" i="1"/>
  <c r="B231" i="1"/>
  <c r="B227" i="1"/>
  <c r="B225" i="1"/>
  <c r="B224" i="1"/>
  <c r="A220" i="1"/>
  <c r="A218" i="1"/>
  <c r="B226" i="1"/>
  <c r="B228" i="1"/>
  <c r="D228" i="1"/>
  <c r="C237" i="1"/>
  <c r="B232" i="1"/>
  <c r="B233" i="1"/>
  <c r="G234" i="1"/>
  <c r="G236" i="1"/>
  <c r="B235" i="1"/>
  <c r="B236" i="1"/>
  <c r="B237" i="1"/>
  <c r="D237" i="1"/>
  <c r="D239" i="1"/>
  <c r="D240" i="1"/>
  <c r="B239" i="1"/>
  <c r="B240" i="1"/>
  <c r="C168" i="1"/>
  <c r="C169" i="1"/>
  <c r="C170" i="1"/>
  <c r="C180" i="1"/>
  <c r="C182" i="1"/>
  <c r="C171" i="1"/>
  <c r="C172" i="1"/>
  <c r="C173" i="1"/>
  <c r="C189" i="1"/>
  <c r="C209" i="1"/>
  <c r="D168" i="1"/>
  <c r="D169" i="1"/>
  <c r="D170" i="1"/>
  <c r="D180" i="1"/>
  <c r="D182" i="1"/>
  <c r="D171" i="1"/>
  <c r="D172" i="1"/>
  <c r="D173" i="1"/>
  <c r="D189" i="1"/>
  <c r="D209" i="1"/>
  <c r="E168" i="1"/>
  <c r="E169" i="1"/>
  <c r="E170" i="1"/>
  <c r="E180" i="1"/>
  <c r="E182" i="1"/>
  <c r="E171" i="1"/>
  <c r="E172" i="1"/>
  <c r="E173" i="1"/>
  <c r="E189" i="1"/>
  <c r="E209" i="1"/>
  <c r="F168" i="1"/>
  <c r="F169" i="1"/>
  <c r="F170" i="1"/>
  <c r="F180" i="1"/>
  <c r="F182" i="1"/>
  <c r="F171" i="1"/>
  <c r="F172" i="1"/>
  <c r="F173" i="1"/>
  <c r="F189" i="1"/>
  <c r="F209" i="1"/>
  <c r="G168" i="1"/>
  <c r="G169" i="1"/>
  <c r="G170" i="1"/>
  <c r="G180" i="1"/>
  <c r="G182" i="1"/>
  <c r="G171" i="1"/>
  <c r="G172" i="1"/>
  <c r="G173" i="1"/>
  <c r="G189" i="1"/>
  <c r="G209" i="1"/>
  <c r="H168" i="1"/>
  <c r="H169" i="1"/>
  <c r="H170" i="1"/>
  <c r="H180" i="1"/>
  <c r="H182" i="1"/>
  <c r="H171" i="1"/>
  <c r="H172" i="1"/>
  <c r="H173" i="1"/>
  <c r="H189" i="1"/>
  <c r="H209" i="1"/>
  <c r="C210" i="1"/>
  <c r="D210" i="1"/>
  <c r="E210" i="1"/>
  <c r="F210" i="1"/>
  <c r="G210" i="1"/>
  <c r="H210" i="1"/>
  <c r="C211" i="1"/>
  <c r="D211" i="1"/>
  <c r="E211" i="1"/>
  <c r="F211" i="1"/>
  <c r="G211" i="1"/>
  <c r="H211" i="1"/>
  <c r="B168" i="1"/>
  <c r="B169" i="1"/>
  <c r="B170" i="1"/>
  <c r="B180" i="1"/>
  <c r="B182" i="1"/>
  <c r="B171" i="1"/>
  <c r="B172" i="1"/>
  <c r="B173" i="1"/>
  <c r="B189" i="1"/>
  <c r="B209" i="1"/>
  <c r="B211" i="1"/>
  <c r="B210" i="1"/>
  <c r="C200" i="1"/>
  <c r="C58" i="1"/>
  <c r="C62" i="1"/>
  <c r="C63" i="1"/>
  <c r="C66" i="1"/>
  <c r="C68" i="1"/>
  <c r="C70" i="1"/>
  <c r="C163" i="1"/>
  <c r="C181" i="1"/>
  <c r="C178" i="1"/>
  <c r="C174" i="1"/>
  <c r="C207" i="1"/>
  <c r="D200" i="1"/>
  <c r="D58" i="1"/>
  <c r="D62" i="1"/>
  <c r="D63" i="1"/>
  <c r="D66" i="1"/>
  <c r="D68" i="1"/>
  <c r="D70" i="1"/>
  <c r="D163" i="1"/>
  <c r="D181" i="1"/>
  <c r="D178" i="1"/>
  <c r="D174" i="1"/>
  <c r="D207" i="1"/>
  <c r="E200" i="1"/>
  <c r="E58" i="1"/>
  <c r="E62" i="1"/>
  <c r="E63" i="1"/>
  <c r="E66" i="1"/>
  <c r="E68" i="1"/>
  <c r="E70" i="1"/>
  <c r="E163" i="1"/>
  <c r="E181" i="1"/>
  <c r="E178" i="1"/>
  <c r="E174" i="1"/>
  <c r="E207" i="1"/>
  <c r="F200" i="1"/>
  <c r="F202" i="1" s="1"/>
  <c r="F205" i="1" s="1"/>
  <c r="F206" i="1" s="1"/>
  <c r="F58" i="1"/>
  <c r="F62" i="1"/>
  <c r="F63" i="1"/>
  <c r="F66" i="1"/>
  <c r="F68" i="1"/>
  <c r="F70" i="1"/>
  <c r="F163" i="1"/>
  <c r="F181" i="1"/>
  <c r="F178" i="1"/>
  <c r="F174" i="1"/>
  <c r="F207" i="1"/>
  <c r="G200" i="1"/>
  <c r="G58" i="1"/>
  <c r="G62" i="1"/>
  <c r="G63" i="1"/>
  <c r="G66" i="1"/>
  <c r="G68" i="1"/>
  <c r="G70" i="1"/>
  <c r="G163" i="1"/>
  <c r="G181" i="1"/>
  <c r="G178" i="1"/>
  <c r="G174" i="1"/>
  <c r="G207" i="1"/>
  <c r="H200" i="1"/>
  <c r="H58" i="1"/>
  <c r="H62" i="1"/>
  <c r="H63" i="1"/>
  <c r="H66" i="1"/>
  <c r="H68" i="1"/>
  <c r="H70" i="1"/>
  <c r="H163" i="1"/>
  <c r="H181" i="1"/>
  <c r="H178" i="1"/>
  <c r="H74" i="1"/>
  <c r="H174" i="1"/>
  <c r="H207" i="1"/>
  <c r="I200" i="1"/>
  <c r="I58" i="1"/>
  <c r="I62" i="1"/>
  <c r="I63" i="1"/>
  <c r="I66" i="1"/>
  <c r="I68" i="1"/>
  <c r="I70" i="1"/>
  <c r="I163" i="1"/>
  <c r="I168" i="1"/>
  <c r="I169" i="1"/>
  <c r="I170" i="1"/>
  <c r="I181" i="1"/>
  <c r="I178" i="1"/>
  <c r="I180" i="1"/>
  <c r="I182" i="1"/>
  <c r="I171" i="1"/>
  <c r="I172" i="1"/>
  <c r="I173" i="1"/>
  <c r="I74" i="1"/>
  <c r="I174" i="1"/>
  <c r="I207" i="1"/>
  <c r="B200" i="1"/>
  <c r="B202" i="1" s="1"/>
  <c r="B205" i="1" s="1"/>
  <c r="B206" i="1" s="1"/>
  <c r="B58" i="1"/>
  <c r="B62" i="1"/>
  <c r="B63" i="1"/>
  <c r="B66" i="1"/>
  <c r="B68" i="1"/>
  <c r="B70" i="1"/>
  <c r="B163" i="1"/>
  <c r="B181" i="1"/>
  <c r="B178" i="1"/>
  <c r="B174" i="1"/>
  <c r="B207" i="1"/>
  <c r="C48" i="1"/>
  <c r="C201" i="1"/>
  <c r="C202" i="1"/>
  <c r="C205" i="1" s="1"/>
  <c r="C206" i="1" s="1"/>
  <c r="C203" i="1"/>
  <c r="C204" i="1"/>
  <c r="C188" i="1"/>
  <c r="C197" i="1"/>
  <c r="D48" i="1"/>
  <c r="D201" i="1"/>
  <c r="D202" i="1"/>
  <c r="D205" i="1" s="1"/>
  <c r="D206" i="1" s="1"/>
  <c r="D203" i="1"/>
  <c r="D204" i="1"/>
  <c r="D188" i="1"/>
  <c r="D197" i="1"/>
  <c r="E48" i="1"/>
  <c r="E201" i="1"/>
  <c r="E202" i="1"/>
  <c r="E205" i="1" s="1"/>
  <c r="E206" i="1" s="1"/>
  <c r="E203" i="1"/>
  <c r="E204" i="1"/>
  <c r="E188" i="1"/>
  <c r="E197" i="1"/>
  <c r="F48" i="1"/>
  <c r="F201" i="1"/>
  <c r="F203" i="1"/>
  <c r="F204" i="1"/>
  <c r="F188" i="1"/>
  <c r="F197" i="1"/>
  <c r="G48" i="1"/>
  <c r="G201" i="1"/>
  <c r="G202" i="1"/>
  <c r="G205" i="1" s="1"/>
  <c r="G206" i="1" s="1"/>
  <c r="G203" i="1"/>
  <c r="G204" i="1"/>
  <c r="G188" i="1"/>
  <c r="G197" i="1"/>
  <c r="H201" i="1"/>
  <c r="H202" i="1"/>
  <c r="H205" i="1" s="1"/>
  <c r="H206" i="1" s="1"/>
  <c r="H203" i="1"/>
  <c r="H204" i="1"/>
  <c r="H188" i="1"/>
  <c r="H197" i="1"/>
  <c r="I201" i="1"/>
  <c r="I202" i="1"/>
  <c r="I203" i="1"/>
  <c r="I204" i="1"/>
  <c r="I205" i="1"/>
  <c r="I206" i="1" s="1"/>
  <c r="I188" i="1"/>
  <c r="I197" i="1"/>
  <c r="B48" i="1"/>
  <c r="B201" i="1"/>
  <c r="B203" i="1"/>
  <c r="B204" i="1"/>
  <c r="B188" i="1"/>
  <c r="B197" i="1"/>
  <c r="C186" i="1"/>
  <c r="C198" i="1"/>
  <c r="D186" i="1"/>
  <c r="D198" i="1"/>
  <c r="E186" i="1"/>
  <c r="E198" i="1"/>
  <c r="F186" i="1"/>
  <c r="F198" i="1"/>
  <c r="G186" i="1"/>
  <c r="G198" i="1"/>
  <c r="H186" i="1"/>
  <c r="H198" i="1"/>
  <c r="I186" i="1"/>
  <c r="I198" i="1"/>
  <c r="B186" i="1"/>
  <c r="B198" i="1"/>
  <c r="C187" i="1"/>
  <c r="C191" i="1"/>
  <c r="D187" i="1"/>
  <c r="D191" i="1"/>
  <c r="E187" i="1"/>
  <c r="E191" i="1"/>
  <c r="F187" i="1"/>
  <c r="F191" i="1"/>
  <c r="G187" i="1"/>
  <c r="G191" i="1"/>
  <c r="H187" i="1"/>
  <c r="H191" i="1"/>
  <c r="I187" i="1"/>
  <c r="I191" i="1"/>
  <c r="C192" i="1"/>
  <c r="D192" i="1"/>
  <c r="E192" i="1"/>
  <c r="F192" i="1"/>
  <c r="G192" i="1"/>
  <c r="H192" i="1"/>
  <c r="I192" i="1"/>
  <c r="C193" i="1"/>
  <c r="D193" i="1"/>
  <c r="E193" i="1"/>
  <c r="F193" i="1"/>
  <c r="G193" i="1"/>
  <c r="H193" i="1"/>
  <c r="I193" i="1"/>
  <c r="C194" i="1"/>
  <c r="D194" i="1"/>
  <c r="E194" i="1"/>
  <c r="F194" i="1"/>
  <c r="G194" i="1"/>
  <c r="H194" i="1"/>
  <c r="I189" i="1"/>
  <c r="I194" i="1"/>
  <c r="C195" i="1"/>
  <c r="D195" i="1"/>
  <c r="E195" i="1"/>
  <c r="F195" i="1"/>
  <c r="G195" i="1"/>
  <c r="H195" i="1"/>
  <c r="I195" i="1"/>
  <c r="B195" i="1"/>
  <c r="B194" i="1"/>
  <c r="B193" i="1"/>
  <c r="B187" i="1"/>
  <c r="B192" i="1"/>
  <c r="B191" i="1"/>
  <c r="I177" i="1"/>
  <c r="H177" i="1"/>
  <c r="C177" i="1"/>
  <c r="D177" i="1"/>
  <c r="E177" i="1"/>
  <c r="F177" i="1"/>
  <c r="G177" i="1"/>
  <c r="B177" i="1"/>
  <c r="A159" i="1"/>
  <c r="H137" i="1"/>
  <c r="I137" i="1"/>
  <c r="I128" i="1"/>
  <c r="I114" i="1"/>
  <c r="I83" i="1"/>
  <c r="I99" i="1"/>
  <c r="I104" i="1"/>
  <c r="I106" i="1"/>
  <c r="I130" i="1"/>
  <c r="I132" i="1"/>
  <c r="H131" i="1"/>
  <c r="H128" i="1"/>
  <c r="H114" i="1"/>
  <c r="H83" i="1"/>
  <c r="H99" i="1"/>
  <c r="H104" i="1"/>
  <c r="H106" i="1"/>
  <c r="H130" i="1"/>
  <c r="H132" i="1"/>
  <c r="G83" i="1"/>
  <c r="G99" i="1"/>
  <c r="G106" i="1"/>
  <c r="P126" i="1"/>
  <c r="R126" i="1"/>
  <c r="X126" i="1"/>
  <c r="T126" i="1"/>
  <c r="S126" i="1"/>
  <c r="F83" i="1"/>
  <c r="F99" i="1"/>
  <c r="F106" i="1"/>
  <c r="O126" i="1"/>
  <c r="W126" i="1"/>
  <c r="E83" i="1"/>
  <c r="E99" i="1"/>
  <c r="E106" i="1"/>
  <c r="N126" i="1"/>
  <c r="V126" i="1"/>
  <c r="D83" i="1"/>
  <c r="D99" i="1"/>
  <c r="D106" i="1"/>
  <c r="M126" i="1"/>
  <c r="U126" i="1"/>
  <c r="C83" i="1"/>
  <c r="C99" i="1"/>
  <c r="C106" i="1"/>
  <c r="L126" i="1"/>
  <c r="B83" i="1"/>
  <c r="B99" i="1"/>
  <c r="B106" i="1"/>
  <c r="K126" i="1"/>
  <c r="P124" i="1"/>
  <c r="R124" i="1"/>
  <c r="X124" i="1"/>
  <c r="T124" i="1"/>
  <c r="S124" i="1"/>
  <c r="O124" i="1"/>
  <c r="W124" i="1"/>
  <c r="N124" i="1"/>
  <c r="V124" i="1"/>
  <c r="M124" i="1"/>
  <c r="U124" i="1"/>
  <c r="L124" i="1"/>
  <c r="K124" i="1"/>
  <c r="P123" i="1"/>
  <c r="R123" i="1"/>
  <c r="X123" i="1"/>
  <c r="T123" i="1"/>
  <c r="S123" i="1"/>
  <c r="O123" i="1"/>
  <c r="W123" i="1"/>
  <c r="N123" i="1"/>
  <c r="V123" i="1"/>
  <c r="M123" i="1"/>
  <c r="U123" i="1"/>
  <c r="L123" i="1"/>
  <c r="K123" i="1"/>
  <c r="R94" i="1"/>
  <c r="X94" i="1"/>
  <c r="T94" i="1"/>
  <c r="S94" i="1"/>
  <c r="W94" i="1"/>
  <c r="V94" i="1"/>
  <c r="U94" i="1"/>
  <c r="R88" i="1"/>
  <c r="X88" i="1"/>
  <c r="T88" i="1"/>
  <c r="S88" i="1"/>
  <c r="W88" i="1"/>
  <c r="V88" i="1"/>
  <c r="U88" i="1"/>
  <c r="C72" i="1"/>
  <c r="D72" i="1"/>
  <c r="E72" i="1"/>
  <c r="F72" i="1"/>
  <c r="G72" i="1"/>
  <c r="B72" i="1"/>
  <c r="I72" i="1"/>
  <c r="I75" i="1"/>
  <c r="H72" i="1"/>
  <c r="H75" i="1"/>
  <c r="I47" i="1"/>
  <c r="H47" i="1"/>
  <c r="I43" i="1"/>
  <c r="I34" i="1"/>
  <c r="I44" i="1"/>
  <c r="H43" i="1"/>
  <c r="H34" i="1"/>
  <c r="H44" i="1"/>
  <c r="H18" i="1"/>
  <c r="H45" i="1"/>
  <c r="I18" i="1"/>
  <c r="I45" i="1"/>
  <c r="G13" i="1"/>
  <c r="G18" i="1"/>
  <c r="P36" i="1"/>
  <c r="R36" i="1"/>
  <c r="X36" i="1"/>
  <c r="T36" i="1"/>
  <c r="S36" i="1"/>
  <c r="F13" i="1"/>
  <c r="F18" i="1"/>
  <c r="O36" i="1"/>
  <c r="W36" i="1"/>
  <c r="E13" i="1"/>
  <c r="E18" i="1"/>
  <c r="N36" i="1"/>
  <c r="V36" i="1"/>
  <c r="D13" i="1"/>
  <c r="D18" i="1"/>
  <c r="M36" i="1"/>
  <c r="U36" i="1"/>
  <c r="C13" i="1"/>
  <c r="C18" i="1"/>
  <c r="L36" i="1"/>
  <c r="B13" i="1"/>
  <c r="B18" i="1"/>
  <c r="K36" i="1"/>
  <c r="B75" i="4"/>
  <c r="C70" i="4"/>
  <c r="C71" i="4"/>
  <c r="C72" i="4"/>
  <c r="C73" i="4"/>
  <c r="C74" i="4"/>
  <c r="A70" i="4"/>
  <c r="A71" i="4"/>
  <c r="A72" i="4"/>
  <c r="A73" i="4"/>
  <c r="A74" i="4"/>
  <c r="A69" i="4"/>
  <c r="B52" i="4"/>
  <c r="C52" i="4"/>
  <c r="D52" i="4"/>
  <c r="C51" i="4"/>
  <c r="D51" i="4"/>
  <c r="D57" i="4"/>
  <c r="C58" i="4"/>
  <c r="B58" i="4"/>
  <c r="D58" i="4"/>
  <c r="C59" i="4"/>
  <c r="B59" i="4"/>
  <c r="D59" i="4"/>
  <c r="E17" i="4"/>
  <c r="E22" i="4"/>
  <c r="C54" i="4"/>
  <c r="C60" i="4"/>
  <c r="B54" i="4"/>
  <c r="B60" i="4"/>
  <c r="D60" i="4"/>
  <c r="C61" i="4"/>
  <c r="B61" i="4"/>
  <c r="D61" i="4"/>
  <c r="D56" i="4"/>
  <c r="C50" i="4"/>
  <c r="D50" i="4"/>
  <c r="C53" i="4"/>
  <c r="D53" i="4"/>
  <c r="D54" i="4"/>
  <c r="C49" i="4"/>
  <c r="D49" i="4"/>
  <c r="A44" i="4"/>
  <c r="E28" i="4"/>
  <c r="E29" i="4"/>
  <c r="E31" i="4"/>
  <c r="E32" i="4"/>
  <c r="E33" i="4"/>
  <c r="E36" i="4"/>
  <c r="E38" i="4"/>
  <c r="F36" i="4"/>
  <c r="F38" i="4"/>
  <c r="F40" i="4"/>
  <c r="F37" i="4"/>
  <c r="C25" i="4"/>
  <c r="D26" i="4"/>
  <c r="D24" i="4"/>
  <c r="D25" i="4"/>
  <c r="B25" i="4"/>
  <c r="C29" i="4"/>
  <c r="C32" i="4"/>
  <c r="B29" i="4"/>
  <c r="D29" i="4"/>
  <c r="D30" i="4"/>
  <c r="D31" i="4"/>
  <c r="D32" i="4"/>
  <c r="C22" i="4"/>
  <c r="C33" i="4"/>
  <c r="D17" i="4"/>
  <c r="D18" i="4"/>
  <c r="D19" i="4"/>
  <c r="D20" i="4"/>
  <c r="D21" i="4"/>
  <c r="D22" i="4"/>
  <c r="D33" i="4"/>
  <c r="B32" i="4"/>
  <c r="B22" i="4"/>
  <c r="B33" i="4"/>
  <c r="C28" i="4"/>
  <c r="B28" i="4"/>
  <c r="D27" i="4"/>
  <c r="D28" i="4"/>
  <c r="D14" i="4"/>
  <c r="D15" i="4"/>
  <c r="B16" i="4"/>
  <c r="C16" i="4"/>
  <c r="D16" i="4"/>
  <c r="D13" i="4"/>
  <c r="C218" i="2"/>
  <c r="C219" i="2" s="1"/>
  <c r="C31" i="2" s="1"/>
  <c r="U31" i="2" s="1"/>
  <c r="D218" i="2"/>
  <c r="D219" i="2" s="1"/>
  <c r="D31" i="2" s="1"/>
  <c r="E218" i="2"/>
  <c r="E219" i="2" s="1"/>
  <c r="E31" i="2" s="1"/>
  <c r="F218" i="2"/>
  <c r="F219" i="2" s="1"/>
  <c r="F31" i="2" s="1"/>
  <c r="G218" i="2"/>
  <c r="G219" i="2" s="1"/>
  <c r="G31" i="2" s="1"/>
  <c r="B218" i="2"/>
  <c r="B219" i="2" s="1"/>
  <c r="B31" i="2" s="1"/>
  <c r="C30" i="2"/>
  <c r="D30" i="2"/>
  <c r="E30" i="2"/>
  <c r="F30" i="2"/>
  <c r="G30" i="2"/>
  <c r="B30" i="2"/>
  <c r="C211" i="2"/>
  <c r="D211" i="2"/>
  <c r="E211" i="2"/>
  <c r="F211" i="2"/>
  <c r="G211" i="2"/>
  <c r="C212" i="2"/>
  <c r="C27" i="2" s="1"/>
  <c r="D212" i="2"/>
  <c r="E212" i="2"/>
  <c r="E27" i="2" s="1"/>
  <c r="F212" i="2"/>
  <c r="F27" i="2" s="1"/>
  <c r="G212" i="2"/>
  <c r="B211" i="2"/>
  <c r="B212" i="2"/>
  <c r="C26" i="2"/>
  <c r="D26" i="2"/>
  <c r="E26" i="2"/>
  <c r="F26" i="2"/>
  <c r="G26" i="2"/>
  <c r="B26" i="2"/>
  <c r="C199" i="2"/>
  <c r="C200" i="2"/>
  <c r="C20" i="2" s="1"/>
  <c r="D199" i="2"/>
  <c r="D200" i="2" s="1"/>
  <c r="D20" i="2" s="1"/>
  <c r="E199" i="2"/>
  <c r="E200" i="2" s="1"/>
  <c r="E20" i="2" s="1"/>
  <c r="F199" i="2"/>
  <c r="F200" i="2"/>
  <c r="F20" i="2"/>
  <c r="G199" i="2"/>
  <c r="G200" i="2"/>
  <c r="G20" i="2" s="1"/>
  <c r="B199" i="2"/>
  <c r="B200" i="2" s="1"/>
  <c r="B20" i="2" s="1"/>
  <c r="C18" i="2"/>
  <c r="D18" i="2"/>
  <c r="E18" i="2"/>
  <c r="F18" i="2"/>
  <c r="G18" i="2"/>
  <c r="B18" i="2"/>
  <c r="B12" i="2"/>
  <c r="B192" i="2"/>
  <c r="B10" i="2" s="1"/>
  <c r="B11" i="2" s="1"/>
  <c r="B21" i="2" s="1"/>
  <c r="B196" i="2"/>
  <c r="B19" i="2"/>
  <c r="C12" i="2"/>
  <c r="C192" i="2"/>
  <c r="C10" i="2"/>
  <c r="C11" i="2"/>
  <c r="C21" i="2" s="1"/>
  <c r="C196" i="2"/>
  <c r="C19" i="2"/>
  <c r="D12" i="2"/>
  <c r="D192" i="2"/>
  <c r="D10" i="2" s="1"/>
  <c r="D11" i="2" s="1"/>
  <c r="D21" i="2" s="1"/>
  <c r="D196" i="2"/>
  <c r="D19" i="2" s="1"/>
  <c r="E12" i="2"/>
  <c r="V12" i="2" s="1"/>
  <c r="E192" i="2"/>
  <c r="E10" i="2" s="1"/>
  <c r="E11" i="2" s="1"/>
  <c r="E21" i="2" s="1"/>
  <c r="M191" i="2" s="1"/>
  <c r="E196" i="2"/>
  <c r="E19" i="2"/>
  <c r="F12" i="2"/>
  <c r="F192" i="2"/>
  <c r="F10" i="2"/>
  <c r="F11" i="2"/>
  <c r="F21" i="2" s="1"/>
  <c r="F196" i="2"/>
  <c r="F19" i="2"/>
  <c r="G12" i="2"/>
  <c r="G192" i="2"/>
  <c r="G10" i="2" s="1"/>
  <c r="G11" i="2" s="1"/>
  <c r="G196" i="2"/>
  <c r="G19" i="2" s="1"/>
  <c r="X19" i="2" s="1"/>
  <c r="S19" i="2" s="1"/>
  <c r="R12" i="2"/>
  <c r="T12" i="2"/>
  <c r="U12" i="2"/>
  <c r="X12" i="2"/>
  <c r="B13" i="2"/>
  <c r="C13" i="2"/>
  <c r="D13" i="2"/>
  <c r="U13" i="2" s="1"/>
  <c r="E13" i="2"/>
  <c r="W13" i="2" s="1"/>
  <c r="F13" i="2"/>
  <c r="N13" i="2" s="1"/>
  <c r="G13" i="2"/>
  <c r="X13" i="2"/>
  <c r="B175" i="2"/>
  <c r="B173" i="2" s="1"/>
  <c r="C175" i="2"/>
  <c r="C173" i="2" s="1"/>
  <c r="D175" i="2"/>
  <c r="D173" i="2" s="1"/>
  <c r="E175" i="2"/>
  <c r="E173" i="2" s="1"/>
  <c r="F175" i="2"/>
  <c r="F173" i="2"/>
  <c r="F172" i="2"/>
  <c r="F14" i="2" s="1"/>
  <c r="G175" i="2"/>
  <c r="G173" i="2" s="1"/>
  <c r="F15" i="2"/>
  <c r="B16" i="2"/>
  <c r="C16" i="2"/>
  <c r="T16" i="2" s="1"/>
  <c r="S16" i="2" s="1"/>
  <c r="D16" i="2"/>
  <c r="L16" i="2" s="1"/>
  <c r="E16" i="2"/>
  <c r="F16" i="2"/>
  <c r="N16" i="2" s="1"/>
  <c r="G16" i="2"/>
  <c r="U16" i="2"/>
  <c r="V16" i="2"/>
  <c r="W16" i="2"/>
  <c r="X16" i="2"/>
  <c r="B230" i="2"/>
  <c r="J230" i="2" s="1"/>
  <c r="C230" i="2"/>
  <c r="C232" i="2" s="1"/>
  <c r="D230" i="2"/>
  <c r="L230" i="2" s="1"/>
  <c r="E230" i="2"/>
  <c r="W230" i="2" s="1"/>
  <c r="M230" i="2"/>
  <c r="F230" i="2"/>
  <c r="X230" i="2" s="1"/>
  <c r="G230" i="2"/>
  <c r="O230" i="2" s="1"/>
  <c r="U230" i="2"/>
  <c r="B231" i="2"/>
  <c r="J231" i="2" s="1"/>
  <c r="C231" i="2"/>
  <c r="K231" i="2" s="1"/>
  <c r="D231" i="2"/>
  <c r="L231" i="2"/>
  <c r="E231" i="2"/>
  <c r="W231" i="2" s="1"/>
  <c r="F231" i="2"/>
  <c r="N231" i="2" s="1"/>
  <c r="G231" i="2"/>
  <c r="O231" i="2"/>
  <c r="R231" i="2"/>
  <c r="U231" i="2"/>
  <c r="V231" i="2"/>
  <c r="X231" i="2"/>
  <c r="D232" i="2"/>
  <c r="V232" i="2" s="1"/>
  <c r="L232" i="2"/>
  <c r="E232" i="2"/>
  <c r="B101" i="2"/>
  <c r="B114" i="2" s="1"/>
  <c r="C101" i="2"/>
  <c r="C114" i="2" s="1"/>
  <c r="C121" i="2" s="1"/>
  <c r="D101" i="2"/>
  <c r="D114" i="2" s="1"/>
  <c r="E101" i="2"/>
  <c r="E114" i="2"/>
  <c r="E121" i="2" s="1"/>
  <c r="F101" i="2"/>
  <c r="F114" i="2" s="1"/>
  <c r="G101" i="2"/>
  <c r="G114" i="2" s="1"/>
  <c r="G121" i="2" s="1"/>
  <c r="O153" i="2" s="1"/>
  <c r="H120" i="2"/>
  <c r="H119" i="2"/>
  <c r="H118" i="2"/>
  <c r="H117" i="2"/>
  <c r="H116" i="2"/>
  <c r="H115" i="2"/>
  <c r="H113" i="2"/>
  <c r="H112" i="2"/>
  <c r="H111" i="2"/>
  <c r="H110" i="2"/>
  <c r="H109" i="2"/>
  <c r="H108" i="2"/>
  <c r="H107" i="2"/>
  <c r="H106" i="2"/>
  <c r="H105" i="2"/>
  <c r="H104" i="2"/>
  <c r="H103" i="2"/>
  <c r="B128" i="2"/>
  <c r="H128" i="2" s="1"/>
  <c r="C128" i="2"/>
  <c r="D128" i="2"/>
  <c r="E128" i="2"/>
  <c r="F128" i="2"/>
  <c r="G128" i="2"/>
  <c r="B129" i="2"/>
  <c r="C129" i="2"/>
  <c r="H129" i="2" s="1"/>
  <c r="D129" i="2"/>
  <c r="E129" i="2"/>
  <c r="F129" i="2"/>
  <c r="G129" i="2"/>
  <c r="H155" i="2"/>
  <c r="B149" i="2"/>
  <c r="B152" i="2" s="1"/>
  <c r="B140" i="2"/>
  <c r="C149" i="2"/>
  <c r="C152" i="2"/>
  <c r="C140" i="2"/>
  <c r="C154" i="2" s="1"/>
  <c r="D149" i="2"/>
  <c r="D152" i="2" s="1"/>
  <c r="D140" i="2"/>
  <c r="E149" i="2"/>
  <c r="E152" i="2" s="1"/>
  <c r="E140" i="2"/>
  <c r="F149" i="2"/>
  <c r="F152" i="2"/>
  <c r="F140" i="2"/>
  <c r="G149" i="2"/>
  <c r="G152" i="2" s="1"/>
  <c r="G140" i="2"/>
  <c r="H153" i="2"/>
  <c r="H151" i="2"/>
  <c r="H150" i="2"/>
  <c r="H149" i="2"/>
  <c r="H148" i="2"/>
  <c r="H147" i="2"/>
  <c r="H146" i="2"/>
  <c r="H145" i="2"/>
  <c r="H144" i="2"/>
  <c r="H143" i="2"/>
  <c r="H142" i="2"/>
  <c r="H139" i="2"/>
  <c r="H138" i="2"/>
  <c r="H137" i="2"/>
  <c r="H136" i="2"/>
  <c r="H135" i="2"/>
  <c r="H134" i="2"/>
  <c r="B124" i="2"/>
  <c r="H124" i="2" s="1"/>
  <c r="C124" i="2"/>
  <c r="D124" i="2"/>
  <c r="E124" i="2"/>
  <c r="F124" i="2"/>
  <c r="G124" i="2"/>
  <c r="B123" i="2"/>
  <c r="B125" i="2"/>
  <c r="C123" i="2"/>
  <c r="H123" i="2" s="1"/>
  <c r="D123" i="2"/>
  <c r="D125" i="2" s="1"/>
  <c r="E123" i="2"/>
  <c r="E125" i="2"/>
  <c r="F123" i="2"/>
  <c r="F125" i="2" s="1"/>
  <c r="G123" i="2"/>
  <c r="G125" i="2" s="1"/>
  <c r="B126" i="2"/>
  <c r="H126" i="2" s="1"/>
  <c r="C126" i="2"/>
  <c r="D126" i="2"/>
  <c r="E126" i="2"/>
  <c r="F126" i="2"/>
  <c r="G126" i="2"/>
  <c r="B127" i="2"/>
  <c r="C127" i="2"/>
  <c r="D127" i="2"/>
  <c r="E127" i="2"/>
  <c r="F127" i="2"/>
  <c r="G127" i="2"/>
  <c r="H127" i="2"/>
  <c r="B130" i="2"/>
  <c r="H130" i="2" s="1"/>
  <c r="C130" i="2"/>
  <c r="D130" i="2"/>
  <c r="E130" i="2"/>
  <c r="F130" i="2"/>
  <c r="G130" i="2"/>
  <c r="H102" i="2"/>
  <c r="H101" i="2"/>
  <c r="C62" i="2"/>
  <c r="C64" i="2"/>
  <c r="K64" i="2" s="1"/>
  <c r="C65" i="2"/>
  <c r="H65" i="2" s="1"/>
  <c r="P65" i="2" s="1"/>
  <c r="D62" i="2"/>
  <c r="D64" i="2"/>
  <c r="L64" i="2" s="1"/>
  <c r="D65" i="2"/>
  <c r="L65" i="2" s="1"/>
  <c r="E62" i="2"/>
  <c r="E64" i="2"/>
  <c r="E65" i="2"/>
  <c r="F62" i="2"/>
  <c r="F64" i="2"/>
  <c r="N64" i="2" s="1"/>
  <c r="F65" i="2"/>
  <c r="G62" i="2"/>
  <c r="G64" i="2"/>
  <c r="O64" i="2" s="1"/>
  <c r="G65" i="2"/>
  <c r="O65" i="2" s="1"/>
  <c r="H73" i="2"/>
  <c r="B62" i="2"/>
  <c r="H62" i="2" s="1"/>
  <c r="P62" i="2" s="1"/>
  <c r="B64" i="2"/>
  <c r="H64" i="2" s="1"/>
  <c r="P64" i="2" s="1"/>
  <c r="B65" i="2"/>
  <c r="J64" i="2"/>
  <c r="M64" i="2"/>
  <c r="H60" i="2"/>
  <c r="P73" i="2" s="1"/>
  <c r="J65" i="2"/>
  <c r="K65" i="2"/>
  <c r="M65" i="2"/>
  <c r="N65" i="2"/>
  <c r="H75" i="2"/>
  <c r="P75" i="2"/>
  <c r="H71" i="2"/>
  <c r="P71" i="2" s="1"/>
  <c r="H70" i="2"/>
  <c r="P70" i="2" s="1"/>
  <c r="H67" i="2"/>
  <c r="P67" i="2" s="1"/>
  <c r="H66" i="2"/>
  <c r="P66" i="2" s="1"/>
  <c r="H61" i="2"/>
  <c r="P61" i="2" s="1"/>
  <c r="P60" i="2"/>
  <c r="C93" i="2"/>
  <c r="D93" i="2"/>
  <c r="E93" i="2"/>
  <c r="F93" i="2"/>
  <c r="G93" i="2"/>
  <c r="C94" i="2"/>
  <c r="D94" i="2"/>
  <c r="E94" i="2"/>
  <c r="F94" i="2"/>
  <c r="G94" i="2"/>
  <c r="B93" i="2"/>
  <c r="B94" i="2"/>
  <c r="C86" i="2"/>
  <c r="D86" i="2"/>
  <c r="E86" i="2"/>
  <c r="F86" i="2"/>
  <c r="G86" i="2"/>
  <c r="C87" i="2"/>
  <c r="D87" i="2"/>
  <c r="E87" i="2"/>
  <c r="F87" i="2"/>
  <c r="G87" i="2"/>
  <c r="C89" i="2"/>
  <c r="D89" i="2"/>
  <c r="E89" i="2"/>
  <c r="F89" i="2"/>
  <c r="G89" i="2"/>
  <c r="B89" i="2"/>
  <c r="B86" i="2"/>
  <c r="B87" i="2"/>
  <c r="X229" i="2"/>
  <c r="W229" i="2"/>
  <c r="V229" i="2"/>
  <c r="U229" i="2"/>
  <c r="T229" i="2"/>
  <c r="S229" i="2"/>
  <c r="R229" i="2"/>
  <c r="O229" i="2"/>
  <c r="N229" i="2"/>
  <c r="M229" i="2"/>
  <c r="L229" i="2"/>
  <c r="K229" i="2"/>
  <c r="J229" i="2"/>
  <c r="B227" i="2"/>
  <c r="C227" i="2"/>
  <c r="C34" i="2"/>
  <c r="C54" i="2"/>
  <c r="B53" i="2" s="1"/>
  <c r="D227" i="2"/>
  <c r="D34" i="2" s="1"/>
  <c r="E227" i="2"/>
  <c r="E34" i="2" s="1"/>
  <c r="F227" i="2"/>
  <c r="X227" i="2" s="1"/>
  <c r="G227" i="2"/>
  <c r="G34" i="2" s="1"/>
  <c r="H53" i="2"/>
  <c r="B47" i="2"/>
  <c r="B49" i="2" s="1"/>
  <c r="C47" i="2"/>
  <c r="C49" i="2" s="1"/>
  <c r="D47" i="2"/>
  <c r="D49" i="2" s="1"/>
  <c r="E47" i="2"/>
  <c r="E49" i="2" s="1"/>
  <c r="F47" i="2"/>
  <c r="F49" i="2" s="1"/>
  <c r="G47" i="2"/>
  <c r="G49" i="2" s="1"/>
  <c r="H50" i="2"/>
  <c r="H48" i="2"/>
  <c r="A46" i="2"/>
  <c r="A45" i="2"/>
  <c r="A43" i="2"/>
  <c r="C39" i="2"/>
  <c r="C41" i="2"/>
  <c r="D39" i="2"/>
  <c r="D41" i="2" s="1"/>
  <c r="E39" i="2"/>
  <c r="E41" i="2" s="1"/>
  <c r="F39" i="2"/>
  <c r="F41" i="2"/>
  <c r="G39" i="2"/>
  <c r="G41" i="2" s="1"/>
  <c r="B39" i="2"/>
  <c r="B41" i="2" s="1"/>
  <c r="C204" i="2"/>
  <c r="C23" i="2" s="1"/>
  <c r="C28" i="2" s="1"/>
  <c r="D204" i="2"/>
  <c r="D23" i="2" s="1"/>
  <c r="D28" i="2" s="1"/>
  <c r="D27" i="2"/>
  <c r="E204" i="2"/>
  <c r="E23" i="2" s="1"/>
  <c r="E28" i="2" s="1"/>
  <c r="E32" i="2" s="1"/>
  <c r="F204" i="2"/>
  <c r="F23" i="2" s="1"/>
  <c r="F28" i="2" s="1"/>
  <c r="F32" i="2" s="1"/>
  <c r="G204" i="2"/>
  <c r="G23" i="2"/>
  <c r="G27" i="2"/>
  <c r="G28" i="2"/>
  <c r="G32" i="2" s="1"/>
  <c r="V227" i="2"/>
  <c r="U227" i="2"/>
  <c r="T227" i="2"/>
  <c r="R227" i="2"/>
  <c r="X226" i="2"/>
  <c r="W226" i="2"/>
  <c r="V226" i="2"/>
  <c r="S226" i="2" s="1"/>
  <c r="U226" i="2"/>
  <c r="T226" i="2"/>
  <c r="R226" i="2"/>
  <c r="X225" i="2"/>
  <c r="W225" i="2"/>
  <c r="V225" i="2"/>
  <c r="U225" i="2"/>
  <c r="T225" i="2"/>
  <c r="S225" i="2" s="1"/>
  <c r="R225" i="2"/>
  <c r="X224" i="2"/>
  <c r="S224" i="2" s="1"/>
  <c r="W224" i="2"/>
  <c r="V224" i="2"/>
  <c r="U224" i="2"/>
  <c r="T224" i="2"/>
  <c r="R224" i="2"/>
  <c r="X223" i="2"/>
  <c r="W223" i="2"/>
  <c r="V223" i="2"/>
  <c r="U223" i="2"/>
  <c r="T223" i="2"/>
  <c r="S223" i="2" s="1"/>
  <c r="R223" i="2"/>
  <c r="X222" i="2"/>
  <c r="W222" i="2"/>
  <c r="V222" i="2"/>
  <c r="U222" i="2"/>
  <c r="T222" i="2"/>
  <c r="S222" i="2" s="1"/>
  <c r="R222" i="2"/>
  <c r="X221" i="2"/>
  <c r="W221" i="2"/>
  <c r="V221" i="2"/>
  <c r="U221" i="2"/>
  <c r="T221" i="2"/>
  <c r="S221" i="2" s="1"/>
  <c r="R221" i="2"/>
  <c r="B27" i="2"/>
  <c r="B204" i="2"/>
  <c r="B23" i="2"/>
  <c r="R25" i="2"/>
  <c r="X25" i="2"/>
  <c r="T25" i="2"/>
  <c r="S25" i="2"/>
  <c r="W25" i="2"/>
  <c r="V25" i="2"/>
  <c r="U25" i="2"/>
  <c r="X217" i="2"/>
  <c r="W217" i="2"/>
  <c r="V217" i="2"/>
  <c r="S217" i="2" s="1"/>
  <c r="U217" i="2"/>
  <c r="T217" i="2"/>
  <c r="R217" i="2"/>
  <c r="X216" i="2"/>
  <c r="W216" i="2"/>
  <c r="V216" i="2"/>
  <c r="U216" i="2"/>
  <c r="T216" i="2"/>
  <c r="S216" i="2"/>
  <c r="R216" i="2"/>
  <c r="X215" i="2"/>
  <c r="W215" i="2"/>
  <c r="V215" i="2"/>
  <c r="U215" i="2"/>
  <c r="T215" i="2"/>
  <c r="R215" i="2"/>
  <c r="X214" i="2"/>
  <c r="W214" i="2"/>
  <c r="V214" i="2"/>
  <c r="U214" i="2"/>
  <c r="T214" i="2"/>
  <c r="S214" i="2" s="1"/>
  <c r="R214" i="2"/>
  <c r="K214" i="2"/>
  <c r="X210" i="2"/>
  <c r="W210" i="2"/>
  <c r="V210" i="2"/>
  <c r="U210" i="2"/>
  <c r="T210" i="2"/>
  <c r="R210" i="2"/>
  <c r="L210" i="2"/>
  <c r="X209" i="2"/>
  <c r="W209" i="2"/>
  <c r="V209" i="2"/>
  <c r="U209" i="2"/>
  <c r="T209" i="2"/>
  <c r="S209" i="2" s="1"/>
  <c r="R209" i="2"/>
  <c r="M209" i="2"/>
  <c r="X208" i="2"/>
  <c r="W208" i="2"/>
  <c r="V208" i="2"/>
  <c r="U208" i="2"/>
  <c r="T208" i="2"/>
  <c r="S208" i="2"/>
  <c r="R208" i="2"/>
  <c r="N208" i="2"/>
  <c r="X207" i="2"/>
  <c r="W207" i="2"/>
  <c r="V207" i="2"/>
  <c r="U207" i="2"/>
  <c r="T207" i="2"/>
  <c r="S207" i="2" s="1"/>
  <c r="R207" i="2"/>
  <c r="K207" i="2"/>
  <c r="X206" i="2"/>
  <c r="W206" i="2"/>
  <c r="V206" i="2"/>
  <c r="U206" i="2"/>
  <c r="T206" i="2"/>
  <c r="R206" i="2"/>
  <c r="L206" i="2"/>
  <c r="X203" i="2"/>
  <c r="W203" i="2"/>
  <c r="V203" i="2"/>
  <c r="U203" i="2"/>
  <c r="T203" i="2"/>
  <c r="S203" i="2"/>
  <c r="R203" i="2"/>
  <c r="X202" i="2"/>
  <c r="W202" i="2"/>
  <c r="V202" i="2"/>
  <c r="U202" i="2"/>
  <c r="T202" i="2"/>
  <c r="S202" i="2" s="1"/>
  <c r="R202" i="2"/>
  <c r="N202" i="2"/>
  <c r="X195" i="2"/>
  <c r="W195" i="2"/>
  <c r="V195" i="2"/>
  <c r="U195" i="2"/>
  <c r="S195" i="2" s="1"/>
  <c r="T195" i="2"/>
  <c r="R195" i="2"/>
  <c r="J195" i="2"/>
  <c r="X194" i="2"/>
  <c r="W194" i="2"/>
  <c r="V194" i="2"/>
  <c r="S194" i="2" s="1"/>
  <c r="U194" i="2"/>
  <c r="T194" i="2"/>
  <c r="R194" i="2"/>
  <c r="K194" i="2"/>
  <c r="B184" i="2"/>
  <c r="A187" i="2"/>
  <c r="A186" i="2"/>
  <c r="A184" i="2"/>
  <c r="X191" i="2"/>
  <c r="W191" i="2"/>
  <c r="V191" i="2"/>
  <c r="U191" i="2"/>
  <c r="T191" i="2"/>
  <c r="R191" i="2"/>
  <c r="X190" i="2"/>
  <c r="W190" i="2"/>
  <c r="V190" i="2"/>
  <c r="U190" i="2"/>
  <c r="T190" i="2"/>
  <c r="S190" i="2"/>
  <c r="R190" i="2"/>
  <c r="N190" i="2"/>
  <c r="X189" i="2"/>
  <c r="W189" i="2"/>
  <c r="V189" i="2"/>
  <c r="U189" i="2"/>
  <c r="T189" i="2"/>
  <c r="S189" i="2" s="1"/>
  <c r="R189" i="2"/>
  <c r="K189" i="2"/>
  <c r="X188" i="2"/>
  <c r="W188" i="2"/>
  <c r="V188" i="2"/>
  <c r="U188" i="2"/>
  <c r="T188" i="2"/>
  <c r="S188" i="2"/>
  <c r="R188" i="2"/>
  <c r="L188" i="2"/>
  <c r="A166" i="2"/>
  <c r="A165" i="2"/>
  <c r="B163" i="2"/>
  <c r="A163" i="2"/>
  <c r="X155" i="2"/>
  <c r="X153" i="2"/>
  <c r="W153" i="2"/>
  <c r="V153" i="2"/>
  <c r="U153" i="2"/>
  <c r="T153" i="2"/>
  <c r="S153" i="2" s="1"/>
  <c r="R153" i="2"/>
  <c r="K153" i="2"/>
  <c r="R152" i="2"/>
  <c r="X151" i="2"/>
  <c r="W151" i="2"/>
  <c r="V151" i="2"/>
  <c r="U151" i="2"/>
  <c r="T151" i="2"/>
  <c r="S151" i="2"/>
  <c r="R151" i="2"/>
  <c r="X150" i="2"/>
  <c r="W150" i="2"/>
  <c r="V150" i="2"/>
  <c r="U150" i="2"/>
  <c r="T150" i="2"/>
  <c r="R150" i="2"/>
  <c r="X148" i="2"/>
  <c r="W148" i="2"/>
  <c r="V148" i="2"/>
  <c r="U148" i="2"/>
  <c r="T148" i="2"/>
  <c r="S148" i="2" s="1"/>
  <c r="R148" i="2"/>
  <c r="X147" i="2"/>
  <c r="W147" i="2"/>
  <c r="V147" i="2"/>
  <c r="U147" i="2"/>
  <c r="T147" i="2"/>
  <c r="S147" i="2"/>
  <c r="R147" i="2"/>
  <c r="K147" i="2"/>
  <c r="X146" i="2"/>
  <c r="W146" i="2"/>
  <c r="V146" i="2"/>
  <c r="U146" i="2"/>
  <c r="T146" i="2"/>
  <c r="S146" i="2" s="1"/>
  <c r="R146" i="2"/>
  <c r="X145" i="2"/>
  <c r="W145" i="2"/>
  <c r="V145" i="2"/>
  <c r="U145" i="2"/>
  <c r="T145" i="2"/>
  <c r="S145" i="2" s="1"/>
  <c r="R145" i="2"/>
  <c r="M145" i="2"/>
  <c r="K145" i="2"/>
  <c r="X144" i="2"/>
  <c r="W144" i="2"/>
  <c r="V144" i="2"/>
  <c r="U144" i="2"/>
  <c r="T144" i="2"/>
  <c r="S144" i="2" s="1"/>
  <c r="R144" i="2"/>
  <c r="K144" i="2"/>
  <c r="X143" i="2"/>
  <c r="W143" i="2"/>
  <c r="V143" i="2"/>
  <c r="U143" i="2"/>
  <c r="T143" i="2"/>
  <c r="S143" i="2"/>
  <c r="R143" i="2"/>
  <c r="O143" i="2"/>
  <c r="M143" i="2"/>
  <c r="X142" i="2"/>
  <c r="W142" i="2"/>
  <c r="V142" i="2"/>
  <c r="U142" i="2"/>
  <c r="T142" i="2"/>
  <c r="S142" i="2" s="1"/>
  <c r="R142" i="2"/>
  <c r="M142" i="2"/>
  <c r="X140" i="2"/>
  <c r="S140" i="2" s="1"/>
  <c r="W140" i="2"/>
  <c r="V140" i="2"/>
  <c r="U140" i="2"/>
  <c r="T140" i="2"/>
  <c r="R140" i="2"/>
  <c r="K140" i="2"/>
  <c r="X139" i="2"/>
  <c r="W139" i="2"/>
  <c r="V139" i="2"/>
  <c r="U139" i="2"/>
  <c r="T139" i="2"/>
  <c r="R139" i="2"/>
  <c r="K139" i="2"/>
  <c r="X138" i="2"/>
  <c r="W138" i="2"/>
  <c r="V138" i="2"/>
  <c r="U138" i="2"/>
  <c r="S138" i="2" s="1"/>
  <c r="T138" i="2"/>
  <c r="R138" i="2"/>
  <c r="X137" i="2"/>
  <c r="W137" i="2"/>
  <c r="V137" i="2"/>
  <c r="U137" i="2"/>
  <c r="T137" i="2"/>
  <c r="S137" i="2" s="1"/>
  <c r="R137" i="2"/>
  <c r="M137" i="2"/>
  <c r="X136" i="2"/>
  <c r="W136" i="2"/>
  <c r="V136" i="2"/>
  <c r="U136" i="2"/>
  <c r="T136" i="2"/>
  <c r="S136" i="2" s="1"/>
  <c r="R136" i="2"/>
  <c r="K136" i="2"/>
  <c r="X135" i="2"/>
  <c r="W135" i="2"/>
  <c r="V135" i="2"/>
  <c r="U135" i="2"/>
  <c r="T135" i="2"/>
  <c r="S135" i="2" s="1"/>
  <c r="R135" i="2"/>
  <c r="X134" i="2"/>
  <c r="W134" i="2"/>
  <c r="V134" i="2"/>
  <c r="S134" i="2" s="1"/>
  <c r="U134" i="2"/>
  <c r="T134" i="2"/>
  <c r="R134" i="2"/>
  <c r="M134" i="2"/>
  <c r="K134" i="2"/>
  <c r="X120" i="2"/>
  <c r="W120" i="2"/>
  <c r="V120" i="2"/>
  <c r="U120" i="2"/>
  <c r="T120" i="2"/>
  <c r="S120" i="2" s="1"/>
  <c r="R120" i="2"/>
  <c r="X119" i="2"/>
  <c r="W119" i="2"/>
  <c r="V119" i="2"/>
  <c r="U119" i="2"/>
  <c r="T119" i="2"/>
  <c r="S119" i="2"/>
  <c r="R119" i="2"/>
  <c r="X118" i="2"/>
  <c r="W118" i="2"/>
  <c r="V118" i="2"/>
  <c r="U118" i="2"/>
  <c r="T118" i="2"/>
  <c r="S118" i="2"/>
  <c r="R118" i="2"/>
  <c r="X117" i="2"/>
  <c r="W117" i="2"/>
  <c r="V117" i="2"/>
  <c r="U117" i="2"/>
  <c r="T117" i="2"/>
  <c r="R117" i="2"/>
  <c r="X116" i="2"/>
  <c r="W116" i="2"/>
  <c r="V116" i="2"/>
  <c r="U116" i="2"/>
  <c r="T116" i="2"/>
  <c r="S116" i="2"/>
  <c r="R116" i="2"/>
  <c r="X115" i="2"/>
  <c r="W115" i="2"/>
  <c r="V115" i="2"/>
  <c r="U115" i="2"/>
  <c r="T115" i="2"/>
  <c r="S115" i="2" s="1"/>
  <c r="R115" i="2"/>
  <c r="W114" i="2"/>
  <c r="U114" i="2"/>
  <c r="X113" i="2"/>
  <c r="W113" i="2"/>
  <c r="V113" i="2"/>
  <c r="U113" i="2"/>
  <c r="T113" i="2"/>
  <c r="R113" i="2"/>
  <c r="X112" i="2"/>
  <c r="W112" i="2"/>
  <c r="V112" i="2"/>
  <c r="U112" i="2"/>
  <c r="T112" i="2"/>
  <c r="S112" i="2" s="1"/>
  <c r="R112" i="2"/>
  <c r="X111" i="2"/>
  <c r="W111" i="2"/>
  <c r="V111" i="2"/>
  <c r="U111" i="2"/>
  <c r="T111" i="2"/>
  <c r="S111" i="2" s="1"/>
  <c r="R111" i="2"/>
  <c r="X110" i="2"/>
  <c r="W110" i="2"/>
  <c r="V110" i="2"/>
  <c r="S110" i="2" s="1"/>
  <c r="U110" i="2"/>
  <c r="T110" i="2"/>
  <c r="R110" i="2"/>
  <c r="X109" i="2"/>
  <c r="W109" i="2"/>
  <c r="V109" i="2"/>
  <c r="U109" i="2"/>
  <c r="T109" i="2"/>
  <c r="S109" i="2" s="1"/>
  <c r="R109" i="2"/>
  <c r="X108" i="2"/>
  <c r="W108" i="2"/>
  <c r="V108" i="2"/>
  <c r="U108" i="2"/>
  <c r="T108" i="2"/>
  <c r="R108" i="2"/>
  <c r="X107" i="2"/>
  <c r="W107" i="2"/>
  <c r="V107" i="2"/>
  <c r="U107" i="2"/>
  <c r="T107" i="2"/>
  <c r="S107" i="2" s="1"/>
  <c r="R107" i="2"/>
  <c r="X106" i="2"/>
  <c r="W106" i="2"/>
  <c r="V106" i="2"/>
  <c r="U106" i="2"/>
  <c r="T106" i="2"/>
  <c r="S106" i="2"/>
  <c r="R106" i="2"/>
  <c r="X105" i="2"/>
  <c r="W105" i="2"/>
  <c r="V105" i="2"/>
  <c r="U105" i="2"/>
  <c r="T105" i="2"/>
  <c r="R105" i="2"/>
  <c r="X104" i="2"/>
  <c r="W104" i="2"/>
  <c r="V104" i="2"/>
  <c r="U104" i="2"/>
  <c r="T104" i="2"/>
  <c r="S104" i="2"/>
  <c r="R104" i="2"/>
  <c r="X103" i="2"/>
  <c r="W103" i="2"/>
  <c r="V103" i="2"/>
  <c r="U103" i="2"/>
  <c r="T103" i="2"/>
  <c r="S103" i="2" s="1"/>
  <c r="R103" i="2"/>
  <c r="X102" i="2"/>
  <c r="W102" i="2"/>
  <c r="V102" i="2"/>
  <c r="U102" i="2"/>
  <c r="S102" i="2" s="1"/>
  <c r="T102" i="2"/>
  <c r="R102" i="2"/>
  <c r="X101" i="2"/>
  <c r="W101" i="2"/>
  <c r="V101" i="2"/>
  <c r="U101" i="2"/>
  <c r="T101" i="2"/>
  <c r="R101" i="2"/>
  <c r="A100" i="2"/>
  <c r="A99" i="2"/>
  <c r="B97" i="2"/>
  <c r="R97" i="2"/>
  <c r="J97" i="2"/>
  <c r="A97" i="2"/>
  <c r="X80" i="2"/>
  <c r="W80" i="2"/>
  <c r="V80" i="2"/>
  <c r="S80" i="2" s="1"/>
  <c r="U80" i="2"/>
  <c r="T80" i="2"/>
  <c r="R80" i="2"/>
  <c r="X78" i="2"/>
  <c r="W78" i="2"/>
  <c r="V78" i="2"/>
  <c r="U78" i="2"/>
  <c r="T78" i="2"/>
  <c r="S78" i="2"/>
  <c r="R78" i="2"/>
  <c r="X75" i="2"/>
  <c r="W75" i="2"/>
  <c r="V75" i="2"/>
  <c r="U75" i="2"/>
  <c r="S75" i="2" s="1"/>
  <c r="T75" i="2"/>
  <c r="R75" i="2"/>
  <c r="O75" i="2"/>
  <c r="N75" i="2"/>
  <c r="M75" i="2"/>
  <c r="L75" i="2"/>
  <c r="K75" i="2"/>
  <c r="J75" i="2"/>
  <c r="X73" i="2"/>
  <c r="W73" i="2"/>
  <c r="V73" i="2"/>
  <c r="U73" i="2"/>
  <c r="T73" i="2"/>
  <c r="R73" i="2"/>
  <c r="O73" i="2"/>
  <c r="N73" i="2"/>
  <c r="M73" i="2"/>
  <c r="L73" i="2"/>
  <c r="K73" i="2"/>
  <c r="J73" i="2"/>
  <c r="X71" i="2"/>
  <c r="W71" i="2"/>
  <c r="V71" i="2"/>
  <c r="U71" i="2"/>
  <c r="T71" i="2"/>
  <c r="S71" i="2"/>
  <c r="R71" i="2"/>
  <c r="O71" i="2"/>
  <c r="N71" i="2"/>
  <c r="M71" i="2"/>
  <c r="L71" i="2"/>
  <c r="K71" i="2"/>
  <c r="J71" i="2"/>
  <c r="X70" i="2"/>
  <c r="W70" i="2"/>
  <c r="V70" i="2"/>
  <c r="U70" i="2"/>
  <c r="T70" i="2"/>
  <c r="S70" i="2" s="1"/>
  <c r="R70" i="2"/>
  <c r="O70" i="2"/>
  <c r="N70" i="2"/>
  <c r="M70" i="2"/>
  <c r="L70" i="2"/>
  <c r="K70" i="2"/>
  <c r="J70" i="2"/>
  <c r="X67" i="2"/>
  <c r="W67" i="2"/>
  <c r="S67" i="2" s="1"/>
  <c r="V67" i="2"/>
  <c r="U67" i="2"/>
  <c r="T67" i="2"/>
  <c r="R67" i="2"/>
  <c r="O67" i="2"/>
  <c r="N67" i="2"/>
  <c r="M67" i="2"/>
  <c r="L67" i="2"/>
  <c r="K67" i="2"/>
  <c r="J67" i="2"/>
  <c r="X66" i="2"/>
  <c r="W66" i="2"/>
  <c r="V66" i="2"/>
  <c r="U66" i="2"/>
  <c r="T66" i="2"/>
  <c r="S66" i="2" s="1"/>
  <c r="R66" i="2"/>
  <c r="O66" i="2"/>
  <c r="N66" i="2"/>
  <c r="M66" i="2"/>
  <c r="L66" i="2"/>
  <c r="K66" i="2"/>
  <c r="J66" i="2"/>
  <c r="X62" i="2"/>
  <c r="W62" i="2"/>
  <c r="V62" i="2"/>
  <c r="U62" i="2"/>
  <c r="T62" i="2"/>
  <c r="R62" i="2"/>
  <c r="O62" i="2"/>
  <c r="N62" i="2"/>
  <c r="M62" i="2"/>
  <c r="L62" i="2"/>
  <c r="K62" i="2"/>
  <c r="J62" i="2"/>
  <c r="X61" i="2"/>
  <c r="W61" i="2"/>
  <c r="S61" i="2" s="1"/>
  <c r="V61" i="2"/>
  <c r="U61" i="2"/>
  <c r="T61" i="2"/>
  <c r="R61" i="2"/>
  <c r="O61" i="2"/>
  <c r="N61" i="2"/>
  <c r="M61" i="2"/>
  <c r="L61" i="2"/>
  <c r="K61" i="2"/>
  <c r="J61" i="2"/>
  <c r="X60" i="2"/>
  <c r="W60" i="2"/>
  <c r="V60" i="2"/>
  <c r="U60" i="2"/>
  <c r="T60" i="2"/>
  <c r="S60" i="2" s="1"/>
  <c r="R60" i="2"/>
  <c r="O60" i="2"/>
  <c r="N60" i="2"/>
  <c r="M60" i="2"/>
  <c r="L60" i="2"/>
  <c r="K60" i="2"/>
  <c r="J60" i="2"/>
  <c r="A59" i="2"/>
  <c r="A58" i="2"/>
  <c r="B56" i="2"/>
  <c r="R56" i="2"/>
  <c r="J56" i="2"/>
  <c r="A56" i="2"/>
  <c r="B28" i="2"/>
  <c r="J28" i="2" s="1"/>
  <c r="V34" i="2"/>
  <c r="L34" i="2"/>
  <c r="X33" i="2"/>
  <c r="W33" i="2"/>
  <c r="V33" i="2"/>
  <c r="U33" i="2"/>
  <c r="T33" i="2"/>
  <c r="R33" i="2"/>
  <c r="N33" i="2"/>
  <c r="K33" i="2"/>
  <c r="X32" i="2"/>
  <c r="N32" i="2"/>
  <c r="W31" i="2"/>
  <c r="V31" i="2"/>
  <c r="R31" i="2"/>
  <c r="L31" i="2"/>
  <c r="X29" i="2"/>
  <c r="W29" i="2"/>
  <c r="V29" i="2"/>
  <c r="U29" i="2"/>
  <c r="T29" i="2"/>
  <c r="S29" i="2" s="1"/>
  <c r="R29" i="2"/>
  <c r="N29" i="2"/>
  <c r="L29" i="2"/>
  <c r="X28" i="2"/>
  <c r="U28" i="2"/>
  <c r="N28" i="2"/>
  <c r="K28" i="2"/>
  <c r="X27" i="2"/>
  <c r="W27" i="2"/>
  <c r="S27" i="2" s="1"/>
  <c r="V27" i="2"/>
  <c r="U27" i="2"/>
  <c r="T27" i="2"/>
  <c r="R27" i="2"/>
  <c r="N27" i="2"/>
  <c r="L27" i="2"/>
  <c r="K27" i="2"/>
  <c r="X24" i="2"/>
  <c r="W24" i="2"/>
  <c r="S24" i="2" s="1"/>
  <c r="V24" i="2"/>
  <c r="U24" i="2"/>
  <c r="T24" i="2"/>
  <c r="R24" i="2"/>
  <c r="M24" i="2"/>
  <c r="L24" i="2"/>
  <c r="K24" i="2"/>
  <c r="X23" i="2"/>
  <c r="U23" i="2"/>
  <c r="T23" i="2"/>
  <c r="R23" i="2"/>
  <c r="N23" i="2"/>
  <c r="M23" i="2"/>
  <c r="L23" i="2"/>
  <c r="K23" i="2"/>
  <c r="U21" i="2"/>
  <c r="N21" i="2"/>
  <c r="L21" i="2"/>
  <c r="K21" i="2"/>
  <c r="X20" i="2"/>
  <c r="W20" i="2"/>
  <c r="V20" i="2"/>
  <c r="U20" i="2"/>
  <c r="T20" i="2"/>
  <c r="S20" i="2" s="1"/>
  <c r="R20" i="2"/>
  <c r="N20" i="2"/>
  <c r="L20" i="2"/>
  <c r="K20" i="2"/>
  <c r="W19" i="2"/>
  <c r="V19" i="2"/>
  <c r="U19" i="2"/>
  <c r="T19" i="2"/>
  <c r="R19" i="2"/>
  <c r="N19" i="2"/>
  <c r="L19" i="2"/>
  <c r="K19" i="2"/>
  <c r="X17" i="2"/>
  <c r="W17" i="2"/>
  <c r="V17" i="2"/>
  <c r="U17" i="2"/>
  <c r="T17" i="2"/>
  <c r="S17" i="2"/>
  <c r="R17" i="2"/>
  <c r="N17" i="2"/>
  <c r="L17" i="2"/>
  <c r="K17" i="2"/>
  <c r="X11" i="2"/>
  <c r="U11" i="2"/>
  <c r="T11" i="2"/>
  <c r="N11" i="2"/>
  <c r="L11" i="2"/>
  <c r="K11" i="2"/>
  <c r="X10" i="2"/>
  <c r="U10" i="2"/>
  <c r="N10" i="2"/>
  <c r="L10" i="2"/>
  <c r="K10" i="2"/>
  <c r="X9" i="2"/>
  <c r="W9" i="2"/>
  <c r="V9" i="2"/>
  <c r="U9" i="2"/>
  <c r="T9" i="2"/>
  <c r="S9" i="2" s="1"/>
  <c r="R9" i="2"/>
  <c r="N9" i="2"/>
  <c r="L9" i="2"/>
  <c r="K9" i="2"/>
  <c r="X8" i="2"/>
  <c r="W8" i="2"/>
  <c r="V8" i="2"/>
  <c r="U8" i="2"/>
  <c r="S8" i="2" s="1"/>
  <c r="T8" i="2"/>
  <c r="R8" i="2"/>
  <c r="N8" i="2"/>
  <c r="L8" i="2"/>
  <c r="K8" i="2"/>
  <c r="J8" i="2"/>
  <c r="X6" i="2"/>
  <c r="S6" i="2" s="1"/>
  <c r="W6" i="2"/>
  <c r="V6" i="2"/>
  <c r="U6" i="2"/>
  <c r="T6" i="2"/>
  <c r="R6" i="2"/>
  <c r="N6" i="2"/>
  <c r="L6" i="2"/>
  <c r="K6" i="2"/>
  <c r="J6" i="2"/>
  <c r="R1" i="2"/>
  <c r="J1" i="2"/>
  <c r="G128" i="1"/>
  <c r="G114" i="1"/>
  <c r="G130" i="1"/>
  <c r="G132" i="1"/>
  <c r="P132" i="1"/>
  <c r="F128" i="1"/>
  <c r="F114" i="1"/>
  <c r="F130" i="1"/>
  <c r="F132" i="1"/>
  <c r="O132" i="1"/>
  <c r="E131" i="1"/>
  <c r="E128" i="1"/>
  <c r="E114" i="1"/>
  <c r="E130" i="1"/>
  <c r="E132" i="1"/>
  <c r="N132" i="1"/>
  <c r="D128" i="1"/>
  <c r="D114" i="1"/>
  <c r="D130" i="1"/>
  <c r="D132" i="1"/>
  <c r="M132" i="1"/>
  <c r="C131" i="1"/>
  <c r="C128" i="1"/>
  <c r="C114" i="1"/>
  <c r="C130" i="1"/>
  <c r="C132" i="1"/>
  <c r="L132" i="1"/>
  <c r="B131" i="1"/>
  <c r="B128" i="1"/>
  <c r="B114" i="1"/>
  <c r="B130" i="1"/>
  <c r="B132" i="1"/>
  <c r="K132" i="1"/>
  <c r="P131" i="1"/>
  <c r="O131" i="1"/>
  <c r="N131" i="1"/>
  <c r="M131" i="1"/>
  <c r="L131" i="1"/>
  <c r="K131" i="1"/>
  <c r="P130" i="1"/>
  <c r="O130" i="1"/>
  <c r="N130" i="1"/>
  <c r="M130" i="1"/>
  <c r="L130" i="1"/>
  <c r="K130" i="1"/>
  <c r="P129" i="1"/>
  <c r="O129" i="1"/>
  <c r="N129" i="1"/>
  <c r="M129" i="1"/>
  <c r="L129" i="1"/>
  <c r="K129" i="1"/>
  <c r="P128" i="1"/>
  <c r="O128" i="1"/>
  <c r="N128" i="1"/>
  <c r="M128" i="1"/>
  <c r="L128" i="1"/>
  <c r="K128" i="1"/>
  <c r="P127" i="1"/>
  <c r="O127" i="1"/>
  <c r="N127" i="1"/>
  <c r="M127" i="1"/>
  <c r="L127" i="1"/>
  <c r="K127" i="1"/>
  <c r="P125" i="1"/>
  <c r="O125" i="1"/>
  <c r="N125" i="1"/>
  <c r="M125" i="1"/>
  <c r="L125" i="1"/>
  <c r="K125" i="1"/>
  <c r="P122" i="1"/>
  <c r="O122" i="1"/>
  <c r="N122" i="1"/>
  <c r="M122" i="1"/>
  <c r="L122" i="1"/>
  <c r="K122" i="1"/>
  <c r="P121" i="1"/>
  <c r="O121" i="1"/>
  <c r="N121" i="1"/>
  <c r="M121" i="1"/>
  <c r="L121" i="1"/>
  <c r="K121" i="1"/>
  <c r="P120" i="1"/>
  <c r="O120" i="1"/>
  <c r="N120" i="1"/>
  <c r="M120" i="1"/>
  <c r="L120" i="1"/>
  <c r="K120" i="1"/>
  <c r="P119" i="1"/>
  <c r="O119" i="1"/>
  <c r="N119" i="1"/>
  <c r="M119" i="1"/>
  <c r="L119" i="1"/>
  <c r="K119" i="1"/>
  <c r="P118" i="1"/>
  <c r="O118" i="1"/>
  <c r="N118" i="1"/>
  <c r="M118" i="1"/>
  <c r="L118" i="1"/>
  <c r="K118" i="1"/>
  <c r="P117" i="1"/>
  <c r="O117" i="1"/>
  <c r="N117" i="1"/>
  <c r="M117" i="1"/>
  <c r="L117" i="1"/>
  <c r="K117" i="1"/>
  <c r="P116" i="1"/>
  <c r="O116" i="1"/>
  <c r="N116" i="1"/>
  <c r="M116" i="1"/>
  <c r="L116" i="1"/>
  <c r="K116" i="1"/>
  <c r="P114" i="1"/>
  <c r="O114" i="1"/>
  <c r="N114" i="1"/>
  <c r="M114" i="1"/>
  <c r="L114" i="1"/>
  <c r="K114" i="1"/>
  <c r="P113" i="1"/>
  <c r="O113" i="1"/>
  <c r="N113" i="1"/>
  <c r="M113" i="1"/>
  <c r="L113" i="1"/>
  <c r="K113" i="1"/>
  <c r="P112" i="1"/>
  <c r="O112" i="1"/>
  <c r="N112" i="1"/>
  <c r="M112" i="1"/>
  <c r="L112" i="1"/>
  <c r="K112" i="1"/>
  <c r="P111" i="1"/>
  <c r="O111" i="1"/>
  <c r="N111" i="1"/>
  <c r="M111" i="1"/>
  <c r="L111" i="1"/>
  <c r="K111" i="1"/>
  <c r="P110" i="1"/>
  <c r="O110" i="1"/>
  <c r="N110" i="1"/>
  <c r="M110" i="1"/>
  <c r="L110" i="1"/>
  <c r="K110" i="1"/>
  <c r="P109" i="1"/>
  <c r="O109" i="1"/>
  <c r="N109" i="1"/>
  <c r="M109" i="1"/>
  <c r="L109" i="1"/>
  <c r="K109" i="1"/>
  <c r="P108" i="1"/>
  <c r="O108" i="1"/>
  <c r="N108" i="1"/>
  <c r="M108" i="1"/>
  <c r="L108" i="1"/>
  <c r="K108" i="1"/>
  <c r="L106" i="1"/>
  <c r="M106" i="1"/>
  <c r="N106" i="1"/>
  <c r="O106" i="1"/>
  <c r="P106" i="1"/>
  <c r="K106" i="1"/>
  <c r="K57" i="1"/>
  <c r="L57" i="1"/>
  <c r="M57" i="1"/>
  <c r="N57" i="1"/>
  <c r="O57" i="1"/>
  <c r="P57" i="1"/>
  <c r="K58" i="1"/>
  <c r="L58" i="1"/>
  <c r="M58" i="1"/>
  <c r="N58" i="1"/>
  <c r="O58" i="1"/>
  <c r="P58" i="1"/>
  <c r="K59" i="1"/>
  <c r="L59" i="1"/>
  <c r="M59" i="1"/>
  <c r="N59" i="1"/>
  <c r="O59" i="1"/>
  <c r="P59" i="1"/>
  <c r="K60" i="1"/>
  <c r="L60" i="1"/>
  <c r="M60" i="1"/>
  <c r="N60" i="1"/>
  <c r="O60" i="1"/>
  <c r="P60" i="1"/>
  <c r="K61" i="1"/>
  <c r="L61" i="1"/>
  <c r="M61" i="1"/>
  <c r="N61" i="1"/>
  <c r="O61" i="1"/>
  <c r="P61" i="1"/>
  <c r="K62" i="1"/>
  <c r="L62" i="1"/>
  <c r="M62" i="1"/>
  <c r="N62" i="1"/>
  <c r="O62" i="1"/>
  <c r="P62" i="1"/>
  <c r="K63" i="1"/>
  <c r="L63" i="1"/>
  <c r="M63" i="1"/>
  <c r="N63" i="1"/>
  <c r="O63" i="1"/>
  <c r="P63" i="1"/>
  <c r="K64" i="1"/>
  <c r="L64" i="1"/>
  <c r="M64" i="1"/>
  <c r="N64" i="1"/>
  <c r="O64" i="1"/>
  <c r="P64" i="1"/>
  <c r="K65" i="1"/>
  <c r="L65" i="1"/>
  <c r="M65" i="1"/>
  <c r="N65" i="1"/>
  <c r="O65" i="1"/>
  <c r="P65" i="1"/>
  <c r="K66" i="1"/>
  <c r="L66" i="1"/>
  <c r="M66" i="1"/>
  <c r="N66" i="1"/>
  <c r="O66" i="1"/>
  <c r="P66" i="1"/>
  <c r="K67" i="1"/>
  <c r="L67" i="1"/>
  <c r="M67" i="1"/>
  <c r="N67" i="1"/>
  <c r="O67" i="1"/>
  <c r="P67" i="1"/>
  <c r="K68" i="1"/>
  <c r="L68" i="1"/>
  <c r="M68" i="1"/>
  <c r="N68" i="1"/>
  <c r="O68" i="1"/>
  <c r="P68" i="1"/>
  <c r="K69" i="1"/>
  <c r="L69" i="1"/>
  <c r="M69" i="1"/>
  <c r="N69" i="1"/>
  <c r="O69" i="1"/>
  <c r="P69" i="1"/>
  <c r="K70" i="1"/>
  <c r="L70" i="1"/>
  <c r="M70" i="1"/>
  <c r="N70" i="1"/>
  <c r="O70" i="1"/>
  <c r="P70" i="1"/>
  <c r="L56" i="1"/>
  <c r="M56" i="1"/>
  <c r="N56" i="1"/>
  <c r="O56" i="1"/>
  <c r="P56" i="1"/>
  <c r="K56" i="1"/>
  <c r="B79" i="1"/>
  <c r="R79" i="1"/>
  <c r="K79" i="1"/>
  <c r="X132" i="1"/>
  <c r="W132" i="1"/>
  <c r="V132" i="1"/>
  <c r="U132" i="1"/>
  <c r="T132" i="1"/>
  <c r="S132" i="1"/>
  <c r="R132" i="1"/>
  <c r="X131" i="1"/>
  <c r="W131" i="1"/>
  <c r="V131" i="1"/>
  <c r="U131" i="1"/>
  <c r="T131" i="1"/>
  <c r="S131" i="1"/>
  <c r="R131" i="1"/>
  <c r="X130" i="1"/>
  <c r="W130" i="1"/>
  <c r="V130" i="1"/>
  <c r="U130" i="1"/>
  <c r="T130" i="1"/>
  <c r="S130" i="1"/>
  <c r="R130" i="1"/>
  <c r="X129" i="1"/>
  <c r="W129" i="1"/>
  <c r="V129" i="1"/>
  <c r="U129" i="1"/>
  <c r="T129" i="1"/>
  <c r="S129" i="1"/>
  <c r="R129" i="1"/>
  <c r="X128" i="1"/>
  <c r="W128" i="1"/>
  <c r="V128" i="1"/>
  <c r="U128" i="1"/>
  <c r="T128" i="1"/>
  <c r="S128" i="1"/>
  <c r="R128" i="1"/>
  <c r="X127" i="1"/>
  <c r="W127" i="1"/>
  <c r="V127" i="1"/>
  <c r="U127" i="1"/>
  <c r="T127" i="1"/>
  <c r="S127" i="1"/>
  <c r="R127" i="1"/>
  <c r="X125" i="1"/>
  <c r="W125" i="1"/>
  <c r="V125" i="1"/>
  <c r="U125" i="1"/>
  <c r="T125" i="1"/>
  <c r="S125" i="1"/>
  <c r="R125" i="1"/>
  <c r="X122" i="1"/>
  <c r="W122" i="1"/>
  <c r="V122" i="1"/>
  <c r="U122" i="1"/>
  <c r="T122" i="1"/>
  <c r="S122" i="1"/>
  <c r="R122" i="1"/>
  <c r="X121" i="1"/>
  <c r="W121" i="1"/>
  <c r="V121" i="1"/>
  <c r="U121" i="1"/>
  <c r="T121" i="1"/>
  <c r="S121" i="1"/>
  <c r="R121" i="1"/>
  <c r="X120" i="1"/>
  <c r="W120" i="1"/>
  <c r="V120" i="1"/>
  <c r="U120" i="1"/>
  <c r="T120" i="1"/>
  <c r="S120" i="1"/>
  <c r="R120" i="1"/>
  <c r="X119" i="1"/>
  <c r="W119" i="1"/>
  <c r="V119" i="1"/>
  <c r="U119" i="1"/>
  <c r="T119" i="1"/>
  <c r="S119" i="1"/>
  <c r="R119" i="1"/>
  <c r="X118" i="1"/>
  <c r="W118" i="1"/>
  <c r="V118" i="1"/>
  <c r="U118" i="1"/>
  <c r="T118" i="1"/>
  <c r="S118" i="1"/>
  <c r="R118" i="1"/>
  <c r="X117" i="1"/>
  <c r="W117" i="1"/>
  <c r="V117" i="1"/>
  <c r="U117" i="1"/>
  <c r="T117" i="1"/>
  <c r="S117" i="1"/>
  <c r="R117" i="1"/>
  <c r="X116" i="1"/>
  <c r="W116" i="1"/>
  <c r="V116" i="1"/>
  <c r="U116" i="1"/>
  <c r="T116" i="1"/>
  <c r="S116" i="1"/>
  <c r="R116" i="1"/>
  <c r="X114" i="1"/>
  <c r="W114" i="1"/>
  <c r="V114" i="1"/>
  <c r="U114" i="1"/>
  <c r="T114" i="1"/>
  <c r="S114" i="1"/>
  <c r="R114" i="1"/>
  <c r="X113" i="1"/>
  <c r="W113" i="1"/>
  <c r="V113" i="1"/>
  <c r="U113" i="1"/>
  <c r="T113" i="1"/>
  <c r="S113" i="1"/>
  <c r="R113" i="1"/>
  <c r="X112" i="1"/>
  <c r="W112" i="1"/>
  <c r="V112" i="1"/>
  <c r="U112" i="1"/>
  <c r="T112" i="1"/>
  <c r="S112" i="1"/>
  <c r="R112" i="1"/>
  <c r="X111" i="1"/>
  <c r="W111" i="1"/>
  <c r="V111" i="1"/>
  <c r="U111" i="1"/>
  <c r="T111" i="1"/>
  <c r="S111" i="1"/>
  <c r="R111" i="1"/>
  <c r="X110" i="1"/>
  <c r="W110" i="1"/>
  <c r="V110" i="1"/>
  <c r="U110" i="1"/>
  <c r="T110" i="1"/>
  <c r="S110" i="1"/>
  <c r="R110" i="1"/>
  <c r="X109" i="1"/>
  <c r="W109" i="1"/>
  <c r="V109" i="1"/>
  <c r="U109" i="1"/>
  <c r="T109" i="1"/>
  <c r="S109" i="1"/>
  <c r="R109" i="1"/>
  <c r="X108" i="1"/>
  <c r="W108" i="1"/>
  <c r="V108" i="1"/>
  <c r="U108" i="1"/>
  <c r="T108" i="1"/>
  <c r="S108" i="1"/>
  <c r="R108" i="1"/>
  <c r="X106" i="1"/>
  <c r="W106" i="1"/>
  <c r="V106" i="1"/>
  <c r="U106" i="1"/>
  <c r="T106" i="1"/>
  <c r="S106" i="1"/>
  <c r="R106" i="1"/>
  <c r="X105" i="1"/>
  <c r="W105" i="1"/>
  <c r="V105" i="1"/>
  <c r="U105" i="1"/>
  <c r="T105" i="1"/>
  <c r="S105" i="1"/>
  <c r="R105" i="1"/>
  <c r="X104" i="1"/>
  <c r="W104" i="1"/>
  <c r="V104" i="1"/>
  <c r="U104" i="1"/>
  <c r="T104" i="1"/>
  <c r="S104" i="1"/>
  <c r="R104" i="1"/>
  <c r="X103" i="1"/>
  <c r="W103" i="1"/>
  <c r="V103" i="1"/>
  <c r="U103" i="1"/>
  <c r="T103" i="1"/>
  <c r="S103" i="1"/>
  <c r="R103" i="1"/>
  <c r="X102" i="1"/>
  <c r="W102" i="1"/>
  <c r="V102" i="1"/>
  <c r="U102" i="1"/>
  <c r="T102" i="1"/>
  <c r="S102" i="1"/>
  <c r="R102" i="1"/>
  <c r="X101" i="1"/>
  <c r="W101" i="1"/>
  <c r="V101" i="1"/>
  <c r="U101" i="1"/>
  <c r="T101" i="1"/>
  <c r="S101" i="1"/>
  <c r="R101" i="1"/>
  <c r="X100" i="1"/>
  <c r="W100" i="1"/>
  <c r="V100" i="1"/>
  <c r="U100" i="1"/>
  <c r="T100" i="1"/>
  <c r="S100" i="1"/>
  <c r="R100" i="1"/>
  <c r="X99" i="1"/>
  <c r="W99" i="1"/>
  <c r="V99" i="1"/>
  <c r="U99" i="1"/>
  <c r="T99" i="1"/>
  <c r="S99" i="1"/>
  <c r="R99" i="1"/>
  <c r="X98" i="1"/>
  <c r="W98" i="1"/>
  <c r="V98" i="1"/>
  <c r="U98" i="1"/>
  <c r="T98" i="1"/>
  <c r="S98" i="1"/>
  <c r="R98" i="1"/>
  <c r="X97" i="1"/>
  <c r="W97" i="1"/>
  <c r="V97" i="1"/>
  <c r="U97" i="1"/>
  <c r="T97" i="1"/>
  <c r="S97" i="1"/>
  <c r="R97" i="1"/>
  <c r="X96" i="1"/>
  <c r="W96" i="1"/>
  <c r="V96" i="1"/>
  <c r="U96" i="1"/>
  <c r="T96" i="1"/>
  <c r="S96" i="1"/>
  <c r="R96" i="1"/>
  <c r="X95" i="1"/>
  <c r="W95" i="1"/>
  <c r="V95" i="1"/>
  <c r="U95" i="1"/>
  <c r="T95" i="1"/>
  <c r="S95" i="1"/>
  <c r="R95" i="1"/>
  <c r="X93" i="1"/>
  <c r="W93" i="1"/>
  <c r="V93" i="1"/>
  <c r="U93" i="1"/>
  <c r="T93" i="1"/>
  <c r="S93" i="1"/>
  <c r="R93" i="1"/>
  <c r="X92" i="1"/>
  <c r="W92" i="1"/>
  <c r="V92" i="1"/>
  <c r="U92" i="1"/>
  <c r="T92" i="1"/>
  <c r="S92" i="1"/>
  <c r="R92" i="1"/>
  <c r="X91" i="1"/>
  <c r="W91" i="1"/>
  <c r="V91" i="1"/>
  <c r="U91" i="1"/>
  <c r="T91" i="1"/>
  <c r="S91" i="1"/>
  <c r="R91" i="1"/>
  <c r="X90" i="1"/>
  <c r="W90" i="1"/>
  <c r="V90" i="1"/>
  <c r="U90" i="1"/>
  <c r="T90" i="1"/>
  <c r="S90" i="1"/>
  <c r="R90" i="1"/>
  <c r="X89" i="1"/>
  <c r="W89" i="1"/>
  <c r="V89" i="1"/>
  <c r="U89" i="1"/>
  <c r="T89" i="1"/>
  <c r="S89" i="1"/>
  <c r="R89" i="1"/>
  <c r="X87" i="1"/>
  <c r="W87" i="1"/>
  <c r="V87" i="1"/>
  <c r="U87" i="1"/>
  <c r="T87" i="1"/>
  <c r="S87" i="1"/>
  <c r="R87" i="1"/>
  <c r="X85" i="1"/>
  <c r="W85" i="1"/>
  <c r="V85" i="1"/>
  <c r="U85" i="1"/>
  <c r="T85" i="1"/>
  <c r="S85" i="1"/>
  <c r="R85" i="1"/>
  <c r="X84" i="1"/>
  <c r="W84" i="1"/>
  <c r="V84" i="1"/>
  <c r="U84" i="1"/>
  <c r="T84" i="1"/>
  <c r="S84" i="1"/>
  <c r="R84" i="1"/>
  <c r="X83" i="1"/>
  <c r="W83" i="1"/>
  <c r="V83" i="1"/>
  <c r="U83" i="1"/>
  <c r="T83" i="1"/>
  <c r="S83" i="1"/>
  <c r="R83" i="1"/>
  <c r="X76" i="1"/>
  <c r="W76" i="1"/>
  <c r="V76" i="1"/>
  <c r="U76" i="1"/>
  <c r="T76" i="1"/>
  <c r="S76" i="1"/>
  <c r="R76" i="1"/>
  <c r="F75" i="1"/>
  <c r="G75" i="1"/>
  <c r="X75" i="1"/>
  <c r="E75" i="1"/>
  <c r="W75" i="1"/>
  <c r="D75" i="1"/>
  <c r="V75" i="1"/>
  <c r="C75" i="1"/>
  <c r="U75" i="1"/>
  <c r="B75" i="1"/>
  <c r="T75" i="1"/>
  <c r="S75" i="1"/>
  <c r="R75" i="1"/>
  <c r="X74" i="1"/>
  <c r="W74" i="1"/>
  <c r="V74" i="1"/>
  <c r="U74" i="1"/>
  <c r="T74" i="1"/>
  <c r="S74" i="1"/>
  <c r="R74" i="1"/>
  <c r="X70" i="1"/>
  <c r="W70" i="1"/>
  <c r="V70" i="1"/>
  <c r="U70" i="1"/>
  <c r="T70" i="1"/>
  <c r="S70" i="1"/>
  <c r="R70" i="1"/>
  <c r="X69" i="1"/>
  <c r="W69" i="1"/>
  <c r="V69" i="1"/>
  <c r="U69" i="1"/>
  <c r="T69" i="1"/>
  <c r="S69" i="1"/>
  <c r="R69" i="1"/>
  <c r="X68" i="1"/>
  <c r="W68" i="1"/>
  <c r="V68" i="1"/>
  <c r="U68" i="1"/>
  <c r="T68" i="1"/>
  <c r="S68" i="1"/>
  <c r="R68" i="1"/>
  <c r="X67" i="1"/>
  <c r="W67" i="1"/>
  <c r="V67" i="1"/>
  <c r="U67" i="1"/>
  <c r="T67" i="1"/>
  <c r="S67" i="1"/>
  <c r="R67" i="1"/>
  <c r="X66" i="1"/>
  <c r="W66" i="1"/>
  <c r="V66" i="1"/>
  <c r="U66" i="1"/>
  <c r="T66" i="1"/>
  <c r="S66" i="1"/>
  <c r="R66" i="1"/>
  <c r="X65" i="1"/>
  <c r="W65" i="1"/>
  <c r="V65" i="1"/>
  <c r="U65" i="1"/>
  <c r="T65" i="1"/>
  <c r="S65" i="1"/>
  <c r="R65" i="1"/>
  <c r="X64" i="1"/>
  <c r="W64" i="1"/>
  <c r="V64" i="1"/>
  <c r="U64" i="1"/>
  <c r="T64" i="1"/>
  <c r="S64" i="1"/>
  <c r="R64" i="1"/>
  <c r="X63" i="1"/>
  <c r="W63" i="1"/>
  <c r="V63" i="1"/>
  <c r="U63" i="1"/>
  <c r="T63" i="1"/>
  <c r="S63" i="1"/>
  <c r="R63" i="1"/>
  <c r="X62" i="1"/>
  <c r="W62" i="1"/>
  <c r="V62" i="1"/>
  <c r="U62" i="1"/>
  <c r="T62" i="1"/>
  <c r="S62" i="1"/>
  <c r="R62" i="1"/>
  <c r="X61" i="1"/>
  <c r="W61" i="1"/>
  <c r="V61" i="1"/>
  <c r="U61" i="1"/>
  <c r="T61" i="1"/>
  <c r="S61" i="1"/>
  <c r="R61" i="1"/>
  <c r="X60" i="1"/>
  <c r="W60" i="1"/>
  <c r="V60" i="1"/>
  <c r="U60" i="1"/>
  <c r="T60" i="1"/>
  <c r="S60" i="1"/>
  <c r="R60" i="1"/>
  <c r="X59" i="1"/>
  <c r="W59" i="1"/>
  <c r="V59" i="1"/>
  <c r="U59" i="1"/>
  <c r="T59" i="1"/>
  <c r="S59" i="1"/>
  <c r="R59" i="1"/>
  <c r="X58" i="1"/>
  <c r="W58" i="1"/>
  <c r="V58" i="1"/>
  <c r="U58" i="1"/>
  <c r="T58" i="1"/>
  <c r="S58" i="1"/>
  <c r="R58" i="1"/>
  <c r="X57" i="1"/>
  <c r="W57" i="1"/>
  <c r="V57" i="1"/>
  <c r="U57" i="1"/>
  <c r="T57" i="1"/>
  <c r="S57" i="1"/>
  <c r="R57" i="1"/>
  <c r="X56" i="1"/>
  <c r="W56" i="1"/>
  <c r="V56" i="1"/>
  <c r="U56" i="1"/>
  <c r="T56" i="1"/>
  <c r="S56" i="1"/>
  <c r="R56" i="1"/>
  <c r="B52" i="1"/>
  <c r="R52" i="1"/>
  <c r="K52" i="1"/>
  <c r="F43" i="1"/>
  <c r="F28" i="1"/>
  <c r="F34" i="1"/>
  <c r="F44" i="1"/>
  <c r="G43" i="1"/>
  <c r="G28" i="1"/>
  <c r="G34" i="1"/>
  <c r="G44" i="1"/>
  <c r="X44" i="1"/>
  <c r="E43" i="1"/>
  <c r="E28" i="1"/>
  <c r="E34" i="1"/>
  <c r="E44" i="1"/>
  <c r="W44" i="1"/>
  <c r="D43" i="1"/>
  <c r="D28" i="1"/>
  <c r="D34" i="1"/>
  <c r="D44" i="1"/>
  <c r="V44" i="1"/>
  <c r="C43" i="1"/>
  <c r="C28" i="1"/>
  <c r="C34" i="1"/>
  <c r="C44" i="1"/>
  <c r="U44" i="1"/>
  <c r="B43" i="1"/>
  <c r="B28" i="1"/>
  <c r="B34" i="1"/>
  <c r="B44" i="1"/>
  <c r="T44" i="1"/>
  <c r="S44" i="1"/>
  <c r="R44" i="1"/>
  <c r="P44" i="1"/>
  <c r="O44" i="1"/>
  <c r="N44" i="1"/>
  <c r="M44" i="1"/>
  <c r="L44" i="1"/>
  <c r="K44" i="1"/>
  <c r="X43" i="1"/>
  <c r="W43" i="1"/>
  <c r="V43" i="1"/>
  <c r="U43" i="1"/>
  <c r="T43" i="1"/>
  <c r="S43" i="1"/>
  <c r="R43" i="1"/>
  <c r="P43" i="1"/>
  <c r="O43" i="1"/>
  <c r="N43" i="1"/>
  <c r="M43" i="1"/>
  <c r="L43" i="1"/>
  <c r="K43" i="1"/>
  <c r="X42" i="1"/>
  <c r="W42" i="1"/>
  <c r="V42" i="1"/>
  <c r="U42" i="1"/>
  <c r="T42" i="1"/>
  <c r="S42" i="1"/>
  <c r="R42" i="1"/>
  <c r="P42" i="1"/>
  <c r="O42" i="1"/>
  <c r="N42" i="1"/>
  <c r="M42" i="1"/>
  <c r="L42" i="1"/>
  <c r="K42" i="1"/>
  <c r="X41" i="1"/>
  <c r="W41" i="1"/>
  <c r="V41" i="1"/>
  <c r="U41" i="1"/>
  <c r="T41" i="1"/>
  <c r="S41" i="1"/>
  <c r="R41" i="1"/>
  <c r="P41" i="1"/>
  <c r="O41" i="1"/>
  <c r="N41" i="1"/>
  <c r="M41" i="1"/>
  <c r="L41" i="1"/>
  <c r="K41" i="1"/>
  <c r="X40" i="1"/>
  <c r="W40" i="1"/>
  <c r="V40" i="1"/>
  <c r="U40" i="1"/>
  <c r="T40" i="1"/>
  <c r="S40" i="1"/>
  <c r="R40" i="1"/>
  <c r="P40" i="1"/>
  <c r="O40" i="1"/>
  <c r="N40" i="1"/>
  <c r="M40" i="1"/>
  <c r="L40" i="1"/>
  <c r="K40" i="1"/>
  <c r="X39" i="1"/>
  <c r="W39" i="1"/>
  <c r="V39" i="1"/>
  <c r="U39" i="1"/>
  <c r="T39" i="1"/>
  <c r="S39" i="1"/>
  <c r="R39" i="1"/>
  <c r="P39" i="1"/>
  <c r="O39" i="1"/>
  <c r="N39" i="1"/>
  <c r="M39" i="1"/>
  <c r="L39" i="1"/>
  <c r="K39" i="1"/>
  <c r="X38" i="1"/>
  <c r="W38" i="1"/>
  <c r="V38" i="1"/>
  <c r="U38" i="1"/>
  <c r="T38" i="1"/>
  <c r="S38" i="1"/>
  <c r="R38" i="1"/>
  <c r="P38" i="1"/>
  <c r="O38" i="1"/>
  <c r="N38" i="1"/>
  <c r="M38" i="1"/>
  <c r="L38" i="1"/>
  <c r="K38" i="1"/>
  <c r="X37" i="1"/>
  <c r="W37" i="1"/>
  <c r="V37" i="1"/>
  <c r="U37" i="1"/>
  <c r="T37" i="1"/>
  <c r="S37" i="1"/>
  <c r="R37" i="1"/>
  <c r="P37" i="1"/>
  <c r="O37" i="1"/>
  <c r="N37" i="1"/>
  <c r="M37" i="1"/>
  <c r="L37" i="1"/>
  <c r="K37" i="1"/>
  <c r="X35" i="1"/>
  <c r="W35" i="1"/>
  <c r="V35" i="1"/>
  <c r="U35" i="1"/>
  <c r="T35" i="1"/>
  <c r="S35" i="1"/>
  <c r="R35" i="1"/>
  <c r="P35" i="1"/>
  <c r="O35" i="1"/>
  <c r="N35" i="1"/>
  <c r="M35" i="1"/>
  <c r="L35" i="1"/>
  <c r="K35" i="1"/>
  <c r="X34" i="1"/>
  <c r="W34" i="1"/>
  <c r="V34" i="1"/>
  <c r="U34" i="1"/>
  <c r="T34" i="1"/>
  <c r="S34" i="1"/>
  <c r="R34" i="1"/>
  <c r="P34" i="1"/>
  <c r="O34" i="1"/>
  <c r="N34" i="1"/>
  <c r="M34" i="1"/>
  <c r="L34" i="1"/>
  <c r="K34" i="1"/>
  <c r="X33" i="1"/>
  <c r="W33" i="1"/>
  <c r="V33" i="1"/>
  <c r="U33" i="1"/>
  <c r="T33" i="1"/>
  <c r="S33" i="1"/>
  <c r="R33" i="1"/>
  <c r="P33" i="1"/>
  <c r="O33" i="1"/>
  <c r="N33" i="1"/>
  <c r="M33" i="1"/>
  <c r="L33" i="1"/>
  <c r="K33" i="1"/>
  <c r="X32" i="1"/>
  <c r="W32" i="1"/>
  <c r="V32" i="1"/>
  <c r="U32" i="1"/>
  <c r="T32" i="1"/>
  <c r="S32" i="1"/>
  <c r="R32" i="1"/>
  <c r="P32" i="1"/>
  <c r="O32" i="1"/>
  <c r="N32" i="1"/>
  <c r="M32" i="1"/>
  <c r="L32" i="1"/>
  <c r="K32" i="1"/>
  <c r="X31" i="1"/>
  <c r="W31" i="1"/>
  <c r="V31" i="1"/>
  <c r="U31" i="1"/>
  <c r="T31" i="1"/>
  <c r="S31" i="1"/>
  <c r="R31" i="1"/>
  <c r="P31" i="1"/>
  <c r="O31" i="1"/>
  <c r="N31" i="1"/>
  <c r="M31" i="1"/>
  <c r="L31" i="1"/>
  <c r="K31" i="1"/>
  <c r="X30" i="1"/>
  <c r="W30" i="1"/>
  <c r="V30" i="1"/>
  <c r="U30" i="1"/>
  <c r="T30" i="1"/>
  <c r="S30" i="1"/>
  <c r="R30" i="1"/>
  <c r="P30" i="1"/>
  <c r="O30" i="1"/>
  <c r="N30" i="1"/>
  <c r="M30" i="1"/>
  <c r="L30" i="1"/>
  <c r="K30" i="1"/>
  <c r="X29" i="1"/>
  <c r="W29" i="1"/>
  <c r="V29" i="1"/>
  <c r="U29" i="1"/>
  <c r="T29" i="1"/>
  <c r="S29" i="1"/>
  <c r="R29" i="1"/>
  <c r="P29" i="1"/>
  <c r="O29" i="1"/>
  <c r="N29" i="1"/>
  <c r="M29" i="1"/>
  <c r="L29" i="1"/>
  <c r="K29" i="1"/>
  <c r="X28" i="1"/>
  <c r="W28" i="1"/>
  <c r="V28" i="1"/>
  <c r="U28" i="1"/>
  <c r="T28" i="1"/>
  <c r="S28" i="1"/>
  <c r="R28" i="1"/>
  <c r="P28" i="1"/>
  <c r="O28" i="1"/>
  <c r="N28" i="1"/>
  <c r="M28" i="1"/>
  <c r="L28" i="1"/>
  <c r="K28" i="1"/>
  <c r="X27" i="1"/>
  <c r="W27" i="1"/>
  <c r="V27" i="1"/>
  <c r="U27" i="1"/>
  <c r="T27" i="1"/>
  <c r="S27" i="1"/>
  <c r="R27" i="1"/>
  <c r="P27" i="1"/>
  <c r="O27" i="1"/>
  <c r="N27" i="1"/>
  <c r="M27" i="1"/>
  <c r="L27" i="1"/>
  <c r="K27" i="1"/>
  <c r="X26" i="1"/>
  <c r="W26" i="1"/>
  <c r="V26" i="1"/>
  <c r="U26" i="1"/>
  <c r="T26" i="1"/>
  <c r="S26" i="1"/>
  <c r="R26" i="1"/>
  <c r="P26" i="1"/>
  <c r="O26" i="1"/>
  <c r="N26" i="1"/>
  <c r="M26" i="1"/>
  <c r="L26" i="1"/>
  <c r="K26" i="1"/>
  <c r="X25" i="1"/>
  <c r="W25" i="1"/>
  <c r="V25" i="1"/>
  <c r="U25" i="1"/>
  <c r="T25" i="1"/>
  <c r="S25" i="1"/>
  <c r="R25" i="1"/>
  <c r="P25" i="1"/>
  <c r="O25" i="1"/>
  <c r="N25" i="1"/>
  <c r="M25" i="1"/>
  <c r="L25" i="1"/>
  <c r="K25" i="1"/>
  <c r="X24" i="1"/>
  <c r="W24" i="1"/>
  <c r="V24" i="1"/>
  <c r="U24" i="1"/>
  <c r="T24" i="1"/>
  <c r="S24" i="1"/>
  <c r="R24" i="1"/>
  <c r="P24" i="1"/>
  <c r="O24" i="1"/>
  <c r="N24" i="1"/>
  <c r="M24" i="1"/>
  <c r="L24" i="1"/>
  <c r="K24" i="1"/>
  <c r="X23" i="1"/>
  <c r="W23" i="1"/>
  <c r="V23" i="1"/>
  <c r="U23" i="1"/>
  <c r="T23" i="1"/>
  <c r="S23" i="1"/>
  <c r="R23" i="1"/>
  <c r="P23" i="1"/>
  <c r="O23" i="1"/>
  <c r="N23" i="1"/>
  <c r="M23" i="1"/>
  <c r="L23" i="1"/>
  <c r="K23" i="1"/>
  <c r="X22" i="1"/>
  <c r="W22" i="1"/>
  <c r="V22" i="1"/>
  <c r="U22" i="1"/>
  <c r="T22" i="1"/>
  <c r="S22" i="1"/>
  <c r="R22" i="1"/>
  <c r="P22" i="1"/>
  <c r="O22" i="1"/>
  <c r="N22" i="1"/>
  <c r="M22" i="1"/>
  <c r="L22" i="1"/>
  <c r="K22" i="1"/>
  <c r="X21" i="1"/>
  <c r="W21" i="1"/>
  <c r="V21" i="1"/>
  <c r="U21" i="1"/>
  <c r="T21" i="1"/>
  <c r="S21" i="1"/>
  <c r="R21" i="1"/>
  <c r="P21" i="1"/>
  <c r="O21" i="1"/>
  <c r="N21" i="1"/>
  <c r="M21" i="1"/>
  <c r="L21" i="1"/>
  <c r="K21" i="1"/>
  <c r="X20" i="1"/>
  <c r="W20" i="1"/>
  <c r="V20" i="1"/>
  <c r="U20" i="1"/>
  <c r="T20" i="1"/>
  <c r="S20" i="1"/>
  <c r="R20" i="1"/>
  <c r="P20" i="1"/>
  <c r="O20" i="1"/>
  <c r="N20" i="1"/>
  <c r="M20" i="1"/>
  <c r="L20" i="1"/>
  <c r="K20" i="1"/>
  <c r="K7" i="1"/>
  <c r="L7" i="1"/>
  <c r="M7" i="1"/>
  <c r="N7" i="1"/>
  <c r="O7" i="1"/>
  <c r="P7" i="1"/>
  <c r="R7" i="1"/>
  <c r="T7" i="1"/>
  <c r="U7" i="1"/>
  <c r="V7" i="1"/>
  <c r="W7" i="1"/>
  <c r="X7" i="1"/>
  <c r="S7" i="1"/>
  <c r="K8" i="1"/>
  <c r="L8" i="1"/>
  <c r="M8" i="1"/>
  <c r="N8" i="1"/>
  <c r="O8" i="1"/>
  <c r="P8" i="1"/>
  <c r="R8" i="1"/>
  <c r="T8" i="1"/>
  <c r="S8" i="1"/>
  <c r="U8" i="1"/>
  <c r="V8" i="1"/>
  <c r="W8" i="1"/>
  <c r="X8" i="1"/>
  <c r="K9" i="1"/>
  <c r="L9" i="1"/>
  <c r="M9" i="1"/>
  <c r="N9" i="1"/>
  <c r="O9" i="1"/>
  <c r="P9" i="1"/>
  <c r="R9" i="1"/>
  <c r="T9" i="1"/>
  <c r="U9" i="1"/>
  <c r="V9" i="1"/>
  <c r="W9" i="1"/>
  <c r="X9" i="1"/>
  <c r="S9" i="1"/>
  <c r="K10" i="1"/>
  <c r="L10" i="1"/>
  <c r="M10" i="1"/>
  <c r="N10" i="1"/>
  <c r="O10" i="1"/>
  <c r="P10" i="1"/>
  <c r="R10" i="1"/>
  <c r="T10" i="1"/>
  <c r="U10" i="1"/>
  <c r="V10" i="1"/>
  <c r="W10" i="1"/>
  <c r="X10" i="1"/>
  <c r="S10" i="1"/>
  <c r="K11" i="1"/>
  <c r="L11" i="1"/>
  <c r="M11" i="1"/>
  <c r="N11" i="1"/>
  <c r="O11" i="1"/>
  <c r="P11" i="1"/>
  <c r="R11" i="1"/>
  <c r="T11" i="1"/>
  <c r="U11" i="1"/>
  <c r="V11" i="1"/>
  <c r="W11" i="1"/>
  <c r="X11" i="1"/>
  <c r="S11" i="1"/>
  <c r="K12" i="1"/>
  <c r="L12" i="1"/>
  <c r="M12" i="1"/>
  <c r="N12" i="1"/>
  <c r="O12" i="1"/>
  <c r="P12" i="1"/>
  <c r="R12" i="1"/>
  <c r="T12" i="1"/>
  <c r="U12" i="1"/>
  <c r="V12" i="1"/>
  <c r="W12" i="1"/>
  <c r="X12" i="1"/>
  <c r="S12" i="1"/>
  <c r="K13" i="1"/>
  <c r="L13" i="1"/>
  <c r="M13" i="1"/>
  <c r="N13" i="1"/>
  <c r="O13" i="1"/>
  <c r="P13" i="1"/>
  <c r="R13" i="1"/>
  <c r="T13" i="1"/>
  <c r="U13" i="1"/>
  <c r="V13" i="1"/>
  <c r="W13" i="1"/>
  <c r="X13" i="1"/>
  <c r="S13" i="1"/>
  <c r="K14" i="1"/>
  <c r="L14" i="1"/>
  <c r="M14" i="1"/>
  <c r="N14" i="1"/>
  <c r="O14" i="1"/>
  <c r="P14" i="1"/>
  <c r="R14" i="1"/>
  <c r="T14" i="1"/>
  <c r="U14" i="1"/>
  <c r="V14" i="1"/>
  <c r="W14" i="1"/>
  <c r="X14" i="1"/>
  <c r="S14" i="1"/>
  <c r="K15" i="1"/>
  <c r="L15" i="1"/>
  <c r="M15" i="1"/>
  <c r="N15" i="1"/>
  <c r="O15" i="1"/>
  <c r="P15" i="1"/>
  <c r="R15" i="1"/>
  <c r="T15" i="1"/>
  <c r="U15" i="1"/>
  <c r="V15" i="1"/>
  <c r="W15" i="1"/>
  <c r="X15" i="1"/>
  <c r="S15" i="1"/>
  <c r="K16" i="1"/>
  <c r="L16" i="1"/>
  <c r="M16" i="1"/>
  <c r="N16" i="1"/>
  <c r="O16" i="1"/>
  <c r="P16" i="1"/>
  <c r="R16" i="1"/>
  <c r="T16" i="1"/>
  <c r="U16" i="1"/>
  <c r="V16" i="1"/>
  <c r="W16" i="1"/>
  <c r="X16" i="1"/>
  <c r="S16" i="1"/>
  <c r="K17" i="1"/>
  <c r="L17" i="1"/>
  <c r="M17" i="1"/>
  <c r="N17" i="1"/>
  <c r="O17" i="1"/>
  <c r="P17" i="1"/>
  <c r="R17" i="1"/>
  <c r="T17" i="1"/>
  <c r="U17" i="1"/>
  <c r="V17" i="1"/>
  <c r="W17" i="1"/>
  <c r="X17" i="1"/>
  <c r="S17" i="1"/>
  <c r="K18" i="1"/>
  <c r="L18" i="1"/>
  <c r="M18" i="1"/>
  <c r="N18" i="1"/>
  <c r="O18" i="1"/>
  <c r="P18" i="1"/>
  <c r="R18" i="1"/>
  <c r="T18" i="1"/>
  <c r="U18" i="1"/>
  <c r="V18" i="1"/>
  <c r="W18" i="1"/>
  <c r="X18" i="1"/>
  <c r="S18" i="1"/>
  <c r="T6" i="1"/>
  <c r="U6" i="1"/>
  <c r="V6" i="1"/>
  <c r="W6" i="1"/>
  <c r="X6" i="1"/>
  <c r="S6" i="1"/>
  <c r="R6" i="1"/>
  <c r="R1" i="1"/>
  <c r="L6" i="1"/>
  <c r="M6" i="1"/>
  <c r="N6" i="1"/>
  <c r="O6" i="1"/>
  <c r="P6" i="1"/>
  <c r="K6" i="1"/>
  <c r="K1" i="1"/>
  <c r="C151" i="1"/>
  <c r="C149" i="1"/>
  <c r="C148" i="1"/>
  <c r="D151" i="1"/>
  <c r="D149" i="1"/>
  <c r="D148" i="1"/>
  <c r="E151" i="1"/>
  <c r="E149" i="1"/>
  <c r="E148" i="1"/>
  <c r="F151" i="1"/>
  <c r="F149" i="1"/>
  <c r="F148" i="1"/>
  <c r="G151" i="1"/>
  <c r="G149" i="1"/>
  <c r="G148" i="1"/>
  <c r="B151" i="1"/>
  <c r="B149" i="1"/>
  <c r="B148" i="1"/>
  <c r="B139" i="1"/>
  <c r="A142" i="1"/>
  <c r="A141" i="1"/>
  <c r="A139" i="1"/>
  <c r="C133" i="1"/>
  <c r="D133" i="1"/>
  <c r="E133" i="1"/>
  <c r="F133" i="1"/>
  <c r="G133" i="1"/>
  <c r="B133" i="1"/>
  <c r="A82" i="1"/>
  <c r="A81" i="1"/>
  <c r="A79" i="1"/>
  <c r="A55" i="1"/>
  <c r="A54" i="1"/>
  <c r="A52" i="1"/>
  <c r="C45" i="1"/>
  <c r="D45" i="1"/>
  <c r="E45" i="1"/>
  <c r="F45" i="1"/>
  <c r="G45" i="1"/>
  <c r="B45" i="1"/>
  <c r="M203" i="7" l="1"/>
  <c r="E204" i="7"/>
  <c r="V204" i="7" s="1"/>
  <c r="V203" i="7"/>
  <c r="K65" i="6"/>
  <c r="C65" i="7"/>
  <c r="K65" i="7" s="1"/>
  <c r="L65" i="6"/>
  <c r="D65" i="7"/>
  <c r="L65" i="7" s="1"/>
  <c r="M65" i="6"/>
  <c r="E65" i="7"/>
  <c r="M65" i="7" s="1"/>
  <c r="N65" i="6"/>
  <c r="F65" i="7"/>
  <c r="N65" i="7" s="1"/>
  <c r="O65" i="6"/>
  <c r="G65" i="7"/>
  <c r="O65" i="7" s="1"/>
  <c r="P75" i="7"/>
  <c r="J64" i="6"/>
  <c r="B64" i="7"/>
  <c r="S156" i="6"/>
  <c r="K64" i="6"/>
  <c r="C64" i="7"/>
  <c r="K64" i="7" s="1"/>
  <c r="J65" i="6"/>
  <c r="B65" i="7"/>
  <c r="L64" i="6"/>
  <c r="D64" i="7"/>
  <c r="L64" i="7" s="1"/>
  <c r="O64" i="6"/>
  <c r="G64" i="7"/>
  <c r="O64" i="7" s="1"/>
  <c r="M64" i="6"/>
  <c r="E64" i="7"/>
  <c r="M64" i="7" s="1"/>
  <c r="P71" i="6"/>
  <c r="I71" i="6" s="1"/>
  <c r="H71" i="7"/>
  <c r="P60" i="6"/>
  <c r="P70" i="7"/>
  <c r="N64" i="6"/>
  <c r="F64" i="7"/>
  <c r="N64" i="7" s="1"/>
  <c r="D230" i="7"/>
  <c r="V229" i="7"/>
  <c r="E230" i="7"/>
  <c r="G228" i="7"/>
  <c r="G401" i="7" s="1"/>
  <c r="S215" i="7"/>
  <c r="S225" i="7"/>
  <c r="G299" i="7"/>
  <c r="E295" i="7"/>
  <c r="F299" i="7"/>
  <c r="E309" i="7"/>
  <c r="D299" i="7"/>
  <c r="B309" i="7"/>
  <c r="G224" i="7"/>
  <c r="C295" i="7"/>
  <c r="C343" i="7"/>
  <c r="C229" i="7"/>
  <c r="C344" i="7"/>
  <c r="C224" i="7"/>
  <c r="F228" i="7"/>
  <c r="F401" i="7" s="1"/>
  <c r="F224" i="7"/>
  <c r="B344" i="7"/>
  <c r="B343" i="7"/>
  <c r="B229" i="7"/>
  <c r="B224" i="7"/>
  <c r="K203" i="7"/>
  <c r="C204" i="7"/>
  <c r="U203" i="7"/>
  <c r="C298" i="7"/>
  <c r="E298" i="7"/>
  <c r="W204" i="7"/>
  <c r="M204" i="7"/>
  <c r="E205" i="7"/>
  <c r="S35" i="7"/>
  <c r="B21" i="6"/>
  <c r="B258" i="6"/>
  <c r="B261" i="6" s="1"/>
  <c r="C269" i="6"/>
  <c r="C265" i="6" s="1"/>
  <c r="C254" i="6"/>
  <c r="C260" i="6" s="1"/>
  <c r="D269" i="6"/>
  <c r="D265" i="6" s="1"/>
  <c r="D254" i="6"/>
  <c r="D260" i="6" s="1"/>
  <c r="E269" i="6"/>
  <c r="E265" i="6" s="1"/>
  <c r="E254" i="6"/>
  <c r="E260" i="6" s="1"/>
  <c r="F269" i="6"/>
  <c r="F265" i="6" s="1"/>
  <c r="F254" i="6"/>
  <c r="F260" i="6" s="1"/>
  <c r="C445" i="6"/>
  <c r="C63" i="6" s="1"/>
  <c r="G272" i="6"/>
  <c r="G254" i="6"/>
  <c r="G260" i="6" s="1"/>
  <c r="D445" i="6"/>
  <c r="D63" i="6" s="1"/>
  <c r="S421" i="6"/>
  <c r="V440" i="6"/>
  <c r="S423" i="6"/>
  <c r="X188" i="6"/>
  <c r="S429" i="6"/>
  <c r="S152" i="6"/>
  <c r="B277" i="6"/>
  <c r="U149" i="6"/>
  <c r="F173" i="6"/>
  <c r="K62" i="6"/>
  <c r="C363" i="6"/>
  <c r="G269" i="6"/>
  <c r="G265" i="6" s="1"/>
  <c r="B339" i="6"/>
  <c r="B340" i="6" s="1"/>
  <c r="B213" i="6"/>
  <c r="B212" i="6" s="1"/>
  <c r="J62" i="6"/>
  <c r="B363" i="6"/>
  <c r="U12" i="6"/>
  <c r="X149" i="6"/>
  <c r="G173" i="6"/>
  <c r="S415" i="6"/>
  <c r="W23" i="6"/>
  <c r="W440" i="6"/>
  <c r="B386" i="6"/>
  <c r="B14" i="6" s="1"/>
  <c r="T14" i="6" s="1"/>
  <c r="B15" i="6"/>
  <c r="B233" i="6" s="1"/>
  <c r="B235" i="6" s="1"/>
  <c r="W188" i="6"/>
  <c r="S168" i="6"/>
  <c r="X31" i="6"/>
  <c r="X10" i="6"/>
  <c r="F445" i="6"/>
  <c r="F63" i="6" s="1"/>
  <c r="R10" i="6"/>
  <c r="S439" i="6"/>
  <c r="G445" i="6"/>
  <c r="G63" i="6" s="1"/>
  <c r="S80" i="6"/>
  <c r="K443" i="6"/>
  <c r="E15" i="6"/>
  <c r="E233" i="6" s="1"/>
  <c r="E235" i="6" s="1"/>
  <c r="X20" i="6"/>
  <c r="W12" i="6"/>
  <c r="X440" i="6"/>
  <c r="D386" i="6"/>
  <c r="D14" i="6" s="1"/>
  <c r="V14" i="6" s="1"/>
  <c r="D15" i="6"/>
  <c r="D233" i="6" s="1"/>
  <c r="B301" i="6"/>
  <c r="B304" i="6" s="1"/>
  <c r="B307" i="6" s="1"/>
  <c r="T13" i="6"/>
  <c r="G301" i="6"/>
  <c r="G304" i="6" s="1"/>
  <c r="G307" i="6" s="1"/>
  <c r="S33" i="6"/>
  <c r="C173" i="6"/>
  <c r="W62" i="6"/>
  <c r="V188" i="6"/>
  <c r="X62" i="6"/>
  <c r="D340" i="6"/>
  <c r="D345" i="6"/>
  <c r="D341" i="6"/>
  <c r="S78" i="6"/>
  <c r="S67" i="6"/>
  <c r="G345" i="6"/>
  <c r="G341" i="6"/>
  <c r="G340" i="6"/>
  <c r="S153" i="6"/>
  <c r="H175" i="6"/>
  <c r="C277" i="6"/>
  <c r="D277" i="6"/>
  <c r="G386" i="6"/>
  <c r="G14" i="6" s="1"/>
  <c r="G15" i="6"/>
  <c r="G233" i="6" s="1"/>
  <c r="G236" i="6" s="1"/>
  <c r="C301" i="6"/>
  <c r="D301" i="6"/>
  <c r="P61" i="6"/>
  <c r="W20" i="6"/>
  <c r="T149" i="6"/>
  <c r="S158" i="6"/>
  <c r="R19" i="6"/>
  <c r="F11" i="6"/>
  <c r="W11" i="6" s="1"/>
  <c r="S166" i="6"/>
  <c r="C258" i="6"/>
  <c r="E277" i="6"/>
  <c r="T20" i="6"/>
  <c r="N443" i="6"/>
  <c r="G11" i="6"/>
  <c r="G21" i="6" s="1"/>
  <c r="O13" i="6" s="1"/>
  <c r="V62" i="6"/>
  <c r="H176" i="6"/>
  <c r="O443" i="6"/>
  <c r="V19" i="6"/>
  <c r="R440" i="6"/>
  <c r="D173" i="6"/>
  <c r="S187" i="6"/>
  <c r="V12" i="6"/>
  <c r="P73" i="6"/>
  <c r="E173" i="6"/>
  <c r="M62" i="6"/>
  <c r="S165" i="6"/>
  <c r="S201" i="6"/>
  <c r="U19" i="6"/>
  <c r="S184" i="6"/>
  <c r="S8" i="6"/>
  <c r="C15" i="6"/>
  <c r="C233" i="6" s="1"/>
  <c r="C235" i="6" s="1"/>
  <c r="S167" i="6"/>
  <c r="S190" i="6"/>
  <c r="T27" i="6"/>
  <c r="W14" i="6"/>
  <c r="W31" i="6"/>
  <c r="B227" i="6"/>
  <c r="B169" i="6"/>
  <c r="J200" i="6" s="1"/>
  <c r="V31" i="6"/>
  <c r="R145" i="6"/>
  <c r="F15" i="6"/>
  <c r="F233" i="6" s="1"/>
  <c r="F235" i="6" s="1"/>
  <c r="U34" i="6"/>
  <c r="P70" i="6"/>
  <c r="R149" i="6"/>
  <c r="S186" i="6"/>
  <c r="T188" i="6"/>
  <c r="R31" i="6"/>
  <c r="F54" i="6"/>
  <c r="E53" i="6" s="1"/>
  <c r="E52" i="6" s="1"/>
  <c r="E51" i="6" s="1"/>
  <c r="H177" i="6"/>
  <c r="S198" i="6"/>
  <c r="E220" i="6"/>
  <c r="F277" i="6"/>
  <c r="S403" i="6"/>
  <c r="S408" i="6"/>
  <c r="S430" i="6"/>
  <c r="X12" i="6"/>
  <c r="V16" i="6"/>
  <c r="V23" i="6"/>
  <c r="S29" i="6"/>
  <c r="U31" i="6"/>
  <c r="G54" i="6"/>
  <c r="F53" i="6" s="1"/>
  <c r="P75" i="6"/>
  <c r="S155" i="6"/>
  <c r="G220" i="6"/>
  <c r="G277" i="6"/>
  <c r="S428" i="6"/>
  <c r="B28" i="6"/>
  <c r="B249" i="6" s="1"/>
  <c r="S66" i="6"/>
  <c r="S150" i="6"/>
  <c r="C162" i="6"/>
  <c r="T162" i="6" s="1"/>
  <c r="H171" i="6"/>
  <c r="S182" i="6"/>
  <c r="S60" i="6"/>
  <c r="L62" i="6"/>
  <c r="U188" i="6"/>
  <c r="S419" i="6"/>
  <c r="S24" i="6"/>
  <c r="D258" i="6"/>
  <c r="S416" i="6"/>
  <c r="S436" i="6"/>
  <c r="S438" i="6"/>
  <c r="T440" i="6"/>
  <c r="R444" i="6"/>
  <c r="R27" i="6"/>
  <c r="S9" i="6"/>
  <c r="R13" i="6"/>
  <c r="U16" i="6"/>
  <c r="N62" i="6"/>
  <c r="P66" i="6"/>
  <c r="E258" i="6"/>
  <c r="U440" i="6"/>
  <c r="T444" i="6"/>
  <c r="S6" i="6"/>
  <c r="W16" i="6"/>
  <c r="S61" i="6"/>
  <c r="O62" i="6"/>
  <c r="P67" i="6"/>
  <c r="S70" i="6"/>
  <c r="H174" i="6"/>
  <c r="F258" i="6"/>
  <c r="F261" i="6" s="1"/>
  <c r="S402" i="6"/>
  <c r="S407" i="6"/>
  <c r="S427" i="6"/>
  <c r="U444" i="6"/>
  <c r="T19" i="6"/>
  <c r="G28" i="6"/>
  <c r="G249" i="6" s="1"/>
  <c r="S159" i="6"/>
  <c r="E272" i="6"/>
  <c r="L443" i="6"/>
  <c r="S17" i="6"/>
  <c r="H149" i="6"/>
  <c r="S151" i="6"/>
  <c r="S161" i="6"/>
  <c r="H178" i="6"/>
  <c r="S434" i="6"/>
  <c r="T11" i="6"/>
  <c r="U11" i="6"/>
  <c r="C21" i="6"/>
  <c r="U27" i="6"/>
  <c r="F286" i="6"/>
  <c r="F28" i="6"/>
  <c r="X23" i="6"/>
  <c r="V27" i="6"/>
  <c r="V11" i="6"/>
  <c r="E21" i="6"/>
  <c r="M34" i="6" s="1"/>
  <c r="V20" i="6"/>
  <c r="D21" i="6"/>
  <c r="L440" i="6" s="1"/>
  <c r="U20" i="6"/>
  <c r="C53" i="6"/>
  <c r="D53" i="6"/>
  <c r="D52" i="6" s="1"/>
  <c r="D51" i="6" s="1"/>
  <c r="H49" i="6"/>
  <c r="F290" i="6"/>
  <c r="V13" i="6"/>
  <c r="W19" i="6"/>
  <c r="W27" i="6"/>
  <c r="G290" i="6"/>
  <c r="W34" i="6"/>
  <c r="H47" i="6"/>
  <c r="S71" i="6"/>
  <c r="X16" i="6"/>
  <c r="T10" i="6"/>
  <c r="R12" i="6"/>
  <c r="W13" i="6"/>
  <c r="X19" i="6"/>
  <c r="X27" i="6"/>
  <c r="X34" i="6"/>
  <c r="H64" i="6"/>
  <c r="S404" i="6"/>
  <c r="U10" i="6"/>
  <c r="X13" i="6"/>
  <c r="R20" i="6"/>
  <c r="M444" i="6"/>
  <c r="W444" i="6"/>
  <c r="U13" i="6"/>
  <c r="V10" i="6"/>
  <c r="T12" i="6"/>
  <c r="C28" i="6"/>
  <c r="C247" i="6" s="1"/>
  <c r="J56" i="6"/>
  <c r="R62" i="6"/>
  <c r="H65" i="6"/>
  <c r="S73" i="6"/>
  <c r="S185" i="6"/>
  <c r="W200" i="6"/>
  <c r="E445" i="6"/>
  <c r="N444" i="6"/>
  <c r="X444" i="6"/>
  <c r="V34" i="6"/>
  <c r="W10" i="6"/>
  <c r="R23" i="6"/>
  <c r="D28" i="6"/>
  <c r="D248" i="6" s="1"/>
  <c r="R16" i="6"/>
  <c r="E28" i="6"/>
  <c r="E248" i="6" s="1"/>
  <c r="T62" i="6"/>
  <c r="S160" i="6"/>
  <c r="R188" i="6"/>
  <c r="H197" i="6"/>
  <c r="D200" i="6"/>
  <c r="U200" i="6" s="1"/>
  <c r="D234" i="6"/>
  <c r="T23" i="6"/>
  <c r="T31" i="6"/>
  <c r="B54" i="6"/>
  <c r="U62" i="6"/>
  <c r="S75" i="6"/>
  <c r="V149" i="6"/>
  <c r="H188" i="6"/>
  <c r="T200" i="6"/>
  <c r="G258" i="6"/>
  <c r="G261" i="6" s="1"/>
  <c r="E286" i="6"/>
  <c r="T16" i="6"/>
  <c r="U23" i="6"/>
  <c r="B290" i="6"/>
  <c r="R34" i="6"/>
  <c r="C54" i="6"/>
  <c r="H62" i="6"/>
  <c r="P62" i="6" s="1"/>
  <c r="W149" i="6"/>
  <c r="E162" i="6"/>
  <c r="D213" i="6"/>
  <c r="D212" i="6" s="1"/>
  <c r="D169" i="6"/>
  <c r="S164" i="6"/>
  <c r="X200" i="6"/>
  <c r="D227" i="6"/>
  <c r="D289" i="6"/>
  <c r="S442" i="6"/>
  <c r="V444" i="6"/>
  <c r="C290" i="6"/>
  <c r="F162" i="6"/>
  <c r="F339" i="6" s="1"/>
  <c r="B173" i="6"/>
  <c r="H172" i="6"/>
  <c r="R200" i="6"/>
  <c r="D220" i="6"/>
  <c r="E289" i="6"/>
  <c r="S435" i="6"/>
  <c r="S437" i="6"/>
  <c r="T34" i="6"/>
  <c r="G213" i="6"/>
  <c r="G212" i="6" s="1"/>
  <c r="G169" i="6"/>
  <c r="G227" i="6"/>
  <c r="S154" i="6"/>
  <c r="R162" i="6"/>
  <c r="S192" i="6"/>
  <c r="S199" i="6"/>
  <c r="D272" i="6"/>
  <c r="S420" i="6"/>
  <c r="C220" i="6"/>
  <c r="C272" i="6"/>
  <c r="F220" i="6"/>
  <c r="F272" i="6"/>
  <c r="R443" i="6"/>
  <c r="B269" i="6"/>
  <c r="B265" i="6" s="1"/>
  <c r="T443" i="6"/>
  <c r="B445" i="6"/>
  <c r="U443" i="6"/>
  <c r="V443" i="6"/>
  <c r="W443" i="6"/>
  <c r="X443" i="6"/>
  <c r="O444" i="6"/>
  <c r="F171" i="5"/>
  <c r="C186" i="5"/>
  <c r="E171" i="5"/>
  <c r="C193" i="5"/>
  <c r="G186" i="5"/>
  <c r="F186" i="5"/>
  <c r="E186" i="5"/>
  <c r="D186" i="5"/>
  <c r="U266" i="5"/>
  <c r="G179" i="5"/>
  <c r="B179" i="5"/>
  <c r="F179" i="5"/>
  <c r="C172" i="5"/>
  <c r="C171" i="5" s="1"/>
  <c r="E179" i="5"/>
  <c r="D179" i="5"/>
  <c r="C179" i="5"/>
  <c r="F271" i="5"/>
  <c r="F63" i="5" s="1"/>
  <c r="G172" i="5"/>
  <c r="G171" i="5" s="1"/>
  <c r="G132" i="5"/>
  <c r="W266" i="5"/>
  <c r="G271" i="5"/>
  <c r="G63" i="5" s="1"/>
  <c r="Y266" i="5"/>
  <c r="D271" i="5"/>
  <c r="D63" i="5" s="1"/>
  <c r="T256" i="5"/>
  <c r="X20" i="5"/>
  <c r="W13" i="5"/>
  <c r="V31" i="5"/>
  <c r="X266" i="5"/>
  <c r="F211" i="5"/>
  <c r="F14" i="5" s="1"/>
  <c r="F15" i="5"/>
  <c r="F192" i="5" s="1"/>
  <c r="U159" i="5"/>
  <c r="W62" i="5"/>
  <c r="X147" i="5"/>
  <c r="B211" i="5"/>
  <c r="B14" i="5" s="1"/>
  <c r="B15" i="5"/>
  <c r="B192" i="5" s="1"/>
  <c r="B194" i="5" s="1"/>
  <c r="X13" i="5"/>
  <c r="E271" i="5"/>
  <c r="N271" i="5" s="1"/>
  <c r="T75" i="5"/>
  <c r="T124" i="5"/>
  <c r="C132" i="5"/>
  <c r="T265" i="5"/>
  <c r="T71" i="5"/>
  <c r="T247" i="5"/>
  <c r="T255" i="5"/>
  <c r="W34" i="5"/>
  <c r="Y12" i="5"/>
  <c r="T118" i="5"/>
  <c r="Y10" i="5"/>
  <c r="V16" i="5"/>
  <c r="D132" i="5"/>
  <c r="T67" i="5"/>
  <c r="T233" i="5"/>
  <c r="Y147" i="5"/>
  <c r="S16" i="5"/>
  <c r="S147" i="5"/>
  <c r="Y19" i="5"/>
  <c r="T73" i="5"/>
  <c r="T146" i="5"/>
  <c r="V20" i="5"/>
  <c r="T29" i="5"/>
  <c r="S62" i="5"/>
  <c r="T120" i="5"/>
  <c r="T126" i="5"/>
  <c r="I130" i="5"/>
  <c r="T143" i="5"/>
  <c r="T241" i="5"/>
  <c r="X19" i="5"/>
  <c r="T123" i="5"/>
  <c r="T145" i="5"/>
  <c r="T160" i="5"/>
  <c r="V27" i="5"/>
  <c r="Y31" i="5"/>
  <c r="V10" i="5"/>
  <c r="C15" i="5"/>
  <c r="C192" i="5" s="1"/>
  <c r="V62" i="5"/>
  <c r="V108" i="5"/>
  <c r="S23" i="5"/>
  <c r="W147" i="5"/>
  <c r="U10" i="5"/>
  <c r="T242" i="5"/>
  <c r="W10" i="5"/>
  <c r="I137" i="5"/>
  <c r="T80" i="5"/>
  <c r="I134" i="5"/>
  <c r="T249" i="5"/>
  <c r="T9" i="5"/>
  <c r="D11" i="5"/>
  <c r="M62" i="5"/>
  <c r="T109" i="5"/>
  <c r="T111" i="5"/>
  <c r="S12" i="5"/>
  <c r="K56" i="5"/>
  <c r="U108" i="5"/>
  <c r="V34" i="5"/>
  <c r="T61" i="5"/>
  <c r="T157" i="5"/>
  <c r="D211" i="5"/>
  <c r="D14" i="5" s="1"/>
  <c r="D15" i="5"/>
  <c r="D192" i="5" s="1"/>
  <c r="E211" i="5"/>
  <c r="E14" i="5" s="1"/>
  <c r="E15" i="5"/>
  <c r="E192" i="5" s="1"/>
  <c r="F53" i="5"/>
  <c r="F52" i="5" s="1"/>
  <c r="F51" i="5" s="1"/>
  <c r="G52" i="5"/>
  <c r="G51" i="5" s="1"/>
  <c r="L150" i="5"/>
  <c r="L146" i="5"/>
  <c r="C21" i="5"/>
  <c r="W20" i="5"/>
  <c r="Q70" i="5"/>
  <c r="T110" i="5"/>
  <c r="I136" i="5"/>
  <c r="T151" i="5"/>
  <c r="T254" i="5"/>
  <c r="S108" i="5"/>
  <c r="C271" i="5"/>
  <c r="C63" i="5" s="1"/>
  <c r="L63" i="5" s="1"/>
  <c r="T115" i="5"/>
  <c r="T33" i="5"/>
  <c r="W108" i="5"/>
  <c r="T141" i="5"/>
  <c r="T144" i="5"/>
  <c r="T245" i="5"/>
  <c r="T262" i="5"/>
  <c r="T264" i="5"/>
  <c r="T6" i="5"/>
  <c r="U16" i="5"/>
  <c r="V266" i="5"/>
  <c r="S270" i="5"/>
  <c r="Y13" i="5"/>
  <c r="B28" i="5"/>
  <c r="T112" i="5"/>
  <c r="T119" i="5"/>
  <c r="L269" i="5"/>
  <c r="U270" i="5"/>
  <c r="W12" i="5"/>
  <c r="V23" i="5"/>
  <c r="X62" i="5"/>
  <c r="I108" i="5"/>
  <c r="I133" i="5"/>
  <c r="I135" i="5"/>
  <c r="T158" i="5"/>
  <c r="T253" i="5"/>
  <c r="M269" i="5"/>
  <c r="V270" i="5"/>
  <c r="X12" i="5"/>
  <c r="T17" i="5"/>
  <c r="T125" i="5"/>
  <c r="N269" i="5"/>
  <c r="T246" i="5"/>
  <c r="S266" i="5"/>
  <c r="O269" i="5"/>
  <c r="T8" i="5"/>
  <c r="I62" i="5"/>
  <c r="Q62" i="5" s="1"/>
  <c r="T70" i="5"/>
  <c r="T127" i="5"/>
  <c r="T149" i="5"/>
  <c r="T234" i="5"/>
  <c r="T263" i="5"/>
  <c r="P269" i="5"/>
  <c r="U12" i="5"/>
  <c r="T60" i="5"/>
  <c r="L62" i="5"/>
  <c r="Q66" i="5"/>
  <c r="T113" i="5"/>
  <c r="V269" i="5"/>
  <c r="G21" i="5"/>
  <c r="S11" i="5"/>
  <c r="X27" i="5"/>
  <c r="W27" i="5"/>
  <c r="S20" i="5"/>
  <c r="Y27" i="5"/>
  <c r="S19" i="5"/>
  <c r="U19" i="5"/>
  <c r="U20" i="5"/>
  <c r="B21" i="5"/>
  <c r="U11" i="5"/>
  <c r="U31" i="5"/>
  <c r="S31" i="5"/>
  <c r="Y23" i="5"/>
  <c r="G28" i="5"/>
  <c r="B54" i="5"/>
  <c r="U34" i="5"/>
  <c r="P153" i="5"/>
  <c r="P143" i="5"/>
  <c r="G139" i="5"/>
  <c r="P152" i="5"/>
  <c r="P142" i="5"/>
  <c r="P151" i="5"/>
  <c r="P141" i="5"/>
  <c r="P128" i="5"/>
  <c r="P150" i="5"/>
  <c r="P146" i="5"/>
  <c r="P155" i="5"/>
  <c r="P149" i="5"/>
  <c r="P145" i="5"/>
  <c r="P160" i="5"/>
  <c r="P157" i="5"/>
  <c r="P147" i="5"/>
  <c r="F28" i="5"/>
  <c r="F11" i="5"/>
  <c r="U13" i="5"/>
  <c r="X16" i="5"/>
  <c r="V19" i="5"/>
  <c r="W23" i="5"/>
  <c r="X34" i="5"/>
  <c r="E54" i="5"/>
  <c r="E128" i="5"/>
  <c r="N147" i="5" s="1"/>
  <c r="X121" i="5"/>
  <c r="X159" i="5"/>
  <c r="E21" i="5"/>
  <c r="D128" i="5"/>
  <c r="V128" i="5" s="1"/>
  <c r="W121" i="5"/>
  <c r="S10" i="5"/>
  <c r="V13" i="5"/>
  <c r="Y16" i="5"/>
  <c r="W19" i="5"/>
  <c r="E28" i="5"/>
  <c r="X23" i="5"/>
  <c r="Y34" i="5"/>
  <c r="F128" i="5"/>
  <c r="Y121" i="5"/>
  <c r="P144" i="5"/>
  <c r="I159" i="5"/>
  <c r="Y159" i="5"/>
  <c r="G161" i="5"/>
  <c r="G184" i="5" s="1"/>
  <c r="W31" i="5"/>
  <c r="N270" i="5"/>
  <c r="X270" i="5"/>
  <c r="S13" i="5"/>
  <c r="U27" i="5"/>
  <c r="W16" i="5"/>
  <c r="T24" i="5"/>
  <c r="I49" i="5"/>
  <c r="L65" i="5"/>
  <c r="I65" i="5"/>
  <c r="Q65" i="5" s="1"/>
  <c r="C161" i="5"/>
  <c r="C184" i="5" s="1"/>
  <c r="L159" i="5"/>
  <c r="S159" i="5"/>
  <c r="T229" i="5"/>
  <c r="T260" i="5"/>
  <c r="O270" i="5"/>
  <c r="Y270" i="5"/>
  <c r="E132" i="5"/>
  <c r="I147" i="5"/>
  <c r="U147" i="5"/>
  <c r="W159" i="5"/>
  <c r="S27" i="5"/>
  <c r="S34" i="5"/>
  <c r="K64" i="5"/>
  <c r="I64" i="5"/>
  <c r="Q64" i="5" s="1"/>
  <c r="F132" i="5"/>
  <c r="L147" i="5"/>
  <c r="V147" i="5"/>
  <c r="V159" i="5"/>
  <c r="G15" i="5"/>
  <c r="G192" i="5" s="1"/>
  <c r="G195" i="5" s="1"/>
  <c r="T78" i="5"/>
  <c r="T117" i="5"/>
  <c r="P158" i="5"/>
  <c r="T268" i="5"/>
  <c r="X10" i="5"/>
  <c r="V12" i="5"/>
  <c r="I131" i="5"/>
  <c r="P162" i="5"/>
  <c r="W270" i="5"/>
  <c r="C52" i="5"/>
  <c r="C51" i="5" s="1"/>
  <c r="B53" i="5"/>
  <c r="U23" i="5"/>
  <c r="C28" i="5"/>
  <c r="X31" i="5"/>
  <c r="Q60" i="5"/>
  <c r="Q75" i="5"/>
  <c r="Q73" i="5"/>
  <c r="Q71" i="5"/>
  <c r="Q67" i="5"/>
  <c r="T66" i="5"/>
  <c r="T228" i="5"/>
  <c r="T230" i="5"/>
  <c r="T261" i="5"/>
  <c r="Y20" i="5"/>
  <c r="D28" i="5"/>
  <c r="E53" i="5"/>
  <c r="Q61" i="5"/>
  <c r="T114" i="5"/>
  <c r="L155" i="5"/>
  <c r="L149" i="5"/>
  <c r="L145" i="5"/>
  <c r="L158" i="5"/>
  <c r="L154" i="5"/>
  <c r="L144" i="5"/>
  <c r="L160" i="5"/>
  <c r="L157" i="5"/>
  <c r="L153" i="5"/>
  <c r="L143" i="5"/>
  <c r="C139" i="5"/>
  <c r="L152" i="5"/>
  <c r="L142" i="5"/>
  <c r="L151" i="5"/>
  <c r="L141" i="5"/>
  <c r="L128" i="5"/>
  <c r="P154" i="5"/>
  <c r="Y62" i="5"/>
  <c r="S104" i="5"/>
  <c r="I47" i="5"/>
  <c r="O62" i="5"/>
  <c r="X108" i="5"/>
  <c r="V121" i="5"/>
  <c r="S269" i="5"/>
  <c r="Y108" i="5"/>
  <c r="B132" i="5"/>
  <c r="I156" i="5"/>
  <c r="U269" i="5"/>
  <c r="B271" i="5"/>
  <c r="W269" i="5"/>
  <c r="U62" i="5"/>
  <c r="X269" i="5"/>
  <c r="Y269" i="5"/>
  <c r="P270" i="5"/>
  <c r="P159" i="5"/>
  <c r="V10" i="2"/>
  <c r="B15" i="2"/>
  <c r="B172" i="2"/>
  <c r="B14" i="2" s="1"/>
  <c r="T10" i="2"/>
  <c r="S10" i="2" s="1"/>
  <c r="M21" i="2"/>
  <c r="M28" i="2"/>
  <c r="M29" i="2"/>
  <c r="B32" i="2"/>
  <c r="S73" i="2"/>
  <c r="S113" i="2"/>
  <c r="S117" i="2"/>
  <c r="S215" i="2"/>
  <c r="E154" i="2"/>
  <c r="M152" i="2"/>
  <c r="W152" i="2"/>
  <c r="D172" i="2"/>
  <c r="D14" i="2" s="1"/>
  <c r="D15" i="2"/>
  <c r="D154" i="2"/>
  <c r="V152" i="2"/>
  <c r="O155" i="2"/>
  <c r="O142" i="2"/>
  <c r="O138" i="2"/>
  <c r="O151" i="2"/>
  <c r="O137" i="2"/>
  <c r="O150" i="2"/>
  <c r="O147" i="2"/>
  <c r="O134" i="2"/>
  <c r="G132" i="2"/>
  <c r="G131" i="2" s="1"/>
  <c r="O146" i="2"/>
  <c r="O121" i="2"/>
  <c r="O145" i="2"/>
  <c r="O144" i="2"/>
  <c r="J212" i="2"/>
  <c r="J226" i="2"/>
  <c r="J217" i="2"/>
  <c r="J194" i="2"/>
  <c r="J16" i="2"/>
  <c r="J225" i="2"/>
  <c r="J216" i="2"/>
  <c r="J224" i="2"/>
  <c r="J223" i="2"/>
  <c r="J214" i="2"/>
  <c r="J222" i="2"/>
  <c r="J210" i="2"/>
  <c r="J221" i="2"/>
  <c r="J209" i="2"/>
  <c r="J191" i="2"/>
  <c r="J207" i="2"/>
  <c r="J189" i="2"/>
  <c r="J206" i="2"/>
  <c r="J188" i="2"/>
  <c r="J203" i="2"/>
  <c r="J25" i="2"/>
  <c r="J202" i="2"/>
  <c r="J9" i="2"/>
  <c r="W10" i="2"/>
  <c r="V11" i="2"/>
  <c r="S11" i="2" s="1"/>
  <c r="R28" i="2"/>
  <c r="T31" i="2"/>
  <c r="S206" i="2"/>
  <c r="L28" i="2"/>
  <c r="D32" i="2"/>
  <c r="E54" i="2"/>
  <c r="E35" i="2"/>
  <c r="K154" i="2"/>
  <c r="F121" i="2"/>
  <c r="X114" i="2"/>
  <c r="G21" i="2"/>
  <c r="O19" i="2" s="1"/>
  <c r="J12" i="2"/>
  <c r="J10" i="2"/>
  <c r="W11" i="2"/>
  <c r="J33" i="2"/>
  <c r="O136" i="2"/>
  <c r="J208" i="2"/>
  <c r="C32" i="2"/>
  <c r="U34" i="2"/>
  <c r="D54" i="2"/>
  <c r="M144" i="2"/>
  <c r="M140" i="2"/>
  <c r="E132" i="2"/>
  <c r="E131" i="2" s="1"/>
  <c r="M153" i="2"/>
  <c r="M139" i="2"/>
  <c r="M150" i="2"/>
  <c r="M136" i="2"/>
  <c r="M148" i="2"/>
  <c r="M135" i="2"/>
  <c r="M147" i="2"/>
  <c r="M146" i="2"/>
  <c r="M121" i="2"/>
  <c r="O13" i="2"/>
  <c r="L225" i="2"/>
  <c r="L216" i="2"/>
  <c r="L224" i="2"/>
  <c r="L215" i="2"/>
  <c r="L12" i="2"/>
  <c r="L223" i="2"/>
  <c r="L214" i="2"/>
  <c r="L13" i="2"/>
  <c r="L222" i="2"/>
  <c r="L221" i="2"/>
  <c r="L209" i="2"/>
  <c r="L191" i="2"/>
  <c r="L208" i="2"/>
  <c r="L190" i="2"/>
  <c r="L207" i="2"/>
  <c r="L189" i="2"/>
  <c r="L25" i="2"/>
  <c r="L203" i="2"/>
  <c r="L202" i="2"/>
  <c r="L33" i="2"/>
  <c r="L195" i="2"/>
  <c r="L226" i="2"/>
  <c r="L217" i="2"/>
  <c r="L194" i="2"/>
  <c r="G35" i="2"/>
  <c r="G54" i="2"/>
  <c r="M8" i="2"/>
  <c r="J11" i="2"/>
  <c r="T21" i="2"/>
  <c r="T28" i="2"/>
  <c r="S28" i="2" s="1"/>
  <c r="M34" i="2"/>
  <c r="S62" i="2"/>
  <c r="S108" i="2"/>
  <c r="R114" i="2"/>
  <c r="M203" i="2"/>
  <c r="M6" i="2"/>
  <c r="M9" i="2"/>
  <c r="J17" i="2"/>
  <c r="M33" i="2"/>
  <c r="S101" i="2"/>
  <c r="O140" i="2"/>
  <c r="S150" i="2"/>
  <c r="D121" i="2"/>
  <c r="V114" i="2"/>
  <c r="U232" i="2"/>
  <c r="K232" i="2"/>
  <c r="C63" i="2"/>
  <c r="X15" i="2"/>
  <c r="M27" i="2"/>
  <c r="M10" i="2"/>
  <c r="J19" i="2"/>
  <c r="V21" i="2"/>
  <c r="V23" i="2"/>
  <c r="V28" i="2"/>
  <c r="O34" i="2"/>
  <c r="O135" i="2"/>
  <c r="L152" i="2"/>
  <c r="O152" i="2"/>
  <c r="G154" i="2"/>
  <c r="X152" i="2"/>
  <c r="H152" i="2"/>
  <c r="T152" i="2"/>
  <c r="S152" i="2" s="1"/>
  <c r="C132" i="2"/>
  <c r="K146" i="2"/>
  <c r="K121" i="2"/>
  <c r="K143" i="2"/>
  <c r="K142" i="2"/>
  <c r="U121" i="2"/>
  <c r="K152" i="2"/>
  <c r="K138" i="2"/>
  <c r="K151" i="2"/>
  <c r="K137" i="2"/>
  <c r="K150" i="2"/>
  <c r="K148" i="2"/>
  <c r="K135" i="2"/>
  <c r="G15" i="2"/>
  <c r="G172" i="2"/>
  <c r="G14" i="2" s="1"/>
  <c r="N223" i="2"/>
  <c r="N214" i="2"/>
  <c r="N222" i="2"/>
  <c r="N210" i="2"/>
  <c r="N24" i="2"/>
  <c r="N221" i="2"/>
  <c r="N209" i="2"/>
  <c r="N191" i="2"/>
  <c r="N15" i="2"/>
  <c r="N25" i="2"/>
  <c r="N207" i="2"/>
  <c r="N189" i="2"/>
  <c r="N206" i="2"/>
  <c r="N188" i="2"/>
  <c r="N12" i="2"/>
  <c r="N203" i="2"/>
  <c r="N195" i="2"/>
  <c r="N226" i="2"/>
  <c r="N217" i="2"/>
  <c r="N194" i="2"/>
  <c r="N225" i="2"/>
  <c r="N216" i="2"/>
  <c r="N224" i="2"/>
  <c r="N215" i="2"/>
  <c r="O139" i="2"/>
  <c r="J227" i="2"/>
  <c r="F154" i="2"/>
  <c r="T114" i="2"/>
  <c r="S114" i="2" s="1"/>
  <c r="H114" i="2"/>
  <c r="B121" i="2"/>
  <c r="X14" i="2"/>
  <c r="N14" i="2"/>
  <c r="K226" i="2"/>
  <c r="K217" i="2"/>
  <c r="K13" i="2"/>
  <c r="K225" i="2"/>
  <c r="K216" i="2"/>
  <c r="K29" i="2"/>
  <c r="K224" i="2"/>
  <c r="K215" i="2"/>
  <c r="K223" i="2"/>
  <c r="K222" i="2"/>
  <c r="K210" i="2"/>
  <c r="K221" i="2"/>
  <c r="K209" i="2"/>
  <c r="K191" i="2"/>
  <c r="K12" i="2"/>
  <c r="K208" i="2"/>
  <c r="K190" i="2"/>
  <c r="K206" i="2"/>
  <c r="K188" i="2"/>
  <c r="K203" i="2"/>
  <c r="K34" i="2"/>
  <c r="K25" i="2"/>
  <c r="K202" i="2"/>
  <c r="K227" i="2"/>
  <c r="K195" i="2"/>
  <c r="J31" i="2"/>
  <c r="M224" i="2"/>
  <c r="M215" i="2"/>
  <c r="M223" i="2"/>
  <c r="M214" i="2"/>
  <c r="M222" i="2"/>
  <c r="M210" i="2"/>
  <c r="M221" i="2"/>
  <c r="M208" i="2"/>
  <c r="M190" i="2"/>
  <c r="M207" i="2"/>
  <c r="M189" i="2"/>
  <c r="M25" i="2"/>
  <c r="M206" i="2"/>
  <c r="M188" i="2"/>
  <c r="M16" i="2"/>
  <c r="M202" i="2"/>
  <c r="M227" i="2"/>
  <c r="M195" i="2"/>
  <c r="M226" i="2"/>
  <c r="M217" i="2"/>
  <c r="M194" i="2"/>
  <c r="M225" i="2"/>
  <c r="M216" i="2"/>
  <c r="W21" i="2"/>
  <c r="M17" i="2"/>
  <c r="J21" i="2"/>
  <c r="K31" i="2"/>
  <c r="S105" i="2"/>
  <c r="O148" i="2"/>
  <c r="J13" i="2"/>
  <c r="C172" i="2"/>
  <c r="C14" i="2" s="1"/>
  <c r="C15" i="2"/>
  <c r="M11" i="2"/>
  <c r="J20" i="2"/>
  <c r="W23" i="2"/>
  <c r="W28" i="2"/>
  <c r="R10" i="2"/>
  <c r="M19" i="2"/>
  <c r="J23" i="2"/>
  <c r="J24" i="2"/>
  <c r="J27" i="2"/>
  <c r="J29" i="2"/>
  <c r="S33" i="2"/>
  <c r="M138" i="2"/>
  <c r="S139" i="2"/>
  <c r="U152" i="2"/>
  <c r="S191" i="2"/>
  <c r="J215" i="2"/>
  <c r="X31" i="2"/>
  <c r="N31" i="2"/>
  <c r="W32" i="2"/>
  <c r="M32" i="2"/>
  <c r="R11" i="2"/>
  <c r="M20" i="2"/>
  <c r="M31" i="2"/>
  <c r="M151" i="2"/>
  <c r="J190" i="2"/>
  <c r="S210" i="2"/>
  <c r="H49" i="2"/>
  <c r="E15" i="2"/>
  <c r="E172" i="2"/>
  <c r="E14" i="2" s="1"/>
  <c r="B34" i="2"/>
  <c r="H140" i="2"/>
  <c r="V230" i="2"/>
  <c r="K230" i="2"/>
  <c r="T13" i="2"/>
  <c r="L227" i="2"/>
  <c r="B232" i="2"/>
  <c r="M231" i="2"/>
  <c r="R13" i="2"/>
  <c r="M12" i="2"/>
  <c r="E63" i="2"/>
  <c r="T230" i="2"/>
  <c r="N227" i="2"/>
  <c r="G232" i="2"/>
  <c r="R230" i="2"/>
  <c r="W12" i="2"/>
  <c r="S12" i="2" s="1"/>
  <c r="F232" i="2"/>
  <c r="F34" i="2"/>
  <c r="M232" i="2"/>
  <c r="N230" i="2"/>
  <c r="M13" i="2"/>
  <c r="H47" i="2"/>
  <c r="C125" i="2"/>
  <c r="H125" i="2" s="1"/>
  <c r="T231" i="2"/>
  <c r="S231" i="2" s="1"/>
  <c r="K16" i="2"/>
  <c r="W227" i="2"/>
  <c r="S227" i="2" s="1"/>
  <c r="D63" i="2"/>
  <c r="R16" i="2"/>
  <c r="V13" i="2"/>
  <c r="F68" i="7" l="1"/>
  <c r="X63" i="7"/>
  <c r="N63" i="7"/>
  <c r="F325" i="7"/>
  <c r="P67" i="7"/>
  <c r="H62" i="7"/>
  <c r="P66" i="7"/>
  <c r="P60" i="7"/>
  <c r="D325" i="6"/>
  <c r="D68" i="7"/>
  <c r="P64" i="6"/>
  <c r="H64" i="7"/>
  <c r="P64" i="7" s="1"/>
  <c r="P61" i="7"/>
  <c r="P71" i="7"/>
  <c r="C325" i="6"/>
  <c r="C68" i="7"/>
  <c r="F127" i="6"/>
  <c r="G127" i="6"/>
  <c r="B127" i="6"/>
  <c r="C127" i="6"/>
  <c r="E127" i="6"/>
  <c r="D127" i="6"/>
  <c r="P65" i="6"/>
  <c r="H65" i="7"/>
  <c r="P65" i="7" s="1"/>
  <c r="E261" i="6"/>
  <c r="D261" i="6"/>
  <c r="G68" i="7"/>
  <c r="O63" i="7"/>
  <c r="G325" i="7"/>
  <c r="G344" i="7"/>
  <c r="G343" i="7"/>
  <c r="G229" i="7"/>
  <c r="R229" i="7" s="1"/>
  <c r="B425" i="7" s="1"/>
  <c r="C230" i="7"/>
  <c r="U229" i="7"/>
  <c r="B230" i="7"/>
  <c r="T229" i="7"/>
  <c r="K401" i="7"/>
  <c r="E299" i="7"/>
  <c r="I401" i="7"/>
  <c r="C299" i="7"/>
  <c r="C205" i="7"/>
  <c r="B203" i="7"/>
  <c r="U204" i="7"/>
  <c r="K204" i="7"/>
  <c r="F229" i="7"/>
  <c r="F343" i="7"/>
  <c r="F344" i="7"/>
  <c r="D68" i="6"/>
  <c r="D324" i="6" s="1"/>
  <c r="L445" i="6"/>
  <c r="C261" i="6"/>
  <c r="V445" i="6"/>
  <c r="L63" i="6"/>
  <c r="U445" i="6"/>
  <c r="K63" i="6"/>
  <c r="U63" i="6"/>
  <c r="K445" i="6"/>
  <c r="C68" i="6"/>
  <c r="C324" i="6" s="1"/>
  <c r="B248" i="6"/>
  <c r="B247" i="6"/>
  <c r="D236" i="6"/>
  <c r="B246" i="6"/>
  <c r="C227" i="6"/>
  <c r="B236" i="6"/>
  <c r="C213" i="6"/>
  <c r="C212" i="6" s="1"/>
  <c r="U162" i="6"/>
  <c r="G68" i="6"/>
  <c r="G324" i="6" s="1"/>
  <c r="G325" i="6"/>
  <c r="F68" i="6"/>
  <c r="F325" i="6"/>
  <c r="U14" i="6"/>
  <c r="R11" i="6"/>
  <c r="E236" i="6"/>
  <c r="R14" i="6"/>
  <c r="O440" i="6"/>
  <c r="B358" i="6"/>
  <c r="G250" i="6"/>
  <c r="C358" i="6"/>
  <c r="D246" i="6"/>
  <c r="D358" i="6"/>
  <c r="H200" i="6"/>
  <c r="H173" i="6"/>
  <c r="U15" i="6"/>
  <c r="B345" i="6"/>
  <c r="B341" i="6"/>
  <c r="N63" i="6"/>
  <c r="L15" i="6"/>
  <c r="N445" i="6"/>
  <c r="V15" i="6"/>
  <c r="S188" i="6"/>
  <c r="S12" i="6"/>
  <c r="B306" i="6"/>
  <c r="B32" i="6"/>
  <c r="B285" i="6" s="1"/>
  <c r="B287" i="6" s="1"/>
  <c r="B250" i="6"/>
  <c r="O445" i="6"/>
  <c r="X445" i="6"/>
  <c r="G247" i="6"/>
  <c r="S20" i="6"/>
  <c r="G246" i="6"/>
  <c r="G371" i="6" s="1"/>
  <c r="O63" i="6"/>
  <c r="R445" i="6"/>
  <c r="G248" i="6"/>
  <c r="X63" i="6"/>
  <c r="G308" i="6"/>
  <c r="S149" i="6"/>
  <c r="F247" i="6"/>
  <c r="C169" i="6"/>
  <c r="K187" i="6" s="1"/>
  <c r="C339" i="6"/>
  <c r="S440" i="6"/>
  <c r="F246" i="6"/>
  <c r="O11" i="6"/>
  <c r="L27" i="6"/>
  <c r="X15" i="6"/>
  <c r="D332" i="6"/>
  <c r="D334" i="6"/>
  <c r="O200" i="6"/>
  <c r="G334" i="6"/>
  <c r="F345" i="6"/>
  <c r="F341" i="6"/>
  <c r="F340" i="6"/>
  <c r="V162" i="6"/>
  <c r="E339" i="6"/>
  <c r="O34" i="6"/>
  <c r="G32" i="6"/>
  <c r="G35" i="6" s="1"/>
  <c r="G347" i="6" s="1"/>
  <c r="J201" i="6"/>
  <c r="J190" i="6"/>
  <c r="J196" i="6"/>
  <c r="B334" i="6"/>
  <c r="B332" i="6"/>
  <c r="J187" i="6"/>
  <c r="J191" i="6"/>
  <c r="J169" i="6"/>
  <c r="B202" i="6"/>
  <c r="J182" i="6"/>
  <c r="J192" i="6"/>
  <c r="B180" i="6"/>
  <c r="B215" i="6" s="1"/>
  <c r="B217" i="6" s="1"/>
  <c r="B228" i="6" s="1"/>
  <c r="B229" i="6" s="1"/>
  <c r="B230" i="6" s="1"/>
  <c r="J183" i="6"/>
  <c r="J184" i="6"/>
  <c r="J193" i="6"/>
  <c r="J188" i="6"/>
  <c r="J194" i="6"/>
  <c r="J199" i="6"/>
  <c r="J186" i="6"/>
  <c r="F236" i="6"/>
  <c r="E301" i="6"/>
  <c r="F248" i="6"/>
  <c r="W15" i="6"/>
  <c r="X11" i="6"/>
  <c r="S11" i="6" s="1"/>
  <c r="O15" i="6"/>
  <c r="G235" i="6"/>
  <c r="F301" i="6"/>
  <c r="C304" i="6"/>
  <c r="C306" i="6" s="1"/>
  <c r="K11" i="6"/>
  <c r="C312" i="6"/>
  <c r="C360" i="6" s="1"/>
  <c r="R28" i="6"/>
  <c r="L12" i="6"/>
  <c r="D312" i="6"/>
  <c r="D360" i="6" s="1"/>
  <c r="T15" i="6"/>
  <c r="S31" i="6"/>
  <c r="C246" i="6"/>
  <c r="X14" i="6"/>
  <c r="G306" i="6"/>
  <c r="J28" i="6"/>
  <c r="B312" i="6"/>
  <c r="B360" i="6" s="1"/>
  <c r="B308" i="6"/>
  <c r="R15" i="6"/>
  <c r="C236" i="6"/>
  <c r="F21" i="6"/>
  <c r="N16" i="6" s="1"/>
  <c r="D304" i="6"/>
  <c r="S444" i="6"/>
  <c r="J10" i="6"/>
  <c r="J15" i="6"/>
  <c r="K34" i="6"/>
  <c r="L13" i="6"/>
  <c r="C248" i="6"/>
  <c r="S19" i="6"/>
  <c r="L11" i="6"/>
  <c r="L20" i="6"/>
  <c r="K14" i="6"/>
  <c r="F52" i="6"/>
  <c r="F51" i="6" s="1"/>
  <c r="S34" i="6"/>
  <c r="J14" i="6"/>
  <c r="K10" i="6"/>
  <c r="D235" i="6"/>
  <c r="K20" i="6"/>
  <c r="L10" i="6"/>
  <c r="J425" i="6"/>
  <c r="K27" i="6"/>
  <c r="J195" i="6"/>
  <c r="J185" i="6"/>
  <c r="J198" i="6"/>
  <c r="S10" i="6"/>
  <c r="S27" i="6"/>
  <c r="L14" i="6"/>
  <c r="S13" i="6"/>
  <c r="J11" i="6"/>
  <c r="K15" i="6"/>
  <c r="E247" i="6"/>
  <c r="T28" i="6"/>
  <c r="M416" i="6"/>
  <c r="M423" i="6"/>
  <c r="M415" i="6"/>
  <c r="M439" i="6"/>
  <c r="M422" i="6"/>
  <c r="M438" i="6"/>
  <c r="M421" i="6"/>
  <c r="M437" i="6"/>
  <c r="M420" i="6"/>
  <c r="M404" i="6"/>
  <c r="M436" i="6"/>
  <c r="M419" i="6"/>
  <c r="M403" i="6"/>
  <c r="M435" i="6"/>
  <c r="M402" i="6"/>
  <c r="M434" i="6"/>
  <c r="M401" i="6"/>
  <c r="M430" i="6"/>
  <c r="M408" i="6"/>
  <c r="M427" i="6"/>
  <c r="M429" i="6"/>
  <c r="M33" i="6"/>
  <c r="M6" i="6"/>
  <c r="M10" i="6"/>
  <c r="E291" i="6"/>
  <c r="E296" i="6" s="1"/>
  <c r="M20" i="6"/>
  <c r="M21" i="6"/>
  <c r="M25" i="6"/>
  <c r="M17" i="6"/>
  <c r="M24" i="6"/>
  <c r="M31" i="6"/>
  <c r="M23" i="6"/>
  <c r="M9" i="6"/>
  <c r="M428" i="6"/>
  <c r="M407" i="6"/>
  <c r="M29" i="6"/>
  <c r="M14" i="6"/>
  <c r="M8" i="6"/>
  <c r="M12" i="6"/>
  <c r="W445" i="6"/>
  <c r="M445" i="6"/>
  <c r="E63" i="6"/>
  <c r="D250" i="6"/>
  <c r="D249" i="6"/>
  <c r="V28" i="6"/>
  <c r="L28" i="6"/>
  <c r="D32" i="6"/>
  <c r="M11" i="6"/>
  <c r="M27" i="6"/>
  <c r="C250" i="6"/>
  <c r="C249" i="6"/>
  <c r="K28" i="6"/>
  <c r="U28" i="6"/>
  <c r="C32" i="6"/>
  <c r="O439" i="6"/>
  <c r="O422" i="6"/>
  <c r="O438" i="6"/>
  <c r="O421" i="6"/>
  <c r="O437" i="6"/>
  <c r="O420" i="6"/>
  <c r="O404" i="6"/>
  <c r="O436" i="6"/>
  <c r="O419" i="6"/>
  <c r="O403" i="6"/>
  <c r="O435" i="6"/>
  <c r="O402" i="6"/>
  <c r="O434" i="6"/>
  <c r="O401" i="6"/>
  <c r="O430" i="6"/>
  <c r="O408" i="6"/>
  <c r="O429" i="6"/>
  <c r="O407" i="6"/>
  <c r="G291" i="6"/>
  <c r="O428" i="6"/>
  <c r="O423" i="6"/>
  <c r="O415" i="6"/>
  <c r="R21" i="6"/>
  <c r="O21" i="6"/>
  <c r="O10" i="6"/>
  <c r="O427" i="6"/>
  <c r="O25" i="6"/>
  <c r="O17" i="6"/>
  <c r="O24" i="6"/>
  <c r="O31" i="6"/>
  <c r="O23" i="6"/>
  <c r="O9" i="6"/>
  <c r="O33" i="6"/>
  <c r="O29" i="6"/>
  <c r="O8" i="6"/>
  <c r="O20" i="6"/>
  <c r="O6" i="6"/>
  <c r="O416" i="6"/>
  <c r="O12" i="6"/>
  <c r="J429" i="6"/>
  <c r="J407" i="6"/>
  <c r="B291" i="6"/>
  <c r="J428" i="6"/>
  <c r="J427" i="6"/>
  <c r="J416" i="6"/>
  <c r="J423" i="6"/>
  <c r="J415" i="6"/>
  <c r="J439" i="6"/>
  <c r="J422" i="6"/>
  <c r="J438" i="6"/>
  <c r="J421" i="6"/>
  <c r="J437" i="6"/>
  <c r="J420" i="6"/>
  <c r="J404" i="6"/>
  <c r="J436" i="6"/>
  <c r="J419" i="6"/>
  <c r="J403" i="6"/>
  <c r="J430" i="6"/>
  <c r="J408" i="6"/>
  <c r="J29" i="6"/>
  <c r="J8" i="6"/>
  <c r="J434" i="6"/>
  <c r="J440" i="6"/>
  <c r="J20" i="6"/>
  <c r="J6" i="6"/>
  <c r="J23" i="6"/>
  <c r="J435" i="6"/>
  <c r="J33" i="6"/>
  <c r="J31" i="6"/>
  <c r="T21" i="6"/>
  <c r="J21" i="6"/>
  <c r="J9" i="6"/>
  <c r="J401" i="6"/>
  <c r="J34" i="6"/>
  <c r="J27" i="6"/>
  <c r="J19" i="6"/>
  <c r="J402" i="6"/>
  <c r="J25" i="6"/>
  <c r="J17" i="6"/>
  <c r="J24" i="6"/>
  <c r="J16" i="6"/>
  <c r="E290" i="6"/>
  <c r="S62" i="6"/>
  <c r="E246" i="6"/>
  <c r="J12" i="6"/>
  <c r="L192" i="6"/>
  <c r="L182" i="6"/>
  <c r="L169" i="6"/>
  <c r="L191" i="6"/>
  <c r="L187" i="6"/>
  <c r="L196" i="6"/>
  <c r="L190" i="6"/>
  <c r="L186" i="6"/>
  <c r="L199" i="6"/>
  <c r="L203" i="6"/>
  <c r="L195" i="6"/>
  <c r="L188" i="6"/>
  <c r="L185" i="6"/>
  <c r="L201" i="6"/>
  <c r="L198" i="6"/>
  <c r="L193" i="6"/>
  <c r="L183" i="6"/>
  <c r="D180" i="6"/>
  <c r="L184" i="6"/>
  <c r="L194" i="6"/>
  <c r="O27" i="6"/>
  <c r="M19" i="6"/>
  <c r="M16" i="6"/>
  <c r="O191" i="6"/>
  <c r="O187" i="6"/>
  <c r="O196" i="6"/>
  <c r="O190" i="6"/>
  <c r="O186" i="6"/>
  <c r="O199" i="6"/>
  <c r="O203" i="6"/>
  <c r="O201" i="6"/>
  <c r="O198" i="6"/>
  <c r="O194" i="6"/>
  <c r="O184" i="6"/>
  <c r="G180" i="6"/>
  <c r="O193" i="6"/>
  <c r="O183" i="6"/>
  <c r="R169" i="6"/>
  <c r="O188" i="6"/>
  <c r="O182" i="6"/>
  <c r="O195" i="6"/>
  <c r="O192" i="6"/>
  <c r="O169" i="6"/>
  <c r="O185" i="6"/>
  <c r="S16" i="6"/>
  <c r="S23" i="6"/>
  <c r="M440" i="6"/>
  <c r="O16" i="6"/>
  <c r="H162" i="6"/>
  <c r="M15" i="6"/>
  <c r="O19" i="6"/>
  <c r="E250" i="6"/>
  <c r="M28" i="6"/>
  <c r="W28" i="6"/>
  <c r="E32" i="6"/>
  <c r="E249" i="6"/>
  <c r="O14" i="6"/>
  <c r="O28" i="6"/>
  <c r="F213" i="6"/>
  <c r="F212" i="6" s="1"/>
  <c r="F169" i="6"/>
  <c r="F227" i="6"/>
  <c r="X162" i="6"/>
  <c r="J445" i="6"/>
  <c r="T445" i="6"/>
  <c r="B63" i="6"/>
  <c r="D290" i="6"/>
  <c r="E213" i="6"/>
  <c r="E212" i="6" s="1"/>
  <c r="W162" i="6"/>
  <c r="E227" i="6"/>
  <c r="E169" i="6"/>
  <c r="C52" i="6"/>
  <c r="C51" i="6" s="1"/>
  <c r="B53" i="6"/>
  <c r="B52" i="6" s="1"/>
  <c r="S443" i="6"/>
  <c r="V200" i="6"/>
  <c r="S200" i="6" s="1"/>
  <c r="D202" i="6"/>
  <c r="L200" i="6"/>
  <c r="J13" i="6"/>
  <c r="L427" i="6"/>
  <c r="L416" i="6"/>
  <c r="L423" i="6"/>
  <c r="L415" i="6"/>
  <c r="L439" i="6"/>
  <c r="L422" i="6"/>
  <c r="L438" i="6"/>
  <c r="L421" i="6"/>
  <c r="L437" i="6"/>
  <c r="L420" i="6"/>
  <c r="L404" i="6"/>
  <c r="L436" i="6"/>
  <c r="L419" i="6"/>
  <c r="L403" i="6"/>
  <c r="L435" i="6"/>
  <c r="L402" i="6"/>
  <c r="L434" i="6"/>
  <c r="L401" i="6"/>
  <c r="L428" i="6"/>
  <c r="D291" i="6"/>
  <c r="D297" i="6" s="1"/>
  <c r="L429" i="6"/>
  <c r="L408" i="6"/>
  <c r="L33" i="6"/>
  <c r="L407" i="6"/>
  <c r="L29" i="6"/>
  <c r="L430" i="6"/>
  <c r="L21" i="6"/>
  <c r="L8" i="6"/>
  <c r="L6" i="6"/>
  <c r="L34" i="6"/>
  <c r="L19" i="6"/>
  <c r="L25" i="6"/>
  <c r="L17" i="6"/>
  <c r="L24" i="6"/>
  <c r="V21" i="6"/>
  <c r="L16" i="6"/>
  <c r="L31" i="6"/>
  <c r="L23" i="6"/>
  <c r="L9" i="6"/>
  <c r="K428" i="6"/>
  <c r="K427" i="6"/>
  <c r="K416" i="6"/>
  <c r="K423" i="6"/>
  <c r="K415" i="6"/>
  <c r="K439" i="6"/>
  <c r="K422" i="6"/>
  <c r="K438" i="6"/>
  <c r="K421" i="6"/>
  <c r="K437" i="6"/>
  <c r="K420" i="6"/>
  <c r="K404" i="6"/>
  <c r="K436" i="6"/>
  <c r="K419" i="6"/>
  <c r="K403" i="6"/>
  <c r="K435" i="6"/>
  <c r="K402" i="6"/>
  <c r="K429" i="6"/>
  <c r="K407" i="6"/>
  <c r="C291" i="6"/>
  <c r="K440" i="6"/>
  <c r="K6" i="6"/>
  <c r="K12" i="6"/>
  <c r="K23" i="6"/>
  <c r="K29" i="6"/>
  <c r="K408" i="6"/>
  <c r="K33" i="6"/>
  <c r="K434" i="6"/>
  <c r="K8" i="6"/>
  <c r="K430" i="6"/>
  <c r="K21" i="6"/>
  <c r="K31" i="6"/>
  <c r="K13" i="6"/>
  <c r="K401" i="6"/>
  <c r="K9" i="6"/>
  <c r="K25" i="6"/>
  <c r="K17" i="6"/>
  <c r="K24" i="6"/>
  <c r="U21" i="6"/>
  <c r="K16" i="6"/>
  <c r="K19" i="6"/>
  <c r="D247" i="6"/>
  <c r="G202" i="6"/>
  <c r="F250" i="6"/>
  <c r="F249" i="6"/>
  <c r="X28" i="6"/>
  <c r="F32" i="6"/>
  <c r="M13" i="6"/>
  <c r="P11" i="5"/>
  <c r="K19" i="5"/>
  <c r="N12" i="5"/>
  <c r="L230" i="5"/>
  <c r="C194" i="5"/>
  <c r="D21" i="5"/>
  <c r="M15" i="5" s="1"/>
  <c r="C195" i="5"/>
  <c r="B32" i="5"/>
  <c r="X11" i="5"/>
  <c r="E194" i="5"/>
  <c r="B195" i="5"/>
  <c r="B172" i="5"/>
  <c r="B186" i="5"/>
  <c r="Y14" i="5"/>
  <c r="S14" i="5"/>
  <c r="G194" i="5"/>
  <c r="V14" i="5"/>
  <c r="D194" i="5"/>
  <c r="E195" i="5"/>
  <c r="G138" i="5"/>
  <c r="G174" i="5"/>
  <c r="O271" i="5"/>
  <c r="C138" i="5"/>
  <c r="C174" i="5"/>
  <c r="Y271" i="5"/>
  <c r="P271" i="5"/>
  <c r="T266" i="5"/>
  <c r="S271" i="5"/>
  <c r="M271" i="5"/>
  <c r="V15" i="5"/>
  <c r="X14" i="5"/>
  <c r="P10" i="5"/>
  <c r="P14" i="5"/>
  <c r="P27" i="5"/>
  <c r="W11" i="5"/>
  <c r="P13" i="5"/>
  <c r="U14" i="5"/>
  <c r="P23" i="5"/>
  <c r="P266" i="5"/>
  <c r="L33" i="5"/>
  <c r="W271" i="5"/>
  <c r="T270" i="5"/>
  <c r="N23" i="5"/>
  <c r="E63" i="5"/>
  <c r="W63" i="5" s="1"/>
  <c r="X271" i="5"/>
  <c r="U15" i="5"/>
  <c r="I132" i="5"/>
  <c r="V11" i="5"/>
  <c r="N159" i="5"/>
  <c r="P19" i="5"/>
  <c r="E161" i="5"/>
  <c r="T23" i="5"/>
  <c r="C68" i="5"/>
  <c r="L68" i="5" s="1"/>
  <c r="T159" i="5"/>
  <c r="T62" i="5"/>
  <c r="T27" i="5"/>
  <c r="T10" i="5"/>
  <c r="L246" i="5"/>
  <c r="L9" i="5"/>
  <c r="L6" i="5"/>
  <c r="L263" i="5"/>
  <c r="L227" i="5"/>
  <c r="L233" i="5"/>
  <c r="L247" i="5"/>
  <c r="L255" i="5"/>
  <c r="L16" i="5"/>
  <c r="L14" i="5"/>
  <c r="L11" i="5"/>
  <c r="L24" i="5"/>
  <c r="L248" i="5"/>
  <c r="L17" i="5"/>
  <c r="L228" i="5"/>
  <c r="L265" i="5"/>
  <c r="M20" i="5"/>
  <c r="L23" i="5"/>
  <c r="L29" i="5"/>
  <c r="L261" i="5"/>
  <c r="L241" i="5"/>
  <c r="L21" i="5"/>
  <c r="L27" i="5"/>
  <c r="L234" i="5"/>
  <c r="L25" i="5"/>
  <c r="L249" i="5"/>
  <c r="L264" i="5"/>
  <c r="L256" i="5"/>
  <c r="L229" i="5"/>
  <c r="L242" i="5"/>
  <c r="W14" i="5"/>
  <c r="L19" i="5"/>
  <c r="L13" i="5"/>
  <c r="L20" i="5"/>
  <c r="L245" i="5"/>
  <c r="L253" i="5"/>
  <c r="L266" i="5"/>
  <c r="V271" i="5"/>
  <c r="L10" i="5"/>
  <c r="L260" i="5"/>
  <c r="L12" i="5"/>
  <c r="L262" i="5"/>
  <c r="L254" i="5"/>
  <c r="L15" i="5"/>
  <c r="L34" i="5"/>
  <c r="L8" i="5"/>
  <c r="L31" i="5"/>
  <c r="M242" i="5"/>
  <c r="M29" i="5"/>
  <c r="L271" i="5"/>
  <c r="N13" i="5"/>
  <c r="M6" i="5"/>
  <c r="V21" i="5"/>
  <c r="K10" i="5"/>
  <c r="T108" i="5"/>
  <c r="M234" i="5"/>
  <c r="M247" i="5"/>
  <c r="N16" i="5"/>
  <c r="W15" i="5"/>
  <c r="X15" i="5"/>
  <c r="M31" i="5"/>
  <c r="M266" i="5"/>
  <c r="M264" i="5"/>
  <c r="K251" i="5"/>
  <c r="K31" i="5"/>
  <c r="K28" i="5"/>
  <c r="T12" i="5"/>
  <c r="M248" i="5"/>
  <c r="T16" i="5"/>
  <c r="M254" i="5"/>
  <c r="M227" i="5"/>
  <c r="M228" i="5"/>
  <c r="T147" i="5"/>
  <c r="B52" i="5"/>
  <c r="B51" i="5" s="1"/>
  <c r="M159" i="5"/>
  <c r="D161" i="5"/>
  <c r="Y63" i="5"/>
  <c r="F68" i="5"/>
  <c r="O63" i="5"/>
  <c r="D68" i="5"/>
  <c r="M63" i="5"/>
  <c r="N34" i="5"/>
  <c r="S28" i="5"/>
  <c r="P28" i="5"/>
  <c r="G32" i="5"/>
  <c r="T31" i="5"/>
  <c r="T20" i="5"/>
  <c r="K16" i="5"/>
  <c r="I121" i="5"/>
  <c r="B128" i="5"/>
  <c r="U121" i="5"/>
  <c r="T121" i="5" s="1"/>
  <c r="N31" i="5"/>
  <c r="K20" i="5"/>
  <c r="N14" i="5"/>
  <c r="M158" i="5"/>
  <c r="M162" i="5"/>
  <c r="M154" i="5"/>
  <c r="M144" i="5"/>
  <c r="M160" i="5"/>
  <c r="M157" i="5"/>
  <c r="M153" i="5"/>
  <c r="M143" i="5"/>
  <c r="D139" i="5"/>
  <c r="M152" i="5"/>
  <c r="M142" i="5"/>
  <c r="M151" i="5"/>
  <c r="M141" i="5"/>
  <c r="M128" i="5"/>
  <c r="M155" i="5"/>
  <c r="M149" i="5"/>
  <c r="M145" i="5"/>
  <c r="W128" i="5"/>
  <c r="M146" i="5"/>
  <c r="M150" i="5"/>
  <c r="V28" i="5"/>
  <c r="C32" i="5"/>
  <c r="L28" i="5"/>
  <c r="K23" i="5"/>
  <c r="Y28" i="5"/>
  <c r="F32" i="5"/>
  <c r="N15" i="5"/>
  <c r="T19" i="5"/>
  <c r="V63" i="5"/>
  <c r="E32" i="5"/>
  <c r="X28" i="5"/>
  <c r="N28" i="5"/>
  <c r="O160" i="5"/>
  <c r="O157" i="5"/>
  <c r="O153" i="5"/>
  <c r="O143" i="5"/>
  <c r="F139" i="5"/>
  <c r="O152" i="5"/>
  <c r="O142" i="5"/>
  <c r="O151" i="5"/>
  <c r="O141" i="5"/>
  <c r="O128" i="5"/>
  <c r="O150" i="5"/>
  <c r="O146" i="5"/>
  <c r="O162" i="5"/>
  <c r="O154" i="5"/>
  <c r="O147" i="5"/>
  <c r="O144" i="5"/>
  <c r="O145" i="5"/>
  <c r="O155" i="5"/>
  <c r="Y128" i="5"/>
  <c r="O158" i="5"/>
  <c r="O149" i="5"/>
  <c r="K12" i="5"/>
  <c r="K11" i="5"/>
  <c r="Y11" i="5"/>
  <c r="F21" i="5"/>
  <c r="K255" i="5"/>
  <c r="K233" i="5"/>
  <c r="K254" i="5"/>
  <c r="K253" i="5"/>
  <c r="K33" i="5"/>
  <c r="K242" i="5"/>
  <c r="K249" i="5"/>
  <c r="K241" i="5"/>
  <c r="K265" i="5"/>
  <c r="K248" i="5"/>
  <c r="K264" i="5"/>
  <c r="K247" i="5"/>
  <c r="K263" i="5"/>
  <c r="K246" i="5"/>
  <c r="K230" i="5"/>
  <c r="K262" i="5"/>
  <c r="K245" i="5"/>
  <c r="K229" i="5"/>
  <c r="K25" i="5"/>
  <c r="K256" i="5"/>
  <c r="K234" i="5"/>
  <c r="K29" i="5"/>
  <c r="K260" i="5"/>
  <c r="U21" i="5"/>
  <c r="K14" i="5"/>
  <c r="K6" i="5"/>
  <c r="K266" i="5"/>
  <c r="K15" i="5"/>
  <c r="K228" i="5"/>
  <c r="K261" i="5"/>
  <c r="K17" i="5"/>
  <c r="K8" i="5"/>
  <c r="K21" i="5"/>
  <c r="K9" i="5"/>
  <c r="K227" i="5"/>
  <c r="K24" i="5"/>
  <c r="N27" i="5"/>
  <c r="P265" i="5"/>
  <c r="P248" i="5"/>
  <c r="P21" i="5"/>
  <c r="P264" i="5"/>
  <c r="P247" i="5"/>
  <c r="P263" i="5"/>
  <c r="P246" i="5"/>
  <c r="P230" i="5"/>
  <c r="P34" i="5"/>
  <c r="P262" i="5"/>
  <c r="P245" i="5"/>
  <c r="P229" i="5"/>
  <c r="P25" i="5"/>
  <c r="P261" i="5"/>
  <c r="P228" i="5"/>
  <c r="P260" i="5"/>
  <c r="P227" i="5"/>
  <c r="P256" i="5"/>
  <c r="P234" i="5"/>
  <c r="P29" i="5"/>
  <c r="P255" i="5"/>
  <c r="P233" i="5"/>
  <c r="P254" i="5"/>
  <c r="P249" i="5"/>
  <c r="P241" i="5"/>
  <c r="S21" i="5"/>
  <c r="P17" i="5"/>
  <c r="P16" i="5"/>
  <c r="P9" i="5"/>
  <c r="P253" i="5"/>
  <c r="P8" i="5"/>
  <c r="P6" i="5"/>
  <c r="P33" i="5"/>
  <c r="P242" i="5"/>
  <c r="P31" i="5"/>
  <c r="P24" i="5"/>
  <c r="M147" i="5"/>
  <c r="L161" i="5"/>
  <c r="P161" i="5"/>
  <c r="G163" i="5"/>
  <c r="N11" i="5"/>
  <c r="K271" i="5"/>
  <c r="U271" i="5"/>
  <c r="B63" i="5"/>
  <c r="S63" i="5" s="1"/>
  <c r="S121" i="5"/>
  <c r="G68" i="5"/>
  <c r="P63" i="5"/>
  <c r="F161" i="5"/>
  <c r="F184" i="5" s="1"/>
  <c r="T13" i="5"/>
  <c r="E52" i="5"/>
  <c r="E51" i="5" s="1"/>
  <c r="D53" i="5"/>
  <c r="D52" i="5" s="1"/>
  <c r="D51" i="5" s="1"/>
  <c r="T269" i="5"/>
  <c r="W28" i="5"/>
  <c r="D32" i="5"/>
  <c r="N266" i="5"/>
  <c r="U28" i="5"/>
  <c r="N154" i="5"/>
  <c r="N144" i="5"/>
  <c r="N160" i="5"/>
  <c r="N157" i="5"/>
  <c r="N153" i="5"/>
  <c r="N143" i="5"/>
  <c r="E139" i="5"/>
  <c r="N152" i="5"/>
  <c r="N142" i="5"/>
  <c r="N151" i="5"/>
  <c r="N141" i="5"/>
  <c r="N128" i="5"/>
  <c r="N150" i="5"/>
  <c r="N146" i="5"/>
  <c r="N158" i="5"/>
  <c r="N155" i="5"/>
  <c r="X128" i="5"/>
  <c r="N149" i="5"/>
  <c r="N145" i="5"/>
  <c r="T34" i="5"/>
  <c r="P20" i="5"/>
  <c r="K13" i="5"/>
  <c r="P12" i="5"/>
  <c r="P15" i="5"/>
  <c r="Y15" i="5"/>
  <c r="S15" i="5"/>
  <c r="N242" i="5"/>
  <c r="N249" i="5"/>
  <c r="N241" i="5"/>
  <c r="N265" i="5"/>
  <c r="N248" i="5"/>
  <c r="N264" i="5"/>
  <c r="N247" i="5"/>
  <c r="N263" i="5"/>
  <c r="N246" i="5"/>
  <c r="N230" i="5"/>
  <c r="N262" i="5"/>
  <c r="N245" i="5"/>
  <c r="N229" i="5"/>
  <c r="N261" i="5"/>
  <c r="N228" i="5"/>
  <c r="N24" i="5"/>
  <c r="N260" i="5"/>
  <c r="N227" i="5"/>
  <c r="N256" i="5"/>
  <c r="N234" i="5"/>
  <c r="N29" i="5"/>
  <c r="N253" i="5"/>
  <c r="N33" i="5"/>
  <c r="N255" i="5"/>
  <c r="N10" i="5"/>
  <c r="N233" i="5"/>
  <c r="N25" i="5"/>
  <c r="N19" i="5"/>
  <c r="N254" i="5"/>
  <c r="N17" i="5"/>
  <c r="N21" i="5"/>
  <c r="N9" i="5"/>
  <c r="N8" i="5"/>
  <c r="N6" i="5"/>
  <c r="N20" i="5"/>
  <c r="K27" i="5"/>
  <c r="O159" i="5"/>
  <c r="K34" i="5"/>
  <c r="E36" i="2"/>
  <c r="M35" i="2"/>
  <c r="F54" i="2"/>
  <c r="F35" i="2"/>
  <c r="W34" i="2"/>
  <c r="N34" i="2"/>
  <c r="X34" i="2"/>
  <c r="U15" i="2"/>
  <c r="K15" i="2"/>
  <c r="L154" i="2"/>
  <c r="D156" i="2"/>
  <c r="V154" i="2"/>
  <c r="X232" i="2"/>
  <c r="F63" i="2"/>
  <c r="N232" i="2"/>
  <c r="W232" i="2"/>
  <c r="L32" i="2"/>
  <c r="V32" i="2"/>
  <c r="O154" i="2"/>
  <c r="G156" i="2"/>
  <c r="V15" i="2"/>
  <c r="L15" i="2"/>
  <c r="J147" i="2"/>
  <c r="J134" i="2"/>
  <c r="J144" i="2"/>
  <c r="J143" i="2"/>
  <c r="J153" i="2"/>
  <c r="J139" i="2"/>
  <c r="J138" i="2"/>
  <c r="J151" i="2"/>
  <c r="H121" i="2"/>
  <c r="B132" i="2"/>
  <c r="J150" i="2"/>
  <c r="J136" i="2"/>
  <c r="J137" i="2"/>
  <c r="J148" i="2"/>
  <c r="J121" i="2"/>
  <c r="J145" i="2"/>
  <c r="J135" i="2"/>
  <c r="T121" i="2"/>
  <c r="J142" i="2"/>
  <c r="J146" i="2"/>
  <c r="J140" i="2"/>
  <c r="F156" i="2"/>
  <c r="X154" i="2"/>
  <c r="N154" i="2"/>
  <c r="C68" i="2"/>
  <c r="K63" i="2"/>
  <c r="U63" i="2"/>
  <c r="F53" i="2"/>
  <c r="G52" i="2"/>
  <c r="G51" i="2" s="1"/>
  <c r="V14" i="2"/>
  <c r="L14" i="2"/>
  <c r="T32" i="2"/>
  <c r="S32" i="2" s="1"/>
  <c r="R32" i="2"/>
  <c r="J32" i="2"/>
  <c r="G63" i="2"/>
  <c r="O232" i="2"/>
  <c r="R232" i="2"/>
  <c r="S230" i="2"/>
  <c r="B54" i="2"/>
  <c r="B52" i="2" s="1"/>
  <c r="B35" i="2"/>
  <c r="T34" i="2"/>
  <c r="S34" i="2" s="1"/>
  <c r="J34" i="2"/>
  <c r="O35" i="2"/>
  <c r="G36" i="2"/>
  <c r="R35" i="2"/>
  <c r="S31" i="2"/>
  <c r="O16" i="2"/>
  <c r="C35" i="2"/>
  <c r="U32" i="2"/>
  <c r="K32" i="2"/>
  <c r="R34" i="2"/>
  <c r="R121" i="2"/>
  <c r="M15" i="2"/>
  <c r="W15" i="2"/>
  <c r="O14" i="2"/>
  <c r="R14" i="2"/>
  <c r="O222" i="2"/>
  <c r="O210" i="2"/>
  <c r="O221" i="2"/>
  <c r="O209" i="2"/>
  <c r="O191" i="2"/>
  <c r="O23" i="2"/>
  <c r="O12" i="2"/>
  <c r="O208" i="2"/>
  <c r="O190" i="2"/>
  <c r="O206" i="2"/>
  <c r="O188" i="2"/>
  <c r="O203" i="2"/>
  <c r="O202" i="2"/>
  <c r="O227" i="2"/>
  <c r="O226" i="2"/>
  <c r="O217" i="2"/>
  <c r="O194" i="2"/>
  <c r="O225" i="2"/>
  <c r="O216" i="2"/>
  <c r="O29" i="2"/>
  <c r="O224" i="2"/>
  <c r="O215" i="2"/>
  <c r="O223" i="2"/>
  <c r="O25" i="2"/>
  <c r="O214" i="2"/>
  <c r="O17" i="2"/>
  <c r="O9" i="2"/>
  <c r="O32" i="2"/>
  <c r="O11" i="2"/>
  <c r="O207" i="2"/>
  <c r="X21" i="2"/>
  <c r="S21" i="2" s="1"/>
  <c r="O10" i="2"/>
  <c r="O33" i="2"/>
  <c r="O20" i="2"/>
  <c r="O8" i="2"/>
  <c r="O6" i="2"/>
  <c r="O27" i="2"/>
  <c r="O189" i="2"/>
  <c r="O21" i="2"/>
  <c r="O195" i="2"/>
  <c r="R21" i="2"/>
  <c r="O28" i="2"/>
  <c r="O24" i="2"/>
  <c r="O31" i="2"/>
  <c r="T14" i="2"/>
  <c r="J14" i="2"/>
  <c r="B154" i="2"/>
  <c r="R154" i="2" s="1"/>
  <c r="D53" i="2"/>
  <c r="D52" i="2" s="1"/>
  <c r="D51" i="2" s="1"/>
  <c r="D68" i="2"/>
  <c r="V63" i="2"/>
  <c r="L63" i="2"/>
  <c r="M14" i="2"/>
  <c r="W14" i="2"/>
  <c r="O15" i="2"/>
  <c r="R15" i="2"/>
  <c r="L145" i="2"/>
  <c r="D132" i="2"/>
  <c r="D131" i="2" s="1"/>
  <c r="L155" i="2"/>
  <c r="L142" i="2"/>
  <c r="V121" i="2"/>
  <c r="L140" i="2"/>
  <c r="L153" i="2"/>
  <c r="L151" i="2"/>
  <c r="L137" i="2"/>
  <c r="L150" i="2"/>
  <c r="L136" i="2"/>
  <c r="L148" i="2"/>
  <c r="L147" i="2"/>
  <c r="L134" i="2"/>
  <c r="L143" i="2"/>
  <c r="L144" i="2"/>
  <c r="L138" i="2"/>
  <c r="L139" i="2"/>
  <c r="L135" i="2"/>
  <c r="L121" i="2"/>
  <c r="L146" i="2"/>
  <c r="M154" i="2"/>
  <c r="W154" i="2"/>
  <c r="J15" i="2"/>
  <c r="T15" i="2"/>
  <c r="C131" i="2"/>
  <c r="D35" i="2"/>
  <c r="N143" i="2"/>
  <c r="N153" i="2"/>
  <c r="N139" i="2"/>
  <c r="N152" i="2"/>
  <c r="N138" i="2"/>
  <c r="N151" i="2"/>
  <c r="F132" i="2"/>
  <c r="F131" i="2" s="1"/>
  <c r="N148" i="2"/>
  <c r="N135" i="2"/>
  <c r="N147" i="2"/>
  <c r="N134" i="2"/>
  <c r="N146" i="2"/>
  <c r="N145" i="2"/>
  <c r="N144" i="2"/>
  <c r="N155" i="2"/>
  <c r="N137" i="2"/>
  <c r="X121" i="2"/>
  <c r="W121" i="2"/>
  <c r="N140" i="2"/>
  <c r="N150" i="2"/>
  <c r="N142" i="2"/>
  <c r="N136" i="2"/>
  <c r="N121" i="2"/>
  <c r="U14" i="2"/>
  <c r="K14" i="2"/>
  <c r="S13" i="2"/>
  <c r="E68" i="2"/>
  <c r="M63" i="2"/>
  <c r="B63" i="2"/>
  <c r="J232" i="2"/>
  <c r="T232" i="2"/>
  <c r="S232" i="2" s="1"/>
  <c r="J152" i="2"/>
  <c r="S23" i="2"/>
  <c r="C53" i="2"/>
  <c r="C52" i="2" s="1"/>
  <c r="C51" i="2" s="1"/>
  <c r="U154" i="2"/>
  <c r="X229" i="7" l="1"/>
  <c r="G230" i="7"/>
  <c r="L63" i="7"/>
  <c r="D325" i="7"/>
  <c r="E129" i="6"/>
  <c r="E130" i="6" s="1"/>
  <c r="D129" i="6"/>
  <c r="D130" i="6" s="1"/>
  <c r="B68" i="7"/>
  <c r="T63" i="7"/>
  <c r="X68" i="6"/>
  <c r="C129" i="6"/>
  <c r="C130" i="6" s="1"/>
  <c r="B129" i="6"/>
  <c r="B130" i="6" s="1"/>
  <c r="G129" i="6"/>
  <c r="G130" i="6" s="1"/>
  <c r="P62" i="7"/>
  <c r="F129" i="6"/>
  <c r="F130" i="6" s="1"/>
  <c r="D69" i="6"/>
  <c r="L69" i="6" s="1"/>
  <c r="R63" i="7"/>
  <c r="C325" i="7"/>
  <c r="K63" i="7"/>
  <c r="U63" i="7"/>
  <c r="G69" i="7"/>
  <c r="G324" i="7"/>
  <c r="O68" i="7"/>
  <c r="E325" i="6"/>
  <c r="L68" i="6"/>
  <c r="F69" i="7"/>
  <c r="X68" i="7"/>
  <c r="F324" i="7"/>
  <c r="N68" i="7"/>
  <c r="L401" i="7"/>
  <c r="F230" i="7"/>
  <c r="W229" i="7"/>
  <c r="S229" i="7" s="1"/>
  <c r="B204" i="7"/>
  <c r="T203" i="7"/>
  <c r="S203" i="7" s="1"/>
  <c r="R203" i="7"/>
  <c r="J203" i="7"/>
  <c r="S14" i="6"/>
  <c r="F69" i="6"/>
  <c r="F92" i="6" s="1"/>
  <c r="F95" i="6" s="1"/>
  <c r="F342" i="6" s="1"/>
  <c r="G69" i="6"/>
  <c r="G315" i="6" s="1"/>
  <c r="F371" i="6"/>
  <c r="C69" i="6"/>
  <c r="C353" i="6" s="1"/>
  <c r="U169" i="6"/>
  <c r="K68" i="6"/>
  <c r="U68" i="6"/>
  <c r="J202" i="6"/>
  <c r="B225" i="6"/>
  <c r="B224" i="6" s="1"/>
  <c r="O35" i="6"/>
  <c r="G36" i="6"/>
  <c r="B325" i="6"/>
  <c r="B68" i="6"/>
  <c r="B324" i="6" s="1"/>
  <c r="O32" i="6"/>
  <c r="R32" i="6"/>
  <c r="G285" i="6"/>
  <c r="G287" i="6" s="1"/>
  <c r="G293" i="6" s="1"/>
  <c r="O68" i="6"/>
  <c r="F324" i="6"/>
  <c r="N68" i="6"/>
  <c r="C371" i="6"/>
  <c r="E371" i="6"/>
  <c r="N21" i="6"/>
  <c r="N430" i="6"/>
  <c r="N24" i="6"/>
  <c r="N27" i="6"/>
  <c r="N401" i="6"/>
  <c r="N28" i="6"/>
  <c r="N436" i="6"/>
  <c r="N437" i="6"/>
  <c r="N23" i="6"/>
  <c r="N14" i="6"/>
  <c r="X21" i="6"/>
  <c r="B293" i="6"/>
  <c r="B35" i="6"/>
  <c r="B36" i="6" s="1"/>
  <c r="J32" i="6"/>
  <c r="N29" i="6"/>
  <c r="B309" i="6"/>
  <c r="N408" i="6"/>
  <c r="T32" i="6"/>
  <c r="W21" i="6"/>
  <c r="N13" i="6"/>
  <c r="N8" i="6"/>
  <c r="N434" i="6"/>
  <c r="K198" i="6"/>
  <c r="K184" i="6"/>
  <c r="N428" i="6"/>
  <c r="N422" i="6"/>
  <c r="N9" i="6"/>
  <c r="N415" i="6"/>
  <c r="N34" i="6"/>
  <c r="F358" i="6"/>
  <c r="E358" i="6"/>
  <c r="B371" i="6"/>
  <c r="N439" i="6"/>
  <c r="N15" i="6"/>
  <c r="N423" i="6"/>
  <c r="N19" i="6"/>
  <c r="N416" i="6"/>
  <c r="D371" i="6"/>
  <c r="N10" i="6"/>
  <c r="F291" i="6"/>
  <c r="F294" i="6" s="1"/>
  <c r="K194" i="6"/>
  <c r="C180" i="6"/>
  <c r="C329" i="6" s="1"/>
  <c r="N31" i="6"/>
  <c r="N12" i="6"/>
  <c r="N402" i="6"/>
  <c r="T169" i="6"/>
  <c r="K191" i="6"/>
  <c r="N6" i="6"/>
  <c r="N17" i="6"/>
  <c r="N435" i="6"/>
  <c r="N20" i="6"/>
  <c r="N25" i="6"/>
  <c r="N403" i="6"/>
  <c r="G309" i="6"/>
  <c r="N33" i="6"/>
  <c r="N427" i="6"/>
  <c r="N419" i="6"/>
  <c r="S445" i="6"/>
  <c r="G335" i="6"/>
  <c r="G326" i="6"/>
  <c r="G330" i="6"/>
  <c r="G327" i="6"/>
  <c r="G329" i="6"/>
  <c r="G328" i="6"/>
  <c r="S15" i="6"/>
  <c r="F332" i="6"/>
  <c r="F334" i="6"/>
  <c r="V169" i="6"/>
  <c r="E332" i="6"/>
  <c r="E334" i="6"/>
  <c r="B343" i="6"/>
  <c r="B344" i="6"/>
  <c r="C345" i="6"/>
  <c r="C341" i="6"/>
  <c r="C340" i="6"/>
  <c r="K188" i="6"/>
  <c r="C334" i="6"/>
  <c r="C332" i="6"/>
  <c r="K199" i="6"/>
  <c r="K195" i="6"/>
  <c r="C202" i="6"/>
  <c r="U202" i="6" s="1"/>
  <c r="K185" i="6"/>
  <c r="K196" i="6"/>
  <c r="K200" i="6"/>
  <c r="K169" i="6"/>
  <c r="K190" i="6"/>
  <c r="K193" i="6"/>
  <c r="K183" i="6"/>
  <c r="K192" i="6"/>
  <c r="K182" i="6"/>
  <c r="K201" i="6"/>
  <c r="K186" i="6"/>
  <c r="D331" i="6"/>
  <c r="D326" i="6"/>
  <c r="D330" i="6"/>
  <c r="D327" i="6"/>
  <c r="D329" i="6"/>
  <c r="D328" i="6"/>
  <c r="D335" i="6"/>
  <c r="N407" i="6"/>
  <c r="N421" i="6"/>
  <c r="E340" i="6"/>
  <c r="E345" i="6"/>
  <c r="E341" i="6"/>
  <c r="N429" i="6"/>
  <c r="N438" i="6"/>
  <c r="B179" i="6"/>
  <c r="B335" i="6"/>
  <c r="B329" i="6"/>
  <c r="B326" i="6"/>
  <c r="B331" i="6"/>
  <c r="B328" i="6"/>
  <c r="B330" i="6"/>
  <c r="B327" i="6"/>
  <c r="F304" i="6"/>
  <c r="F306" i="6" s="1"/>
  <c r="N11" i="6"/>
  <c r="F312" i="6"/>
  <c r="F360" i="6" s="1"/>
  <c r="C314" i="6"/>
  <c r="E297" i="6"/>
  <c r="E298" i="6" s="1"/>
  <c r="N440" i="6"/>
  <c r="E312" i="6"/>
  <c r="E360" i="6" s="1"/>
  <c r="E294" i="6"/>
  <c r="E304" i="6"/>
  <c r="E306" i="6" s="1"/>
  <c r="S162" i="6"/>
  <c r="N404" i="6"/>
  <c r="D307" i="6"/>
  <c r="D308" i="6"/>
  <c r="C307" i="6"/>
  <c r="C308" i="6"/>
  <c r="N420" i="6"/>
  <c r="D306" i="6"/>
  <c r="B51" i="6"/>
  <c r="J63" i="6"/>
  <c r="H63" i="6"/>
  <c r="T63" i="6"/>
  <c r="R63" i="6"/>
  <c r="C296" i="6"/>
  <c r="C294" i="6"/>
  <c r="C297" i="6"/>
  <c r="D215" i="6"/>
  <c r="D179" i="6"/>
  <c r="G296" i="6"/>
  <c r="G294" i="6"/>
  <c r="G297" i="6"/>
  <c r="E68" i="6"/>
  <c r="E324" i="6" s="1"/>
  <c r="M63" i="6"/>
  <c r="W63" i="6"/>
  <c r="V63" i="6"/>
  <c r="D296" i="6"/>
  <c r="D298" i="6" s="1"/>
  <c r="D294" i="6"/>
  <c r="G215" i="6"/>
  <c r="G179" i="6"/>
  <c r="B296" i="6"/>
  <c r="B294" i="6"/>
  <c r="B297" i="6"/>
  <c r="L202" i="6"/>
  <c r="D225" i="6"/>
  <c r="D204" i="6"/>
  <c r="D285" i="6"/>
  <c r="D287" i="6" s="1"/>
  <c r="D293" i="6" s="1"/>
  <c r="L32" i="6"/>
  <c r="D35" i="6"/>
  <c r="D347" i="6" s="1"/>
  <c r="V32" i="6"/>
  <c r="N191" i="6"/>
  <c r="N187" i="6"/>
  <c r="N196" i="6"/>
  <c r="N190" i="6"/>
  <c r="N186" i="6"/>
  <c r="X169" i="6"/>
  <c r="N203" i="6"/>
  <c r="N195" i="6"/>
  <c r="N185" i="6"/>
  <c r="N201" i="6"/>
  <c r="N198" i="6"/>
  <c r="N194" i="6"/>
  <c r="N184" i="6"/>
  <c r="N192" i="6"/>
  <c r="N182" i="6"/>
  <c r="N169" i="6"/>
  <c r="N199" i="6"/>
  <c r="F180" i="6"/>
  <c r="N183" i="6"/>
  <c r="N193" i="6"/>
  <c r="N200" i="6"/>
  <c r="N188" i="6"/>
  <c r="F202" i="6"/>
  <c r="G225" i="6"/>
  <c r="G204" i="6"/>
  <c r="R202" i="6"/>
  <c r="O202" i="6"/>
  <c r="M192" i="6"/>
  <c r="M182" i="6"/>
  <c r="M169" i="6"/>
  <c r="M191" i="6"/>
  <c r="M187" i="6"/>
  <c r="M199" i="6"/>
  <c r="M195" i="6"/>
  <c r="M185" i="6"/>
  <c r="M201" i="6"/>
  <c r="M198" i="6"/>
  <c r="M194" i="6"/>
  <c r="M184" i="6"/>
  <c r="E180" i="6"/>
  <c r="M186" i="6"/>
  <c r="M196" i="6"/>
  <c r="M183" i="6"/>
  <c r="M193" i="6"/>
  <c r="M190" i="6"/>
  <c r="W169" i="6"/>
  <c r="M200" i="6"/>
  <c r="M188" i="6"/>
  <c r="E202" i="6"/>
  <c r="H169" i="6"/>
  <c r="C285" i="6"/>
  <c r="C287" i="6" s="1"/>
  <c r="C293" i="6" s="1"/>
  <c r="K32" i="6"/>
  <c r="U32" i="6"/>
  <c r="C35" i="6"/>
  <c r="S28" i="6"/>
  <c r="F285" i="6"/>
  <c r="F287" i="6" s="1"/>
  <c r="N32" i="6"/>
  <c r="X32" i="6"/>
  <c r="F35" i="6"/>
  <c r="F347" i="6" s="1"/>
  <c r="E285" i="6"/>
  <c r="E287" i="6" s="1"/>
  <c r="E293" i="6" s="1"/>
  <c r="M32" i="6"/>
  <c r="W32" i="6"/>
  <c r="E35" i="6"/>
  <c r="E347" i="6" s="1"/>
  <c r="B270" i="6"/>
  <c r="B214" i="6"/>
  <c r="M256" i="5"/>
  <c r="M255" i="5"/>
  <c r="X21" i="5"/>
  <c r="M23" i="5"/>
  <c r="M249" i="5"/>
  <c r="M261" i="5"/>
  <c r="K32" i="5"/>
  <c r="B35" i="5"/>
  <c r="K35" i="5" s="1"/>
  <c r="M8" i="5"/>
  <c r="M28" i="5"/>
  <c r="M14" i="5"/>
  <c r="M13" i="5"/>
  <c r="M34" i="5"/>
  <c r="M230" i="5"/>
  <c r="M16" i="5"/>
  <c r="M24" i="5"/>
  <c r="M263" i="5"/>
  <c r="M21" i="5"/>
  <c r="M229" i="5"/>
  <c r="M17" i="5"/>
  <c r="M12" i="5"/>
  <c r="M253" i="5"/>
  <c r="M241" i="5"/>
  <c r="M262" i="5"/>
  <c r="M25" i="5"/>
  <c r="M265" i="5"/>
  <c r="M246" i="5"/>
  <c r="M10" i="5"/>
  <c r="M233" i="5"/>
  <c r="W21" i="5"/>
  <c r="M27" i="5"/>
  <c r="M260" i="5"/>
  <c r="M33" i="5"/>
  <c r="M11" i="5"/>
  <c r="M9" i="5"/>
  <c r="M19" i="5"/>
  <c r="M245" i="5"/>
  <c r="X63" i="5"/>
  <c r="F194" i="5"/>
  <c r="F195" i="5"/>
  <c r="D195" i="5"/>
  <c r="N161" i="5"/>
  <c r="E184" i="5"/>
  <c r="C173" i="5"/>
  <c r="C176" i="5"/>
  <c r="C187" i="5" s="1"/>
  <c r="C188" i="5" s="1"/>
  <c r="C189" i="5" s="1"/>
  <c r="V161" i="5"/>
  <c r="D184" i="5"/>
  <c r="D138" i="5"/>
  <c r="D174" i="5"/>
  <c r="E138" i="5"/>
  <c r="E174" i="5"/>
  <c r="F138" i="5"/>
  <c r="F174" i="5"/>
  <c r="G176" i="5"/>
  <c r="G173" i="5"/>
  <c r="C69" i="5"/>
  <c r="L69" i="5" s="1"/>
  <c r="V68" i="5"/>
  <c r="T14" i="5"/>
  <c r="N63" i="5"/>
  <c r="E68" i="5"/>
  <c r="X68" i="5" s="1"/>
  <c r="T11" i="5"/>
  <c r="X161" i="5"/>
  <c r="I52" i="5"/>
  <c r="I54" i="5" s="1"/>
  <c r="T15" i="5"/>
  <c r="T28" i="5"/>
  <c r="T271" i="5"/>
  <c r="I51" i="5"/>
  <c r="G35" i="5"/>
  <c r="P32" i="5"/>
  <c r="S32" i="5"/>
  <c r="B68" i="5"/>
  <c r="S68" i="5" s="1"/>
  <c r="K63" i="5"/>
  <c r="I63" i="5"/>
  <c r="Q63" i="5" s="1"/>
  <c r="U63" i="5"/>
  <c r="T63" i="5" s="1"/>
  <c r="K155" i="5"/>
  <c r="K149" i="5"/>
  <c r="K145" i="5"/>
  <c r="U128" i="5"/>
  <c r="T128" i="5" s="1"/>
  <c r="K158" i="5"/>
  <c r="K154" i="5"/>
  <c r="K144" i="5"/>
  <c r="K160" i="5"/>
  <c r="K157" i="5"/>
  <c r="K153" i="5"/>
  <c r="K143" i="5"/>
  <c r="B139" i="5"/>
  <c r="K152" i="5"/>
  <c r="K142" i="5"/>
  <c r="K150" i="5"/>
  <c r="K146" i="5"/>
  <c r="I128" i="5"/>
  <c r="K141" i="5"/>
  <c r="K151" i="5"/>
  <c r="K128" i="5"/>
  <c r="K159" i="5"/>
  <c r="K147" i="5"/>
  <c r="S128" i="5"/>
  <c r="B161" i="5"/>
  <c r="B184" i="5" s="1"/>
  <c r="G69" i="5"/>
  <c r="P68" i="5"/>
  <c r="N32" i="5"/>
  <c r="X32" i="5"/>
  <c r="E35" i="5"/>
  <c r="O249" i="5"/>
  <c r="O241" i="5"/>
  <c r="O265" i="5"/>
  <c r="O248" i="5"/>
  <c r="O264" i="5"/>
  <c r="O247" i="5"/>
  <c r="O263" i="5"/>
  <c r="O246" i="5"/>
  <c r="O230" i="5"/>
  <c r="O262" i="5"/>
  <c r="O245" i="5"/>
  <c r="O229" i="5"/>
  <c r="O261" i="5"/>
  <c r="O228" i="5"/>
  <c r="O260" i="5"/>
  <c r="O227" i="5"/>
  <c r="O31" i="5"/>
  <c r="O256" i="5"/>
  <c r="O234" i="5"/>
  <c r="O29" i="5"/>
  <c r="O255" i="5"/>
  <c r="O233" i="5"/>
  <c r="O242" i="5"/>
  <c r="O25" i="5"/>
  <c r="O24" i="5"/>
  <c r="O15" i="5"/>
  <c r="O17" i="5"/>
  <c r="O21" i="5"/>
  <c r="O9" i="5"/>
  <c r="O253" i="5"/>
  <c r="O14" i="5"/>
  <c r="O8" i="5"/>
  <c r="O6" i="5"/>
  <c r="O33" i="5"/>
  <c r="O20" i="5"/>
  <c r="O254" i="5"/>
  <c r="Y21" i="5"/>
  <c r="O10" i="5"/>
  <c r="O12" i="5"/>
  <c r="O13" i="5"/>
  <c r="O19" i="5"/>
  <c r="O27" i="5"/>
  <c r="O34" i="5"/>
  <c r="O16" i="5"/>
  <c r="O23" i="5"/>
  <c r="O266" i="5"/>
  <c r="D35" i="5"/>
  <c r="M32" i="5"/>
  <c r="W32" i="5"/>
  <c r="Y32" i="5"/>
  <c r="O32" i="5"/>
  <c r="F35" i="5"/>
  <c r="M68" i="5"/>
  <c r="W68" i="5"/>
  <c r="D69" i="5"/>
  <c r="O11" i="5"/>
  <c r="O28" i="5"/>
  <c r="O68" i="5"/>
  <c r="Y68" i="5"/>
  <c r="F69" i="5"/>
  <c r="G164" i="5"/>
  <c r="P163" i="5"/>
  <c r="D163" i="5"/>
  <c r="M161" i="5"/>
  <c r="W161" i="5"/>
  <c r="O161" i="5"/>
  <c r="Y161" i="5"/>
  <c r="F163" i="5"/>
  <c r="L32" i="5"/>
  <c r="V32" i="5"/>
  <c r="C35" i="5"/>
  <c r="U32" i="5"/>
  <c r="M68" i="2"/>
  <c r="E69" i="2"/>
  <c r="G157" i="2"/>
  <c r="O156" i="2"/>
  <c r="R63" i="2"/>
  <c r="G68" i="2"/>
  <c r="O63" i="2"/>
  <c r="H154" i="2"/>
  <c r="H156" i="2" s="1"/>
  <c r="T154" i="2"/>
  <c r="S154" i="2" s="1"/>
  <c r="J154" i="2"/>
  <c r="S121" i="2"/>
  <c r="S15" i="2"/>
  <c r="S14" i="2"/>
  <c r="X35" i="2"/>
  <c r="F36" i="2"/>
  <c r="N35" i="2"/>
  <c r="T35" i="2"/>
  <c r="J35" i="2"/>
  <c r="B36" i="2"/>
  <c r="F52" i="2"/>
  <c r="F51" i="2" s="1"/>
  <c r="E53" i="2"/>
  <c r="E52" i="2" s="1"/>
  <c r="E51" i="2" s="1"/>
  <c r="N156" i="2"/>
  <c r="F157" i="2"/>
  <c r="X156" i="2"/>
  <c r="E155" i="2"/>
  <c r="B51" i="2"/>
  <c r="F68" i="2"/>
  <c r="X63" i="2"/>
  <c r="N63" i="2"/>
  <c r="D69" i="2"/>
  <c r="L68" i="2"/>
  <c r="V68" i="2"/>
  <c r="B68" i="2"/>
  <c r="H63" i="2"/>
  <c r="P63" i="2" s="1"/>
  <c r="J63" i="2"/>
  <c r="T63" i="2"/>
  <c r="K68" i="2"/>
  <c r="U68" i="2"/>
  <c r="C69" i="2"/>
  <c r="W35" i="2"/>
  <c r="B131" i="2"/>
  <c r="H131" i="2" s="1"/>
  <c r="H132" i="2"/>
  <c r="D36" i="2"/>
  <c r="V35" i="2"/>
  <c r="L35" i="2"/>
  <c r="W63" i="2"/>
  <c r="C36" i="2"/>
  <c r="K35" i="2"/>
  <c r="U35" i="2"/>
  <c r="D157" i="2"/>
  <c r="C155" i="2"/>
  <c r="L156" i="2"/>
  <c r="C374" i="6" l="1"/>
  <c r="C364" i="6"/>
  <c r="C365" i="6" s="1"/>
  <c r="R68" i="7"/>
  <c r="O69" i="6"/>
  <c r="G353" i="6"/>
  <c r="G72" i="6"/>
  <c r="G141" i="6" s="1"/>
  <c r="G143" i="6" s="1"/>
  <c r="G374" i="6"/>
  <c r="G333" i="6"/>
  <c r="G92" i="6"/>
  <c r="G95" i="6" s="1"/>
  <c r="G354" i="6" s="1"/>
  <c r="G364" i="6"/>
  <c r="G365" i="6" s="1"/>
  <c r="G314" i="6"/>
  <c r="F314" i="6"/>
  <c r="T68" i="7"/>
  <c r="D333" i="6"/>
  <c r="N69" i="6"/>
  <c r="R35" i="6"/>
  <c r="F353" i="6"/>
  <c r="G315" i="7"/>
  <c r="G314" i="7"/>
  <c r="O69" i="7"/>
  <c r="G92" i="7"/>
  <c r="G374" i="7"/>
  <c r="G395" i="7" s="1"/>
  <c r="G353" i="7"/>
  <c r="G364" i="7"/>
  <c r="G365" i="7" s="1"/>
  <c r="G333" i="7"/>
  <c r="D315" i="6"/>
  <c r="F374" i="6"/>
  <c r="D374" i="6"/>
  <c r="F72" i="6"/>
  <c r="D92" i="6"/>
  <c r="D95" i="6" s="1"/>
  <c r="D342" i="6" s="1"/>
  <c r="F364" i="6"/>
  <c r="F365" i="6" s="1"/>
  <c r="D353" i="6"/>
  <c r="D72" i="6"/>
  <c r="D82" i="6" s="1"/>
  <c r="D139" i="6" s="1"/>
  <c r="D324" i="7"/>
  <c r="L68" i="7"/>
  <c r="D69" i="7"/>
  <c r="M63" i="7"/>
  <c r="E68" i="7"/>
  <c r="E325" i="7"/>
  <c r="W63" i="7"/>
  <c r="D364" i="6"/>
  <c r="D365" i="6" s="1"/>
  <c r="D314" i="6"/>
  <c r="V63" i="7"/>
  <c r="S63" i="7" s="1"/>
  <c r="F315" i="6"/>
  <c r="C69" i="7"/>
  <c r="U68" i="7"/>
  <c r="C324" i="7"/>
  <c r="K68" i="7"/>
  <c r="P63" i="6"/>
  <c r="H63" i="7"/>
  <c r="F333" i="7"/>
  <c r="F353" i="7"/>
  <c r="F315" i="7"/>
  <c r="F374" i="7"/>
  <c r="F395" i="7" s="1"/>
  <c r="F364" i="7"/>
  <c r="F365" i="7" s="1"/>
  <c r="N69" i="7"/>
  <c r="F92" i="7"/>
  <c r="F314" i="7"/>
  <c r="X69" i="7"/>
  <c r="J204" i="7"/>
  <c r="B205" i="7"/>
  <c r="T204" i="7"/>
  <c r="S204" i="7" s="1"/>
  <c r="R204" i="7"/>
  <c r="X69" i="6"/>
  <c r="C315" i="6"/>
  <c r="C92" i="6"/>
  <c r="C95" i="6" s="1"/>
  <c r="C342" i="6" s="1"/>
  <c r="K69" i="6"/>
  <c r="U69" i="6"/>
  <c r="C72" i="6"/>
  <c r="C82" i="6" s="1"/>
  <c r="C139" i="6" s="1"/>
  <c r="G131" i="6"/>
  <c r="G132" i="6" s="1"/>
  <c r="K72" i="6"/>
  <c r="C141" i="6"/>
  <c r="C143" i="6" s="1"/>
  <c r="B347" i="6"/>
  <c r="J35" i="6"/>
  <c r="S21" i="6"/>
  <c r="B295" i="6"/>
  <c r="G295" i="6"/>
  <c r="F297" i="6"/>
  <c r="F296" i="6"/>
  <c r="F293" i="6"/>
  <c r="F295" i="6" s="1"/>
  <c r="E295" i="6"/>
  <c r="E299" i="6" s="1"/>
  <c r="C309" i="6"/>
  <c r="C327" i="6"/>
  <c r="C330" i="6"/>
  <c r="B69" i="6"/>
  <c r="C335" i="6"/>
  <c r="C328" i="6"/>
  <c r="C333" i="6"/>
  <c r="C179" i="6"/>
  <c r="C326" i="6"/>
  <c r="C215" i="6"/>
  <c r="C214" i="6" s="1"/>
  <c r="C331" i="6"/>
  <c r="G355" i="6"/>
  <c r="G369" i="6"/>
  <c r="D309" i="6"/>
  <c r="G74" i="6"/>
  <c r="F330" i="6"/>
  <c r="F326" i="6"/>
  <c r="F333" i="6"/>
  <c r="F327" i="6"/>
  <c r="F329" i="6"/>
  <c r="F331" i="6"/>
  <c r="F335" i="6"/>
  <c r="F328" i="6"/>
  <c r="E331" i="6"/>
  <c r="E326" i="6"/>
  <c r="E335" i="6"/>
  <c r="E327" i="6"/>
  <c r="E329" i="6"/>
  <c r="E328" i="6"/>
  <c r="E330" i="6"/>
  <c r="T35" i="6"/>
  <c r="C347" i="6"/>
  <c r="K202" i="6"/>
  <c r="C225" i="6"/>
  <c r="T202" i="6"/>
  <c r="D295" i="6"/>
  <c r="D299" i="6" s="1"/>
  <c r="E307" i="6"/>
  <c r="E308" i="6"/>
  <c r="S169" i="6"/>
  <c r="F307" i="6"/>
  <c r="F308" i="6"/>
  <c r="S32" i="6"/>
  <c r="C295" i="6"/>
  <c r="X35" i="6"/>
  <c r="F36" i="6"/>
  <c r="N35" i="6"/>
  <c r="E225" i="6"/>
  <c r="W202" i="6"/>
  <c r="M202" i="6"/>
  <c r="G205" i="6"/>
  <c r="O204" i="6"/>
  <c r="F225" i="6"/>
  <c r="X202" i="6"/>
  <c r="F204" i="6"/>
  <c r="N202" i="6"/>
  <c r="D36" i="6"/>
  <c r="L35" i="6"/>
  <c r="V35" i="6"/>
  <c r="B298" i="6"/>
  <c r="C298" i="6"/>
  <c r="M68" i="6"/>
  <c r="W68" i="6"/>
  <c r="E69" i="6"/>
  <c r="V68" i="6"/>
  <c r="S63" i="6"/>
  <c r="H202" i="6"/>
  <c r="H204" i="6" s="1"/>
  <c r="G217" i="6"/>
  <c r="G228" i="6" s="1"/>
  <c r="G214" i="6"/>
  <c r="G270" i="6"/>
  <c r="F215" i="6"/>
  <c r="F179" i="6"/>
  <c r="W35" i="6"/>
  <c r="M35" i="6"/>
  <c r="E36" i="6"/>
  <c r="C203" i="6"/>
  <c r="L204" i="6"/>
  <c r="D205" i="6"/>
  <c r="G298" i="6"/>
  <c r="T68" i="6"/>
  <c r="H68" i="6"/>
  <c r="P68" i="6" s="1"/>
  <c r="J68" i="6"/>
  <c r="R68" i="6"/>
  <c r="E215" i="6"/>
  <c r="E179" i="6"/>
  <c r="V202" i="6"/>
  <c r="H180" i="6"/>
  <c r="D217" i="6"/>
  <c r="D228" i="6" s="1"/>
  <c r="D270" i="6"/>
  <c r="D214" i="6"/>
  <c r="K35" i="6"/>
  <c r="C36" i="6"/>
  <c r="U35" i="6"/>
  <c r="B36" i="5"/>
  <c r="T21" i="5"/>
  <c r="C72" i="5"/>
  <c r="C74" i="5" s="1"/>
  <c r="C92" i="5"/>
  <c r="C95" i="5" s="1"/>
  <c r="V69" i="5"/>
  <c r="C183" i="5"/>
  <c r="G183" i="5"/>
  <c r="G187" i="5"/>
  <c r="G188" i="5" s="1"/>
  <c r="G189" i="5" s="1"/>
  <c r="F176" i="5"/>
  <c r="F173" i="5"/>
  <c r="D173" i="5"/>
  <c r="D176" i="5"/>
  <c r="D187" i="5" s="1"/>
  <c r="D188" i="5" s="1"/>
  <c r="D189" i="5" s="1"/>
  <c r="E176" i="5"/>
  <c r="E187" i="5" s="1"/>
  <c r="E188" i="5" s="1"/>
  <c r="E189" i="5" s="1"/>
  <c r="E173" i="5"/>
  <c r="E69" i="5"/>
  <c r="X69" i="5" s="1"/>
  <c r="N68" i="5"/>
  <c r="P69" i="5"/>
  <c r="G92" i="5"/>
  <c r="G95" i="5" s="1"/>
  <c r="G72" i="5"/>
  <c r="T32" i="5"/>
  <c r="U161" i="5"/>
  <c r="T161" i="5" s="1"/>
  <c r="K161" i="5"/>
  <c r="I161" i="5"/>
  <c r="I163" i="5" s="1"/>
  <c r="S161" i="5"/>
  <c r="B138" i="5"/>
  <c r="I138" i="5" s="1"/>
  <c r="I139" i="5"/>
  <c r="V35" i="5"/>
  <c r="L35" i="5"/>
  <c r="C36" i="5"/>
  <c r="U35" i="5"/>
  <c r="D92" i="5"/>
  <c r="D95" i="5" s="1"/>
  <c r="D72" i="5"/>
  <c r="M69" i="5"/>
  <c r="Y35" i="5"/>
  <c r="F36" i="5"/>
  <c r="O35" i="5"/>
  <c r="K68" i="5"/>
  <c r="U68" i="5"/>
  <c r="T68" i="5" s="1"/>
  <c r="I68" i="5"/>
  <c r="Q68" i="5" s="1"/>
  <c r="B69" i="5"/>
  <c r="S69" i="5" s="1"/>
  <c r="F164" i="5"/>
  <c r="O163" i="5"/>
  <c r="E162" i="5"/>
  <c r="Y163" i="5"/>
  <c r="O69" i="5"/>
  <c r="F72" i="5"/>
  <c r="Y69" i="5"/>
  <c r="F92" i="5"/>
  <c r="F95" i="5" s="1"/>
  <c r="D164" i="5"/>
  <c r="M163" i="5"/>
  <c r="C162" i="5"/>
  <c r="W35" i="5"/>
  <c r="D36" i="5"/>
  <c r="M35" i="5"/>
  <c r="E36" i="5"/>
  <c r="N35" i="5"/>
  <c r="X35" i="5"/>
  <c r="G36" i="5"/>
  <c r="S35" i="5"/>
  <c r="P35" i="5"/>
  <c r="B69" i="2"/>
  <c r="H68" i="2"/>
  <c r="P68" i="2" s="1"/>
  <c r="J68" i="2"/>
  <c r="T68" i="2"/>
  <c r="L69" i="2"/>
  <c r="D92" i="2"/>
  <c r="D95" i="2" s="1"/>
  <c r="D72" i="2"/>
  <c r="V69" i="2"/>
  <c r="G69" i="2"/>
  <c r="O68" i="2"/>
  <c r="R68" i="2"/>
  <c r="K155" i="2"/>
  <c r="U155" i="2"/>
  <c r="C156" i="2"/>
  <c r="E72" i="2"/>
  <c r="E92" i="2"/>
  <c r="E95" i="2" s="1"/>
  <c r="M69" i="2"/>
  <c r="X68" i="2"/>
  <c r="N68" i="2"/>
  <c r="F69" i="2"/>
  <c r="S63" i="2"/>
  <c r="W68" i="2"/>
  <c r="S35" i="2"/>
  <c r="C92" i="2"/>
  <c r="C95" i="2" s="1"/>
  <c r="C72" i="2"/>
  <c r="K69" i="2"/>
  <c r="U69" i="2"/>
  <c r="H51" i="2"/>
  <c r="H52" i="2"/>
  <c r="H54" i="2" s="1"/>
  <c r="V155" i="2"/>
  <c r="W155" i="2"/>
  <c r="E156" i="2"/>
  <c r="M155" i="2"/>
  <c r="G82" i="6" l="1"/>
  <c r="G139" i="6" s="1"/>
  <c r="X72" i="6"/>
  <c r="C74" i="6"/>
  <c r="C361" i="6" s="1"/>
  <c r="O72" i="6"/>
  <c r="F74" i="6"/>
  <c r="F361" i="6" s="1"/>
  <c r="F354" i="6"/>
  <c r="D74" i="6"/>
  <c r="D357" i="6" s="1"/>
  <c r="F141" i="6"/>
  <c r="F143" i="6" s="1"/>
  <c r="D141" i="6"/>
  <c r="D143" i="6" s="1"/>
  <c r="M143" i="6" s="1"/>
  <c r="F355" i="6"/>
  <c r="D355" i="6"/>
  <c r="C354" i="6"/>
  <c r="D369" i="6"/>
  <c r="D354" i="6"/>
  <c r="F82" i="6"/>
  <c r="F139" i="6" s="1"/>
  <c r="L72" i="6"/>
  <c r="N72" i="6"/>
  <c r="F369" i="6"/>
  <c r="H68" i="7"/>
  <c r="P63" i="7"/>
  <c r="M68" i="7"/>
  <c r="E324" i="7"/>
  <c r="E69" i="7"/>
  <c r="W68" i="7"/>
  <c r="V68" i="7"/>
  <c r="D374" i="7"/>
  <c r="D395" i="7" s="1"/>
  <c r="D364" i="7"/>
  <c r="D365" i="7" s="1"/>
  <c r="L69" i="7"/>
  <c r="D315" i="7"/>
  <c r="D92" i="7"/>
  <c r="D314" i="7"/>
  <c r="D333" i="7"/>
  <c r="D353" i="7"/>
  <c r="C355" i="6"/>
  <c r="X92" i="7"/>
  <c r="C314" i="7"/>
  <c r="C374" i="7"/>
  <c r="C395" i="7" s="1"/>
  <c r="C364" i="7"/>
  <c r="C365" i="7" s="1"/>
  <c r="U69" i="7"/>
  <c r="C315" i="7"/>
  <c r="C353" i="7"/>
  <c r="K69" i="7"/>
  <c r="C333" i="7"/>
  <c r="C92" i="7"/>
  <c r="C369" i="6"/>
  <c r="B333" i="6"/>
  <c r="B314" i="6"/>
  <c r="B315" i="6"/>
  <c r="B299" i="6"/>
  <c r="U72" i="6"/>
  <c r="C131" i="6"/>
  <c r="C132" i="6" s="1"/>
  <c r="F131" i="6"/>
  <c r="F132" i="6" s="1"/>
  <c r="P143" i="6"/>
  <c r="D359" i="6"/>
  <c r="L74" i="6"/>
  <c r="D76" i="6"/>
  <c r="D109" i="6" s="1"/>
  <c r="D366" i="6"/>
  <c r="D367" i="6" s="1"/>
  <c r="D368" i="6" s="1"/>
  <c r="K74" i="6"/>
  <c r="C76" i="6"/>
  <c r="C109" i="6" s="1"/>
  <c r="C366" i="6"/>
  <c r="C367" i="6" s="1"/>
  <c r="F298" i="6"/>
  <c r="F299" i="6" s="1"/>
  <c r="C359" i="6"/>
  <c r="C357" i="6"/>
  <c r="C356" i="6"/>
  <c r="G299" i="6"/>
  <c r="X74" i="6"/>
  <c r="N74" i="6"/>
  <c r="F76" i="6"/>
  <c r="F359" i="6"/>
  <c r="F366" i="6"/>
  <c r="F367" i="6" s="1"/>
  <c r="F356" i="6"/>
  <c r="C299" i="6"/>
  <c r="G357" i="6"/>
  <c r="G356" i="6"/>
  <c r="G366" i="6"/>
  <c r="G367" i="6" s="1"/>
  <c r="C270" i="6"/>
  <c r="E333" i="6"/>
  <c r="E364" i="6"/>
  <c r="E365" i="6" s="1"/>
  <c r="E374" i="6"/>
  <c r="E353" i="6"/>
  <c r="C217" i="6"/>
  <c r="C228" i="6" s="1"/>
  <c r="B353" i="6"/>
  <c r="B374" i="6"/>
  <c r="B364" i="6"/>
  <c r="B365" i="6" s="1"/>
  <c r="E309" i="6"/>
  <c r="G76" i="6"/>
  <c r="G109" i="6" s="1"/>
  <c r="G133" i="6" s="1"/>
  <c r="O74" i="6"/>
  <c r="F309" i="6"/>
  <c r="G229" i="6"/>
  <c r="G230" i="6" s="1"/>
  <c r="G343" i="6"/>
  <c r="G344" i="6"/>
  <c r="D229" i="6"/>
  <c r="D230" i="6" s="1"/>
  <c r="D343" i="6"/>
  <c r="D344" i="6"/>
  <c r="S35" i="6"/>
  <c r="S68" i="6"/>
  <c r="E314" i="6"/>
  <c r="E315" i="6"/>
  <c r="S202" i="6"/>
  <c r="C82" i="5"/>
  <c r="L72" i="5"/>
  <c r="D224" i="6"/>
  <c r="F217" i="6"/>
  <c r="F228" i="6" s="1"/>
  <c r="F214" i="6"/>
  <c r="F270" i="6"/>
  <c r="U203" i="6"/>
  <c r="C204" i="6"/>
  <c r="K203" i="6"/>
  <c r="H179" i="6"/>
  <c r="G224" i="6"/>
  <c r="E217" i="6"/>
  <c r="E228" i="6" s="1"/>
  <c r="E270" i="6"/>
  <c r="E214" i="6"/>
  <c r="X204" i="6"/>
  <c r="F205" i="6"/>
  <c r="E203" i="6"/>
  <c r="N204" i="6"/>
  <c r="B72" i="6"/>
  <c r="B141" i="6" s="1"/>
  <c r="B143" i="6" s="1"/>
  <c r="J69" i="6"/>
  <c r="H69" i="6"/>
  <c r="P69" i="6" s="1"/>
  <c r="B92" i="6"/>
  <c r="B95" i="6" s="1"/>
  <c r="B342" i="6" s="1"/>
  <c r="T69" i="6"/>
  <c r="R69" i="6"/>
  <c r="E72" i="6"/>
  <c r="E141" i="6" s="1"/>
  <c r="E143" i="6" s="1"/>
  <c r="W69" i="6"/>
  <c r="E92" i="6"/>
  <c r="E95" i="6" s="1"/>
  <c r="E342" i="6" s="1"/>
  <c r="M69" i="6"/>
  <c r="V69" i="6"/>
  <c r="V72" i="5"/>
  <c r="D183" i="5"/>
  <c r="E183" i="5"/>
  <c r="F183" i="5"/>
  <c r="F187" i="5"/>
  <c r="F188" i="5" s="1"/>
  <c r="F189" i="5" s="1"/>
  <c r="B183" i="5"/>
  <c r="B187" i="5"/>
  <c r="B188" i="5" s="1"/>
  <c r="B189" i="5" s="1"/>
  <c r="W69" i="5"/>
  <c r="E92" i="5"/>
  <c r="E95" i="5" s="1"/>
  <c r="N69" i="5"/>
  <c r="E72" i="5"/>
  <c r="N72" i="5" s="1"/>
  <c r="C163" i="5"/>
  <c r="L162" i="5"/>
  <c r="V162" i="5"/>
  <c r="P72" i="5"/>
  <c r="G82" i="5"/>
  <c r="G74" i="5"/>
  <c r="N162" i="5"/>
  <c r="X162" i="5"/>
  <c r="W162" i="5"/>
  <c r="E163" i="5"/>
  <c r="D74" i="5"/>
  <c r="V74" i="5" s="1"/>
  <c r="M72" i="5"/>
  <c r="D82" i="5"/>
  <c r="T35" i="5"/>
  <c r="I69" i="5"/>
  <c r="Q69" i="5" s="1"/>
  <c r="B92" i="5"/>
  <c r="B95" i="5" s="1"/>
  <c r="U69" i="5"/>
  <c r="B72" i="5"/>
  <c r="S72" i="5" s="1"/>
  <c r="K69" i="5"/>
  <c r="O72" i="5"/>
  <c r="F82" i="5"/>
  <c r="Y72" i="5"/>
  <c r="F74" i="5"/>
  <c r="C76" i="5"/>
  <c r="L74" i="5"/>
  <c r="W156" i="2"/>
  <c r="E157" i="2"/>
  <c r="M156" i="2"/>
  <c r="V156" i="2"/>
  <c r="D74" i="2"/>
  <c r="D82" i="2"/>
  <c r="L72" i="2"/>
  <c r="V72" i="2"/>
  <c r="G72" i="2"/>
  <c r="G92" i="2"/>
  <c r="G95" i="2" s="1"/>
  <c r="R69" i="2"/>
  <c r="O69" i="2"/>
  <c r="S68" i="2"/>
  <c r="C74" i="2"/>
  <c r="C82" i="2"/>
  <c r="K72" i="2"/>
  <c r="U72" i="2"/>
  <c r="F92" i="2"/>
  <c r="F95" i="2" s="1"/>
  <c r="F72" i="2"/>
  <c r="N69" i="2"/>
  <c r="X69" i="2"/>
  <c r="W69" i="2"/>
  <c r="W72" i="2"/>
  <c r="E82" i="2"/>
  <c r="E74" i="2"/>
  <c r="M72" i="2"/>
  <c r="C157" i="2"/>
  <c r="K156" i="2"/>
  <c r="U156" i="2"/>
  <c r="B155" i="2"/>
  <c r="H69" i="2"/>
  <c r="P69" i="2" s="1"/>
  <c r="B72" i="2"/>
  <c r="B92" i="2"/>
  <c r="B95" i="2" s="1"/>
  <c r="T69" i="2"/>
  <c r="S69" i="2" s="1"/>
  <c r="J69" i="2"/>
  <c r="D361" i="6" l="1"/>
  <c r="D356" i="6"/>
  <c r="U74" i="6"/>
  <c r="D131" i="6"/>
  <c r="D132" i="6" s="1"/>
  <c r="F357" i="6"/>
  <c r="S68" i="7"/>
  <c r="P68" i="7"/>
  <c r="H69" i="7"/>
  <c r="U92" i="7"/>
  <c r="E364" i="7"/>
  <c r="E365" i="7" s="1"/>
  <c r="E374" i="7"/>
  <c r="E395" i="7" s="1"/>
  <c r="E314" i="7"/>
  <c r="E353" i="7"/>
  <c r="E315" i="7"/>
  <c r="M69" i="7"/>
  <c r="E92" i="7"/>
  <c r="V92" i="7" s="1"/>
  <c r="E333" i="7"/>
  <c r="W69" i="7"/>
  <c r="V69" i="7"/>
  <c r="D133" i="6"/>
  <c r="D137" i="6" s="1"/>
  <c r="C133" i="6"/>
  <c r="C137" i="6" s="1"/>
  <c r="B131" i="6"/>
  <c r="B132" i="6" s="1"/>
  <c r="L143" i="6"/>
  <c r="J143" i="6"/>
  <c r="D77" i="6"/>
  <c r="L76" i="6"/>
  <c r="D85" i="6"/>
  <c r="D88" i="6" s="1"/>
  <c r="D90" i="6" s="1"/>
  <c r="D375" i="6" s="1"/>
  <c r="E131" i="6"/>
  <c r="E132" i="6" s="1"/>
  <c r="O143" i="6"/>
  <c r="G137" i="6"/>
  <c r="C368" i="6"/>
  <c r="D79" i="6"/>
  <c r="D135" i="6" s="1"/>
  <c r="U76" i="6"/>
  <c r="N143" i="6"/>
  <c r="K76" i="6"/>
  <c r="C79" i="6"/>
  <c r="C135" i="6" s="1"/>
  <c r="C77" i="6"/>
  <c r="C85" i="6"/>
  <c r="C88" i="6" s="1"/>
  <c r="C337" i="6" s="1"/>
  <c r="F368" i="6"/>
  <c r="F77" i="6"/>
  <c r="F109" i="6"/>
  <c r="F133" i="6" s="1"/>
  <c r="F85" i="6"/>
  <c r="F88" i="6" s="1"/>
  <c r="F90" i="6" s="1"/>
  <c r="F375" i="6" s="1"/>
  <c r="F79" i="6"/>
  <c r="F135" i="6" s="1"/>
  <c r="X76" i="6"/>
  <c r="N76" i="6"/>
  <c r="G368" i="6"/>
  <c r="C224" i="6"/>
  <c r="E369" i="6"/>
  <c r="E354" i="6"/>
  <c r="E355" i="6"/>
  <c r="B369" i="6"/>
  <c r="B355" i="6"/>
  <c r="B354" i="6"/>
  <c r="O76" i="6"/>
  <c r="G79" i="6"/>
  <c r="G135" i="6" s="1"/>
  <c r="G85" i="6"/>
  <c r="G88" i="6" s="1"/>
  <c r="G77" i="6"/>
  <c r="E229" i="6"/>
  <c r="E230" i="6" s="1"/>
  <c r="E344" i="6"/>
  <c r="E343" i="6"/>
  <c r="C229" i="6"/>
  <c r="C230" i="6" s="1"/>
  <c r="C343" i="6"/>
  <c r="C344" i="6"/>
  <c r="F224" i="6"/>
  <c r="S69" i="6"/>
  <c r="F229" i="6"/>
  <c r="F230" i="6" s="1"/>
  <c r="F343" i="6"/>
  <c r="F344" i="6"/>
  <c r="W72" i="6"/>
  <c r="E74" i="6"/>
  <c r="E82" i="6"/>
  <c r="E139" i="6" s="1"/>
  <c r="M72" i="6"/>
  <c r="V72" i="6"/>
  <c r="J72" i="6"/>
  <c r="B82" i="6"/>
  <c r="B139" i="6" s="1"/>
  <c r="H72" i="6"/>
  <c r="B74" i="6"/>
  <c r="T72" i="6"/>
  <c r="R72" i="6"/>
  <c r="K204" i="6"/>
  <c r="B203" i="6"/>
  <c r="U204" i="6"/>
  <c r="C205" i="6"/>
  <c r="E204" i="6"/>
  <c r="M203" i="6"/>
  <c r="V203" i="6"/>
  <c r="W203" i="6"/>
  <c r="E224" i="6"/>
  <c r="T69" i="5"/>
  <c r="E74" i="5"/>
  <c r="W74" i="5" s="1"/>
  <c r="X72" i="5"/>
  <c r="E82" i="5"/>
  <c r="W72" i="5"/>
  <c r="P74" i="5"/>
  <c r="G76" i="5"/>
  <c r="C85" i="5"/>
  <c r="C88" i="5" s="1"/>
  <c r="C90" i="5" s="1"/>
  <c r="C79" i="5"/>
  <c r="C77" i="5"/>
  <c r="L76" i="5"/>
  <c r="O74" i="5"/>
  <c r="Y74" i="5"/>
  <c r="F76" i="5"/>
  <c r="X74" i="5"/>
  <c r="B74" i="5"/>
  <c r="K72" i="5"/>
  <c r="U72" i="5"/>
  <c r="B82" i="5"/>
  <c r="I72" i="5"/>
  <c r="D76" i="5"/>
  <c r="V76" i="5" s="1"/>
  <c r="M74" i="5"/>
  <c r="E164" i="5"/>
  <c r="N163" i="5"/>
  <c r="X163" i="5"/>
  <c r="W163" i="5"/>
  <c r="C164" i="5"/>
  <c r="L163" i="5"/>
  <c r="B162" i="5"/>
  <c r="V163" i="5"/>
  <c r="G82" i="2"/>
  <c r="G74" i="2"/>
  <c r="O72" i="2"/>
  <c r="R72" i="2"/>
  <c r="J155" i="2"/>
  <c r="T155" i="2"/>
  <c r="S155" i="2" s="1"/>
  <c r="B156" i="2"/>
  <c r="R155" i="2"/>
  <c r="D76" i="2"/>
  <c r="V74" i="2"/>
  <c r="L74" i="2"/>
  <c r="U74" i="2"/>
  <c r="C76" i="2"/>
  <c r="K74" i="2"/>
  <c r="B74" i="2"/>
  <c r="H72" i="2"/>
  <c r="T72" i="2"/>
  <c r="B82" i="2"/>
  <c r="J72" i="2"/>
  <c r="F74" i="2"/>
  <c r="F82" i="2"/>
  <c r="N72" i="2"/>
  <c r="X72" i="2"/>
  <c r="E76" i="2"/>
  <c r="M74" i="2"/>
  <c r="M137" i="6" l="1"/>
  <c r="W92" i="7"/>
  <c r="H72" i="7"/>
  <c r="P69" i="7"/>
  <c r="M133" i="6"/>
  <c r="P135" i="6"/>
  <c r="U79" i="6"/>
  <c r="G136" i="6"/>
  <c r="C136" i="6"/>
  <c r="M135" i="6"/>
  <c r="D136" i="6"/>
  <c r="F137" i="6"/>
  <c r="P133" i="6"/>
  <c r="D337" i="6"/>
  <c r="K143" i="6"/>
  <c r="C90" i="6"/>
  <c r="C375" i="6" s="1"/>
  <c r="F337" i="6"/>
  <c r="X79" i="6"/>
  <c r="E359" i="6"/>
  <c r="E361" i="6"/>
  <c r="E356" i="6"/>
  <c r="E366" i="6"/>
  <c r="E367" i="6" s="1"/>
  <c r="E357" i="6"/>
  <c r="B357" i="6"/>
  <c r="B356" i="6"/>
  <c r="B361" i="6"/>
  <c r="B366" i="6"/>
  <c r="B367" i="6" s="1"/>
  <c r="B359" i="6"/>
  <c r="G90" i="6"/>
  <c r="G375" i="6" s="1"/>
  <c r="G337" i="6"/>
  <c r="D316" i="6"/>
  <c r="D338" i="6"/>
  <c r="D346" i="6"/>
  <c r="S72" i="6"/>
  <c r="F316" i="6"/>
  <c r="F338" i="6"/>
  <c r="F346" i="6"/>
  <c r="T72" i="5"/>
  <c r="P72" i="6"/>
  <c r="H82" i="6"/>
  <c r="J74" i="6"/>
  <c r="H74" i="6"/>
  <c r="P74" i="6" s="1"/>
  <c r="B76" i="6"/>
  <c r="B109" i="6" s="1"/>
  <c r="B133" i="6" s="1"/>
  <c r="T74" i="6"/>
  <c r="R74" i="6"/>
  <c r="W74" i="6"/>
  <c r="E76" i="6"/>
  <c r="E109" i="6" s="1"/>
  <c r="E133" i="6" s="1"/>
  <c r="M74" i="6"/>
  <c r="V74" i="6"/>
  <c r="W204" i="6"/>
  <c r="M204" i="6"/>
  <c r="E205" i="6"/>
  <c r="V204" i="6"/>
  <c r="T203" i="6"/>
  <c r="S203" i="6" s="1"/>
  <c r="R203" i="6"/>
  <c r="B204" i="6"/>
  <c r="J203" i="6"/>
  <c r="N74" i="5"/>
  <c r="E76" i="5"/>
  <c r="N76" i="5" s="1"/>
  <c r="E79" i="5"/>
  <c r="E77" i="5"/>
  <c r="G79" i="5"/>
  <c r="G77" i="5"/>
  <c r="P76" i="5"/>
  <c r="G85" i="5"/>
  <c r="G88" i="5" s="1"/>
  <c r="G90" i="5" s="1"/>
  <c r="D85" i="5"/>
  <c r="D88" i="5" s="1"/>
  <c r="D90" i="5" s="1"/>
  <c r="D79" i="5"/>
  <c r="V79" i="5" s="1"/>
  <c r="D77" i="5"/>
  <c r="M76" i="5"/>
  <c r="B163" i="5"/>
  <c r="K162" i="5"/>
  <c r="U162" i="5"/>
  <c r="T162" i="5" s="1"/>
  <c r="S162" i="5"/>
  <c r="F79" i="5"/>
  <c r="Y79" i="5" s="1"/>
  <c r="F77" i="5"/>
  <c r="O76" i="5"/>
  <c r="Y76" i="5"/>
  <c r="F85" i="5"/>
  <c r="F88" i="5" s="1"/>
  <c r="F90" i="5" s="1"/>
  <c r="Q72" i="5"/>
  <c r="I82" i="5"/>
  <c r="B76" i="5"/>
  <c r="S76" i="5" s="1"/>
  <c r="K74" i="5"/>
  <c r="U74" i="5"/>
  <c r="T74" i="5" s="1"/>
  <c r="I74" i="5"/>
  <c r="Q74" i="5" s="1"/>
  <c r="S74" i="5"/>
  <c r="E85" i="2"/>
  <c r="E88" i="2" s="1"/>
  <c r="E90" i="2" s="1"/>
  <c r="E77" i="2"/>
  <c r="M76" i="2"/>
  <c r="W76" i="2"/>
  <c r="E79" i="2"/>
  <c r="D85" i="2"/>
  <c r="D88" i="2" s="1"/>
  <c r="D90" i="2" s="1"/>
  <c r="D77" i="2"/>
  <c r="D79" i="2"/>
  <c r="V79" i="2" s="1"/>
  <c r="V76" i="2"/>
  <c r="L76" i="2"/>
  <c r="R74" i="2"/>
  <c r="O74" i="2"/>
  <c r="G76" i="2"/>
  <c r="F76" i="2"/>
  <c r="X74" i="2"/>
  <c r="N74" i="2"/>
  <c r="B157" i="2"/>
  <c r="J156" i="2"/>
  <c r="T156" i="2"/>
  <c r="S156" i="2" s="1"/>
  <c r="R156" i="2"/>
  <c r="S72" i="2"/>
  <c r="H82" i="2"/>
  <c r="P72" i="2"/>
  <c r="B76" i="2"/>
  <c r="H74" i="2"/>
  <c r="P74" i="2" s="1"/>
  <c r="T74" i="2"/>
  <c r="J74" i="2"/>
  <c r="W74" i="2"/>
  <c r="C85" i="2"/>
  <c r="C88" i="2" s="1"/>
  <c r="C90" i="2" s="1"/>
  <c r="C77" i="2"/>
  <c r="C79" i="2"/>
  <c r="U76" i="2"/>
  <c r="K76" i="2"/>
  <c r="H73" i="7" l="1"/>
  <c r="H74" i="7" s="1"/>
  <c r="P72" i="7"/>
  <c r="B368" i="6"/>
  <c r="E137" i="6"/>
  <c r="O133" i="6"/>
  <c r="N133" i="6"/>
  <c r="B137" i="6"/>
  <c r="L133" i="6"/>
  <c r="J133" i="6"/>
  <c r="C346" i="6"/>
  <c r="F136" i="6"/>
  <c r="P137" i="6"/>
  <c r="C338" i="6"/>
  <c r="C316" i="6"/>
  <c r="E368" i="6"/>
  <c r="G346" i="6"/>
  <c r="G316" i="6"/>
  <c r="G338" i="6"/>
  <c r="E85" i="5"/>
  <c r="E88" i="5" s="1"/>
  <c r="E90" i="5" s="1"/>
  <c r="W76" i="5"/>
  <c r="X76" i="5"/>
  <c r="W76" i="6"/>
  <c r="E77" i="6"/>
  <c r="E85" i="6"/>
  <c r="E88" i="6" s="1"/>
  <c r="E79" i="6"/>
  <c r="E135" i="6" s="1"/>
  <c r="M76" i="6"/>
  <c r="V76" i="6"/>
  <c r="B205" i="6"/>
  <c r="J204" i="6"/>
  <c r="T204" i="6"/>
  <c r="S204" i="6" s="1"/>
  <c r="R204" i="6"/>
  <c r="J76" i="6"/>
  <c r="H76" i="6"/>
  <c r="P76" i="6" s="1"/>
  <c r="B85" i="6"/>
  <c r="B88" i="6" s="1"/>
  <c r="B77" i="6"/>
  <c r="B79" i="6"/>
  <c r="B135" i="6" s="1"/>
  <c r="T76" i="6"/>
  <c r="R76" i="6"/>
  <c r="S74" i="6"/>
  <c r="W79" i="5"/>
  <c r="B164" i="5"/>
  <c r="K163" i="5"/>
  <c r="U163" i="5"/>
  <c r="T163" i="5" s="1"/>
  <c r="S163" i="5"/>
  <c r="B85" i="5"/>
  <c r="B88" i="5" s="1"/>
  <c r="B90" i="5" s="1"/>
  <c r="B79" i="5"/>
  <c r="U79" i="5" s="1"/>
  <c r="B77" i="5"/>
  <c r="K76" i="5"/>
  <c r="U76" i="5"/>
  <c r="T76" i="5" s="1"/>
  <c r="I76" i="5"/>
  <c r="Q76" i="5" s="1"/>
  <c r="X79" i="5"/>
  <c r="H76" i="2"/>
  <c r="P76" i="2" s="1"/>
  <c r="B77" i="2"/>
  <c r="B79" i="2"/>
  <c r="T79" i="2" s="1"/>
  <c r="B85" i="2"/>
  <c r="B88" i="2" s="1"/>
  <c r="B90" i="2" s="1"/>
  <c r="T76" i="2"/>
  <c r="J76" i="2"/>
  <c r="N76" i="2"/>
  <c r="F85" i="2"/>
  <c r="F88" i="2" s="1"/>
  <c r="F90" i="2" s="1"/>
  <c r="F77" i="2"/>
  <c r="X76" i="2"/>
  <c r="F79" i="2"/>
  <c r="X79" i="2" s="1"/>
  <c r="U79" i="2"/>
  <c r="S74" i="2"/>
  <c r="G79" i="2"/>
  <c r="R79" i="2" s="1"/>
  <c r="G85" i="2"/>
  <c r="G88" i="2" s="1"/>
  <c r="G90" i="2" s="1"/>
  <c r="G77" i="2"/>
  <c r="R76" i="2"/>
  <c r="O76" i="2"/>
  <c r="K133" i="6" l="1"/>
  <c r="H76" i="7"/>
  <c r="P76" i="7" s="1"/>
  <c r="P74" i="7"/>
  <c r="P73" i="7"/>
  <c r="H82" i="7"/>
  <c r="L137" i="6"/>
  <c r="J137" i="6"/>
  <c r="E136" i="6"/>
  <c r="O135" i="6"/>
  <c r="N135" i="6"/>
  <c r="B136" i="6"/>
  <c r="L135" i="6"/>
  <c r="J135" i="6"/>
  <c r="O137" i="6"/>
  <c r="N137" i="6"/>
  <c r="E90" i="6"/>
  <c r="E375" i="6" s="1"/>
  <c r="E337" i="6"/>
  <c r="B90" i="6"/>
  <c r="B375" i="6" s="1"/>
  <c r="B337" i="6"/>
  <c r="S76" i="6"/>
  <c r="W79" i="6"/>
  <c r="V79" i="6"/>
  <c r="T79" i="6"/>
  <c r="R79" i="6"/>
  <c r="T79" i="5"/>
  <c r="S79" i="5"/>
  <c r="S76" i="2"/>
  <c r="W79" i="2"/>
  <c r="S79" i="2"/>
  <c r="K135" i="6" l="1"/>
  <c r="K137" i="6"/>
  <c r="S79" i="6"/>
  <c r="B316" i="6"/>
  <c r="B338" i="6"/>
  <c r="B346" i="6"/>
  <c r="E316" i="6"/>
  <c r="E338" i="6"/>
  <c r="E346" i="6"/>
  <c r="G52" i="6" l="1"/>
  <c r="G51" i="6" s="1"/>
  <c r="H51" i="6" s="1"/>
  <c r="H53" i="6"/>
  <c r="H52" i="6" l="1"/>
  <c r="H54" i="6" s="1"/>
  <c r="L137" i="7" l="1"/>
  <c r="P137" i="7"/>
  <c r="O137" i="7"/>
  <c r="L133" i="7"/>
  <c r="N137" i="7"/>
  <c r="M133" i="7"/>
  <c r="M137" i="7"/>
  <c r="N133" i="7"/>
  <c r="D72" i="7"/>
  <c r="J137" i="7"/>
  <c r="B427" i="7" s="1"/>
  <c r="D427" i="7" s="1"/>
  <c r="O133" i="7"/>
  <c r="M71" i="7"/>
  <c r="J519" i="7"/>
  <c r="P133" i="7"/>
  <c r="K71" i="7"/>
  <c r="B253" i="7"/>
  <c r="B257" i="7" s="1"/>
  <c r="J133" i="7"/>
  <c r="B426" i="7" s="1"/>
  <c r="D426" i="7" s="1"/>
  <c r="B171" i="7"/>
  <c r="J71" i="7"/>
  <c r="O71" i="7"/>
  <c r="X71" i="7" l="1"/>
  <c r="B324" i="7"/>
  <c r="B264" i="7"/>
  <c r="B278" i="7"/>
  <c r="F72" i="7"/>
  <c r="N72" i="7" s="1"/>
  <c r="K133" i="7"/>
  <c r="J66" i="7"/>
  <c r="B330" i="7"/>
  <c r="K137" i="7"/>
  <c r="B275" i="7"/>
  <c r="B277" i="7" s="1"/>
  <c r="G72" i="7"/>
  <c r="X72" i="7" s="1"/>
  <c r="J65" i="7"/>
  <c r="R61" i="7"/>
  <c r="D355" i="7"/>
  <c r="D73" i="7"/>
  <c r="D74" i="7" s="1"/>
  <c r="L72" i="7"/>
  <c r="H171" i="7"/>
  <c r="U71" i="7"/>
  <c r="F93" i="7"/>
  <c r="T60" i="7"/>
  <c r="S60" i="7" s="1"/>
  <c r="B252" i="7"/>
  <c r="B256" i="7" s="1"/>
  <c r="B258" i="7" s="1"/>
  <c r="J64" i="7"/>
  <c r="B62" i="7"/>
  <c r="L71" i="7"/>
  <c r="B372" i="7"/>
  <c r="J63" i="7"/>
  <c r="V71" i="7"/>
  <c r="B211" i="7"/>
  <c r="R60" i="7"/>
  <c r="B419" i="7" s="1"/>
  <c r="F355" i="7"/>
  <c r="J60" i="7"/>
  <c r="J68" i="7"/>
  <c r="R71" i="7"/>
  <c r="G93" i="7"/>
  <c r="J70" i="7"/>
  <c r="B325" i="7"/>
  <c r="D93" i="7"/>
  <c r="B267" i="7"/>
  <c r="T61" i="7"/>
  <c r="S61" i="7" s="1"/>
  <c r="B172" i="7"/>
  <c r="H172" i="7" s="1"/>
  <c r="J67" i="7"/>
  <c r="E72" i="7"/>
  <c r="V72" i="7" s="1"/>
  <c r="N71" i="7"/>
  <c r="B93" i="7"/>
  <c r="J61" i="7"/>
  <c r="B263" i="7"/>
  <c r="E93" i="7"/>
  <c r="J75" i="7"/>
  <c r="W71" i="7"/>
  <c r="B276" i="7"/>
  <c r="C72" i="7"/>
  <c r="J518" i="7"/>
  <c r="T71" i="7"/>
  <c r="J521" i="7"/>
  <c r="B396" i="7"/>
  <c r="B268" i="7"/>
  <c r="C93" i="7"/>
  <c r="J520" i="7"/>
  <c r="B371" i="7"/>
  <c r="F73" i="7" l="1"/>
  <c r="F74" i="7" s="1"/>
  <c r="F359" i="7" s="1"/>
  <c r="Q71" i="7"/>
  <c r="G355" i="7"/>
  <c r="O72" i="7"/>
  <c r="B173" i="7"/>
  <c r="H173" i="7" s="1"/>
  <c r="S71" i="7"/>
  <c r="G73" i="7"/>
  <c r="G82" i="7" s="1"/>
  <c r="B212" i="7"/>
  <c r="B358" i="7"/>
  <c r="H358" i="7" s="1"/>
  <c r="T211" i="7"/>
  <c r="S211" i="7" s="1"/>
  <c r="R211" i="7"/>
  <c r="D366" i="7"/>
  <c r="D367" i="7" s="1"/>
  <c r="L74" i="7"/>
  <c r="D76" i="7"/>
  <c r="D361" i="7"/>
  <c r="D357" i="7"/>
  <c r="D359" i="7"/>
  <c r="D356" i="7"/>
  <c r="E73" i="7"/>
  <c r="V73" i="7" s="1"/>
  <c r="W72" i="7"/>
  <c r="E355" i="7"/>
  <c r="M72" i="7"/>
  <c r="E74" i="7"/>
  <c r="E76" i="7" s="1"/>
  <c r="E77" i="7" s="1"/>
  <c r="K72" i="7"/>
  <c r="U72" i="7"/>
  <c r="C355" i="7"/>
  <c r="C73" i="7"/>
  <c r="C74" i="7" s="1"/>
  <c r="G95" i="7"/>
  <c r="R93" i="7"/>
  <c r="D86" i="7"/>
  <c r="D82" i="7"/>
  <c r="D369" i="7"/>
  <c r="L73" i="7"/>
  <c r="D419" i="7"/>
  <c r="R62" i="7"/>
  <c r="B363" i="7"/>
  <c r="J62" i="7"/>
  <c r="T62" i="7"/>
  <c r="S62" i="7" s="1"/>
  <c r="B69" i="7"/>
  <c r="E95" i="7"/>
  <c r="E354" i="7" s="1"/>
  <c r="W93" i="7"/>
  <c r="U93" i="7"/>
  <c r="C95" i="7"/>
  <c r="F95" i="7"/>
  <c r="X93" i="7"/>
  <c r="B272" i="7"/>
  <c r="B269" i="7"/>
  <c r="B265" i="7" s="1"/>
  <c r="B254" i="7"/>
  <c r="B260" i="7" s="1"/>
  <c r="B261" i="7" s="1"/>
  <c r="B270" i="7"/>
  <c r="B271" i="7"/>
  <c r="J396" i="7"/>
  <c r="I396" i="7"/>
  <c r="K396" i="7"/>
  <c r="T93" i="7"/>
  <c r="D95" i="7"/>
  <c r="V93" i="7"/>
  <c r="F76" i="7" l="1"/>
  <c r="F357" i="7"/>
  <c r="F361" i="7"/>
  <c r="F86" i="7"/>
  <c r="F82" i="7"/>
  <c r="N74" i="7"/>
  <c r="F366" i="7"/>
  <c r="F367" i="7" s="1"/>
  <c r="F368" i="7" s="1"/>
  <c r="F356" i="7"/>
  <c r="F369" i="7"/>
  <c r="N73" i="7"/>
  <c r="B179" i="7"/>
  <c r="H179" i="7" s="1"/>
  <c r="X73" i="7"/>
  <c r="G86" i="7"/>
  <c r="X86" i="7" s="1"/>
  <c r="G74" i="7"/>
  <c r="X74" i="7" s="1"/>
  <c r="O73" i="7"/>
  <c r="G369" i="7"/>
  <c r="L396" i="7"/>
  <c r="B364" i="7"/>
  <c r="H364" i="7" s="1"/>
  <c r="B72" i="7"/>
  <c r="B92" i="7"/>
  <c r="B353" i="7"/>
  <c r="H353" i="7" s="1"/>
  <c r="B333" i="7"/>
  <c r="B374" i="7"/>
  <c r="B395" i="7" s="1"/>
  <c r="R69" i="7"/>
  <c r="B315" i="7"/>
  <c r="T69" i="7"/>
  <c r="S69" i="7" s="1"/>
  <c r="B314" i="7"/>
  <c r="J69" i="7"/>
  <c r="D85" i="7"/>
  <c r="D79" i="7"/>
  <c r="D77" i="7"/>
  <c r="L76" i="7"/>
  <c r="C342" i="7"/>
  <c r="U95" i="7"/>
  <c r="H363" i="7"/>
  <c r="G354" i="7"/>
  <c r="E369" i="7"/>
  <c r="E82" i="7"/>
  <c r="W82" i="7" s="1"/>
  <c r="W73" i="7"/>
  <c r="M73" i="7"/>
  <c r="E86" i="7"/>
  <c r="W86" i="7" s="1"/>
  <c r="D368" i="7"/>
  <c r="W74" i="7"/>
  <c r="E357" i="7"/>
  <c r="E356" i="7"/>
  <c r="E366" i="7"/>
  <c r="E367" i="7" s="1"/>
  <c r="E359" i="7"/>
  <c r="M74" i="7"/>
  <c r="E361" i="7"/>
  <c r="D342" i="7"/>
  <c r="V95" i="7"/>
  <c r="D354" i="7"/>
  <c r="C354" i="7"/>
  <c r="V74" i="7"/>
  <c r="E342" i="7"/>
  <c r="W95" i="7"/>
  <c r="S93" i="7"/>
  <c r="K74" i="7"/>
  <c r="C356" i="7"/>
  <c r="C361" i="7"/>
  <c r="C366" i="7"/>
  <c r="C367" i="7" s="1"/>
  <c r="C76" i="7"/>
  <c r="C359" i="7"/>
  <c r="U74" i="7"/>
  <c r="C357" i="7"/>
  <c r="F85" i="7"/>
  <c r="N76" i="7"/>
  <c r="F79" i="7"/>
  <c r="F77" i="7"/>
  <c r="X82" i="7"/>
  <c r="X95" i="7"/>
  <c r="F342" i="7"/>
  <c r="F354" i="7"/>
  <c r="C369" i="7"/>
  <c r="C82" i="7"/>
  <c r="U82" i="7" s="1"/>
  <c r="C86" i="7"/>
  <c r="U86" i="7" s="1"/>
  <c r="U73" i="7"/>
  <c r="K73" i="7"/>
  <c r="T212" i="7"/>
  <c r="S212" i="7" s="1"/>
  <c r="R212" i="7"/>
  <c r="G76" i="7" l="1"/>
  <c r="G366" i="7"/>
  <c r="G367" i="7" s="1"/>
  <c r="O74" i="7"/>
  <c r="G357" i="7"/>
  <c r="G356" i="7"/>
  <c r="B365" i="7"/>
  <c r="H365" i="7" s="1"/>
  <c r="C368" i="7"/>
  <c r="G368" i="7"/>
  <c r="E368" i="7"/>
  <c r="U76" i="7"/>
  <c r="K76" i="7"/>
  <c r="C79" i="7"/>
  <c r="C77" i="7"/>
  <c r="C85" i="7"/>
  <c r="W76" i="7"/>
  <c r="M76" i="7"/>
  <c r="E85" i="7"/>
  <c r="E79" i="7"/>
  <c r="V79" i="7" s="1"/>
  <c r="V86" i="7"/>
  <c r="V82" i="7"/>
  <c r="F389" i="7"/>
  <c r="G79" i="7"/>
  <c r="G77" i="7"/>
  <c r="G85" i="7"/>
  <c r="O76" i="7"/>
  <c r="X85" i="7"/>
  <c r="F88" i="7"/>
  <c r="D389" i="7"/>
  <c r="T92" i="7"/>
  <c r="S92" i="7" s="1"/>
  <c r="B95" i="7"/>
  <c r="B354" i="7" s="1"/>
  <c r="H354" i="7" s="1"/>
  <c r="R92" i="7"/>
  <c r="X76" i="7"/>
  <c r="V76" i="7"/>
  <c r="B355" i="7"/>
  <c r="H355" i="7" s="1"/>
  <c r="J72" i="7"/>
  <c r="T72" i="7"/>
  <c r="S72" i="7" s="1"/>
  <c r="B73" i="7"/>
  <c r="R72" i="7"/>
  <c r="I395" i="7"/>
  <c r="J395" i="7"/>
  <c r="K395" i="7"/>
  <c r="D88" i="7"/>
  <c r="L395" i="7" l="1"/>
  <c r="B82" i="7"/>
  <c r="T73" i="7"/>
  <c r="S73" i="7" s="1"/>
  <c r="B369" i="7"/>
  <c r="B86" i="7"/>
  <c r="J73" i="7"/>
  <c r="R73" i="7"/>
  <c r="E389" i="7"/>
  <c r="W79" i="7"/>
  <c r="G389" i="7"/>
  <c r="X88" i="7"/>
  <c r="F337" i="7"/>
  <c r="F90" i="7"/>
  <c r="F397" i="7"/>
  <c r="E88" i="7"/>
  <c r="V88" i="7" s="1"/>
  <c r="W85" i="7"/>
  <c r="U85" i="7"/>
  <c r="C88" i="7"/>
  <c r="B342" i="7"/>
  <c r="T95" i="7"/>
  <c r="S95" i="7" s="1"/>
  <c r="R95" i="7"/>
  <c r="B420" i="7" s="1"/>
  <c r="X79" i="7"/>
  <c r="C389" i="7"/>
  <c r="U79" i="7"/>
  <c r="G88" i="7"/>
  <c r="V85" i="7"/>
  <c r="D397" i="7"/>
  <c r="D90" i="7"/>
  <c r="D337" i="7"/>
  <c r="F405" i="7"/>
  <c r="F406" i="7" s="1"/>
  <c r="F393" i="7"/>
  <c r="B74" i="7"/>
  <c r="D393" i="7"/>
  <c r="D405" i="7"/>
  <c r="D406" i="7" s="1"/>
  <c r="C393" i="7" l="1"/>
  <c r="C405" i="7"/>
  <c r="C406" i="7" s="1"/>
  <c r="F407" i="7"/>
  <c r="F410" i="7" s="1"/>
  <c r="F408" i="7"/>
  <c r="D375" i="7"/>
  <c r="D346" i="7"/>
  <c r="D316" i="7"/>
  <c r="D398" i="7"/>
  <c r="D338" i="7"/>
  <c r="D420" i="7"/>
  <c r="E393" i="7"/>
  <c r="E405" i="7"/>
  <c r="E406" i="7" s="1"/>
  <c r="C397" i="7"/>
  <c r="U88" i="7"/>
  <c r="C337" i="7"/>
  <c r="C90" i="7"/>
  <c r="G90" i="7"/>
  <c r="G397" i="7"/>
  <c r="G337" i="7"/>
  <c r="F398" i="7"/>
  <c r="F316" i="7"/>
  <c r="F375" i="7"/>
  <c r="F346" i="7"/>
  <c r="F338" i="7"/>
  <c r="B356" i="7"/>
  <c r="H356" i="7" s="1"/>
  <c r="B76" i="7"/>
  <c r="B359" i="7"/>
  <c r="H359" i="7" s="1"/>
  <c r="J74" i="7"/>
  <c r="B361" i="7"/>
  <c r="H361" i="7" s="1"/>
  <c r="T74" i="7"/>
  <c r="S74" i="7" s="1"/>
  <c r="B357" i="7"/>
  <c r="H357" i="7" s="1"/>
  <c r="B366" i="7"/>
  <c r="R74" i="7"/>
  <c r="G405" i="7"/>
  <c r="G406" i="7" s="1"/>
  <c r="G393" i="7"/>
  <c r="E337" i="7"/>
  <c r="W88" i="7"/>
  <c r="E397" i="7"/>
  <c r="E90" i="7"/>
  <c r="T86" i="7"/>
  <c r="S86" i="7" s="1"/>
  <c r="R86" i="7"/>
  <c r="D408" i="7"/>
  <c r="D407" i="7"/>
  <c r="D410" i="7" s="1"/>
  <c r="T82" i="7"/>
  <c r="S82" i="7" s="1"/>
  <c r="R82" i="7"/>
  <c r="G338" i="7" l="1"/>
  <c r="G316" i="7"/>
  <c r="G375" i="7"/>
  <c r="G346" i="7"/>
  <c r="G398" i="7"/>
  <c r="E398" i="7"/>
  <c r="E338" i="7"/>
  <c r="W90" i="7"/>
  <c r="E346" i="7"/>
  <c r="E375" i="7"/>
  <c r="E316" i="7"/>
  <c r="C408" i="7"/>
  <c r="C407" i="7"/>
  <c r="C410" i="7" s="1"/>
  <c r="C338" i="7"/>
  <c r="C398" i="7"/>
  <c r="C375" i="7"/>
  <c r="U90" i="7"/>
  <c r="C316" i="7"/>
  <c r="C346" i="7"/>
  <c r="B79" i="7"/>
  <c r="B77" i="7"/>
  <c r="B85" i="7"/>
  <c r="T76" i="7"/>
  <c r="S76" i="7" s="1"/>
  <c r="J76" i="7"/>
  <c r="R76" i="7"/>
  <c r="V90" i="7"/>
  <c r="H366" i="7"/>
  <c r="B367" i="7"/>
  <c r="E407" i="7"/>
  <c r="E410" i="7" s="1"/>
  <c r="E408" i="7"/>
  <c r="X90" i="7"/>
  <c r="H367" i="7" l="1"/>
  <c r="B368" i="7"/>
  <c r="B389" i="7"/>
  <c r="T79" i="7"/>
  <c r="S79" i="7" s="1"/>
  <c r="R79" i="7"/>
  <c r="B88" i="7"/>
  <c r="T85" i="7"/>
  <c r="S85" i="7" s="1"/>
  <c r="R85" i="7"/>
  <c r="B393" i="7" l="1"/>
  <c r="C436" i="7"/>
  <c r="B405" i="7"/>
  <c r="B406" i="7" s="1"/>
  <c r="T88" i="7"/>
  <c r="S88" i="7" s="1"/>
  <c r="B397" i="7"/>
  <c r="B90" i="7"/>
  <c r="B337" i="7"/>
  <c r="R88" i="7"/>
  <c r="T90" i="7" l="1"/>
  <c r="S90" i="7" s="1"/>
  <c r="B375" i="7"/>
  <c r="B398" i="7"/>
  <c r="B346" i="7"/>
  <c r="B338" i="7"/>
  <c r="B316" i="7"/>
  <c r="R90" i="7"/>
  <c r="B421" i="7" s="1"/>
  <c r="J397" i="7"/>
  <c r="K397" i="7"/>
  <c r="I397" i="7"/>
  <c r="B407" i="7"/>
  <c r="D430" i="7" s="1"/>
  <c r="B408" i="7"/>
  <c r="D436" i="7"/>
  <c r="B436" i="7"/>
  <c r="J393" i="7"/>
  <c r="K393" i="7"/>
  <c r="D431" i="7"/>
  <c r="I393" i="7"/>
  <c r="L397" i="7" l="1"/>
  <c r="B410" i="7"/>
  <c r="L393" i="7"/>
  <c r="D421" i="7"/>
  <c r="D428" i="7" s="1"/>
  <c r="D432" i="7" s="1"/>
  <c r="C435" i="7" s="1"/>
  <c r="B428" i="7"/>
  <c r="K398" i="7"/>
  <c r="I398" i="7"/>
  <c r="J398" i="7"/>
  <c r="L398" i="7" l="1"/>
  <c r="C440" i="7"/>
  <c r="C442" i="7" s="1"/>
  <c r="D435" i="7"/>
  <c r="B435" i="7"/>
  <c r="C437" i="7"/>
  <c r="C443" i="7" l="1"/>
  <c r="C438" i="7"/>
  <c r="C444" i="7" s="1"/>
  <c r="C445" i="7" s="1"/>
  <c r="C446" i="7" s="1"/>
  <c r="B440" i="7"/>
  <c r="B442" i="7" s="1"/>
  <c r="B437" i="7"/>
  <c r="D440" i="7"/>
  <c r="D442" i="7" s="1"/>
  <c r="D437" i="7"/>
  <c r="D443" i="7" l="1"/>
  <c r="D438" i="7"/>
  <c r="D444" i="7" s="1"/>
  <c r="D445" i="7" s="1"/>
  <c r="D446" i="7" s="1"/>
  <c r="B443" i="7"/>
  <c r="B43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 DeGeorge</author>
  </authors>
  <commentList>
    <comment ref="B47" authorId="0" shapeId="0" xr:uid="{F1FEFCF8-89E6-45D7-8F57-BAD8CA99EF7E}">
      <text>
        <r>
          <rPr>
            <b/>
            <sz val="9"/>
            <color indexed="81"/>
            <rFont val="Tahoma"/>
            <family val="2"/>
          </rPr>
          <t>Frank DeGeorge:</t>
        </r>
        <r>
          <rPr>
            <sz val="9"/>
            <color indexed="81"/>
            <rFont val="Tahoma"/>
            <family val="2"/>
          </rPr>
          <t xml:space="preserve">
From S-4 Registration Stament issued 4/10/15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Frank DeGeorge</author>
    <author>tc={FAE8FFE3-A087-4513-88A3-41A844DED5B0}</author>
  </authors>
  <commentList>
    <comment ref="H137" authorId="0" shapeId="0" xr:uid="{B2052699-1F41-47CB-8D5F-91761A22D8FD}">
      <text>
        <r>
          <rPr>
            <b/>
            <sz val="9"/>
            <color indexed="81"/>
            <rFont val="Tahoma"/>
            <family val="2"/>
          </rPr>
          <t>Frank DeGeorge:</t>
        </r>
        <r>
          <rPr>
            <sz val="9"/>
            <color indexed="81"/>
            <rFont val="Tahoma"/>
            <family val="2"/>
          </rPr>
          <t xml:space="preserve">
SWAG
</t>
        </r>
      </text>
    </comment>
    <comment ref="I137" authorId="0" shapeId="0" xr:uid="{D68E622F-9A63-4C17-BD32-6B8E3D17C2D4}">
      <text>
        <r>
          <rPr>
            <b/>
            <sz val="9"/>
            <color indexed="81"/>
            <rFont val="Tahoma"/>
            <family val="2"/>
          </rPr>
          <t>Frank DeGeorge:</t>
        </r>
        <r>
          <rPr>
            <sz val="9"/>
            <color indexed="81"/>
            <rFont val="Tahoma"/>
            <family val="2"/>
          </rPr>
          <t xml:space="preserve">
SWAG</t>
        </r>
      </text>
    </comment>
    <comment ref="G153" authorId="1" shapeId="0" xr:uid="{FAE8FFE3-A087-4513-88A3-41A844DED5B0}">
      <text>
        <t xml:space="preserve">[Threaded comment]
Your version of Excel allows you to read this threaded comment; however, any edits to it will get removed if the file is opened in a newer version of Excel. Learn more: https://go.microsoft.com/fwlink/?linkid=870924
Comment:
    Estimate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tc={C1BFEAC1-9582-4874-9AC5-C0D40B5B479A}</author>
  </authors>
  <commentList>
    <comment ref="G177" authorId="0" shapeId="0" xr:uid="{C1BFEAC1-9582-4874-9AC5-C0D40B5B479A}">
      <text>
        <t xml:space="preserve">[Threaded comment]
Your version of Excel allows you to read this threaded comment; however, any edits to it will get removed if the file is opened in a newer version of Excel. Learn more: https://go.microsoft.com/fwlink/?linkid=870924
Comment:
    Estimate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tc={4593C310-A185-403C-9A07-DD144C06AAA3}</author>
  </authors>
  <commentList>
    <comment ref="G216" authorId="0" shapeId="0" xr:uid="{4593C310-A185-403C-9A07-DD144C06AAA3}">
      <text>
        <t xml:space="preserve">[Threaded comment]
Your version of Excel allows you to read this threaded comment; however, any edits to it will get removed if the file is opened in a newer version of Excel. Learn more: https://go.microsoft.com/fwlink/?linkid=870924
Comment:
    Estimate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Eric Curtis</author>
    <author>tc={4791CEC0-069B-45C5-A754-251037E8E442}</author>
  </authors>
  <commentList>
    <comment ref="A127" authorId="0" shapeId="0" xr:uid="{6C77F56B-0C62-4CF8-9D4C-97D0FB2CF687}">
      <text>
        <r>
          <rPr>
            <b/>
            <sz val="9"/>
            <color indexed="81"/>
            <rFont val="Tahoma"/>
            <family val="2"/>
          </rPr>
          <t>Eric Curtis:</t>
        </r>
        <r>
          <rPr>
            <sz val="9"/>
            <color indexed="81"/>
            <rFont val="Tahoma"/>
            <family val="2"/>
          </rPr>
          <t xml:space="preserve">
1.2371% is the harmonic mean of Other Expense (Income) over total revenue. This represents an assumed and normalized stream of income, anything outside of 1.2371% was assumed nonrecurring.
Harmonic mean is better than simple average when looking at units of speed, rates, and ratios.</t>
        </r>
      </text>
    </comment>
    <comment ref="A261" authorId="0" shapeId="0" xr:uid="{D016A836-7F05-4F2E-A3FF-3CBC0A4D65BC}">
      <text>
        <r>
          <rPr>
            <b/>
            <sz val="9"/>
            <color indexed="81"/>
            <rFont val="Tahoma"/>
            <family val="2"/>
          </rPr>
          <t>Eric Curtis:</t>
        </r>
        <r>
          <rPr>
            <sz val="9"/>
            <color indexed="81"/>
            <rFont val="Tahoma"/>
            <family val="2"/>
          </rPr>
          <t xml:space="preserve">
https://blogs.cfainstitute.org/insideinvesting/2013/05/21/a-look-at-the-cash-conversion-cycle/#:~:text=CCC%20%3D%20DSO%20%2B%20DIO%20%E2%80%93%20DPO,as%20the%20Net%20Operating%20Cycle.
Great explenation for the same thing DeGeorge is doing, he's just an Accounting Ninja Whiz. DSO same as row 281, DIO 282. DSO DIO and DPO are the CFA names used.</t>
        </r>
      </text>
    </comment>
    <comment ref="G391" authorId="1" shapeId="0" xr:uid="{4791CEC0-069B-45C5-A754-251037E8E442}">
      <text>
        <t xml:space="preserve">[Threaded comment]
Your version of Excel allows you to read this threaded comment; however, any edits to it will get removed if the file is opened in a newer version of Excel. Learn more: https://go.microsoft.com/fwlink/?linkid=870924
Comment:
    Estimate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Eric Curtis</author>
    <author>tc={FAC78357-8F8A-40B0-9190-0A234276604E}</author>
  </authors>
  <commentList>
    <comment ref="A127" authorId="0" shapeId="0" xr:uid="{61D91790-E36D-4AE4-B910-DD57B6BC13DF}">
      <text>
        <r>
          <rPr>
            <b/>
            <sz val="9"/>
            <color indexed="81"/>
            <rFont val="Tahoma"/>
            <family val="2"/>
          </rPr>
          <t>Eric Curtis:</t>
        </r>
        <r>
          <rPr>
            <sz val="9"/>
            <color indexed="81"/>
            <rFont val="Tahoma"/>
            <family val="2"/>
          </rPr>
          <t xml:space="preserve">
1.2371% is the harmonic mean of Other Expense (Income) over total revenue. This represents an assumed and normalized stream of income, anything outside of 1.2371% was assumed nonrecurring.
Harmonic means is better than simple average when looking at units of speed, rates, and ratios.</t>
        </r>
      </text>
    </comment>
    <comment ref="A261" authorId="0" shapeId="0" xr:uid="{4B184762-067F-4725-97C1-B0E03535BCA9}">
      <text>
        <r>
          <rPr>
            <b/>
            <sz val="9"/>
            <color indexed="81"/>
            <rFont val="Tahoma"/>
            <family val="2"/>
          </rPr>
          <t>Eric Curtis:</t>
        </r>
        <r>
          <rPr>
            <sz val="9"/>
            <color indexed="81"/>
            <rFont val="Tahoma"/>
            <family val="2"/>
          </rPr>
          <t xml:space="preserve">
https://blogs.cfainstitute.org/insideinvesting/2013/05/21/a-look-at-the-cash-conversion-cycle/#:~:text=CCC%20%3D%20DSO%20%2B%20DIO%20%E2%80%93%20DPO,as%20the%20Net%20Operating%20Cycle.
Great explenation for the same thing DeGeorge is doing, he's just an Accounting Ninja Whiz. DSO same as row 281, DIO 282. DSO DIO and DPO are the CFA names used.</t>
        </r>
      </text>
    </comment>
    <comment ref="G467" authorId="1" shapeId="0" xr:uid="{FAC78357-8F8A-40B0-9190-0A234276604E}">
      <text>
        <t xml:space="preserve">[Threaded comment]
Your version of Excel allows you to read this threaded comment; however, any edits to it will get removed if the file is opened in a newer version of Excel. Learn more: https://go.microsoft.com/fwlink/?linkid=870924
Comment:
    Estimate
</t>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2"/>
        </ext>
      </extLst>
    </bk>
  </futureMetadata>
  <cellMetadata count="1">
    <bk>
      <rc t="1" v="0"/>
    </bk>
  </cellMetadata>
  <valueMetadata count="1">
    <bk>
      <rc t="2" v="0"/>
    </bk>
  </valueMetadata>
</metadata>
</file>

<file path=xl/sharedStrings.xml><?xml version="1.0" encoding="utf-8"?>
<sst xmlns="http://schemas.openxmlformats.org/spreadsheetml/2006/main" count="1935" uniqueCount="534">
  <si>
    <t>Kraft Heinz Company</t>
  </si>
  <si>
    <t>Consolidated Balance Sheets</t>
  </si>
  <si>
    <t>in millions except per share data</t>
  </si>
  <si>
    <t>Year ended near 12/31:</t>
  </si>
  <si>
    <t>As reported</t>
  </si>
  <si>
    <t>Assets:</t>
  </si>
  <si>
    <t>Cash and equivalents</t>
  </si>
  <si>
    <t>Trade receivables</t>
  </si>
  <si>
    <t>Inventories</t>
  </si>
  <si>
    <t>Prepaid expenses</t>
  </si>
  <si>
    <t>Other current assets</t>
  </si>
  <si>
    <t>Assets held for sale</t>
  </si>
  <si>
    <t>Total current assets</t>
  </si>
  <si>
    <t>Property, plant &amp; equipment - net</t>
  </si>
  <si>
    <t>Goodwill</t>
  </si>
  <si>
    <t>Intangible assets</t>
  </si>
  <si>
    <t>other assets</t>
  </si>
  <si>
    <t>Total Assets</t>
  </si>
  <si>
    <t>Liabilities and Equity</t>
  </si>
  <si>
    <t>Short-term Debt</t>
  </si>
  <si>
    <t>Current portion of LT Debt</t>
  </si>
  <si>
    <t>Trade payables</t>
  </si>
  <si>
    <t>Interest payable</t>
  </si>
  <si>
    <t>Income tax payable</t>
  </si>
  <si>
    <t>Other current liabilities</t>
  </si>
  <si>
    <t>Total current liabilities</t>
  </si>
  <si>
    <t>Accrued marketing</t>
  </si>
  <si>
    <t>Long-term debt</t>
  </si>
  <si>
    <t>Deferred income taxes</t>
  </si>
  <si>
    <t>LT deferred income</t>
  </si>
  <si>
    <t>Other non-current liabilities</t>
  </si>
  <si>
    <t>Total liabilities</t>
  </si>
  <si>
    <t>Redeemable Non-controlling interest</t>
  </si>
  <si>
    <t>Common stock</t>
  </si>
  <si>
    <t>Additional PIC</t>
  </si>
  <si>
    <t>Retained earnings (deficit)</t>
  </si>
  <si>
    <t>Accum. OCI</t>
  </si>
  <si>
    <t>Treasury stock</t>
  </si>
  <si>
    <t>Noncontrolling interest</t>
  </si>
  <si>
    <t>Total Liabilities and Equity</t>
  </si>
  <si>
    <t>Total Equity</t>
  </si>
  <si>
    <t>Shares issued</t>
  </si>
  <si>
    <t>Treasury Shares</t>
  </si>
  <si>
    <t>Shares Outstanding</t>
  </si>
  <si>
    <t>Stock price at 2/28 (60 days after FYE)</t>
  </si>
  <si>
    <t>Market Value of Equity</t>
  </si>
  <si>
    <t>Consolidated Income Statements</t>
  </si>
  <si>
    <t>Net sales</t>
  </si>
  <si>
    <t>Cost of goods sold</t>
  </si>
  <si>
    <t>Gross profit</t>
  </si>
  <si>
    <t>SG&amp;A</t>
  </si>
  <si>
    <t>Goodwill impairment</t>
  </si>
  <si>
    <t>Intangible impairment</t>
  </si>
  <si>
    <t>Operating expenses</t>
  </si>
  <si>
    <t>Operating income (loss)</t>
  </si>
  <si>
    <t>Interest expense</t>
  </si>
  <si>
    <t>Other expense (income)</t>
  </si>
  <si>
    <t>Pretax Income</t>
  </si>
  <si>
    <t>Tax provision</t>
  </si>
  <si>
    <t>Net Income</t>
  </si>
  <si>
    <t>Net income (Loss)-Kraft Heinz</t>
  </si>
  <si>
    <t xml:space="preserve">Net Income (loss)  </t>
  </si>
  <si>
    <t>Diluted W. Ave shares outstanding (notes)</t>
  </si>
  <si>
    <t>Diluted EPS</t>
  </si>
  <si>
    <t>Consolidated Cash Flows</t>
  </si>
  <si>
    <t>Net income (loss)</t>
  </si>
  <si>
    <t>Depreciation &amp; amortization</t>
  </si>
  <si>
    <t>Amortization of PRB</t>
  </si>
  <si>
    <t>Stock-based compensation</t>
  </si>
  <si>
    <t>PRB Contributions</t>
  </si>
  <si>
    <t>Goodwill and intangible impairment</t>
  </si>
  <si>
    <t>Nonmonetary currency devaluation</t>
  </si>
  <si>
    <t>Loss/(gain) on sale of business</t>
  </si>
  <si>
    <t>Proceeds from sale of licence</t>
  </si>
  <si>
    <t>Loss (gain) on exstinguishment of debt</t>
  </si>
  <si>
    <t>Other items</t>
  </si>
  <si>
    <t>Operating Cash flow earned</t>
  </si>
  <si>
    <t>Change in Net Operating Assets:</t>
  </si>
  <si>
    <t>Accounts payable</t>
  </si>
  <si>
    <t>Operating cash flows</t>
  </si>
  <si>
    <t>Divestiture-rel;ate license income</t>
  </si>
  <si>
    <t>Investing Activities:</t>
  </si>
  <si>
    <t>Capital expenditures</t>
  </si>
  <si>
    <t>Acquisitions</t>
  </si>
  <si>
    <t>Settlement of investment hedges</t>
  </si>
  <si>
    <t>Proceeds from sale of business</t>
  </si>
  <si>
    <t>Other investing activities</t>
  </si>
  <si>
    <t>Investing cash flows</t>
  </si>
  <si>
    <t>Financing Activities</t>
  </si>
  <si>
    <t>Repayment of LT Debt</t>
  </si>
  <si>
    <t>Proceeds fro LT Debt</t>
  </si>
  <si>
    <t>Debt prepayment benefits (costs)</t>
  </si>
  <si>
    <t>Proceeds from revolving LOC</t>
  </si>
  <si>
    <t>Repayment of revolving LOC</t>
  </si>
  <si>
    <t>Proceeds from issuance of commecial paper</t>
  </si>
  <si>
    <t>Repayments of commercial paper</t>
  </si>
  <si>
    <t>Dividends paid</t>
  </si>
  <si>
    <t>Other financing activities</t>
  </si>
  <si>
    <t>Financing cash flows</t>
  </si>
  <si>
    <t>Effest of change in exchage rate</t>
  </si>
  <si>
    <t>Net incorease (decrease in cash</t>
  </si>
  <si>
    <t>Beginning Cash</t>
  </si>
  <si>
    <t>Ending cash</t>
  </si>
  <si>
    <t>Interest paid</t>
  </si>
  <si>
    <t>Income taxes paid</t>
  </si>
  <si>
    <t>Operating lease payments (notes)</t>
  </si>
  <si>
    <t>Supplemental Information (Notes)</t>
  </si>
  <si>
    <t>Restriced cash</t>
  </si>
  <si>
    <t>Land</t>
  </si>
  <si>
    <t>Construction in progress</t>
  </si>
  <si>
    <t>Depreciable assets</t>
  </si>
  <si>
    <t>PP&amp;E @ cost</t>
  </si>
  <si>
    <t>Accumulated depreciation</t>
  </si>
  <si>
    <t>PP&amp;E - Net</t>
  </si>
  <si>
    <t>Depreciation expense</t>
  </si>
  <si>
    <t>Right of Use Assets</t>
  </si>
  <si>
    <t>Operaing Lease Liabilities - current</t>
  </si>
  <si>
    <t>Operating lease liabilities - non current</t>
  </si>
  <si>
    <t>Liabilities held for sale</t>
  </si>
  <si>
    <t>Accrued PRB costs</t>
  </si>
  <si>
    <t>Dividends per share (Equity Stmt))</t>
  </si>
  <si>
    <t>Cash receipts from sold receivables</t>
  </si>
  <si>
    <t>Advertising expense (in SG&amp;A</t>
  </si>
  <si>
    <t>R&amp;D Expense (in SG&amp;A)</t>
  </si>
  <si>
    <t>Income tax receivable</t>
  </si>
  <si>
    <t>Restated</t>
  </si>
  <si>
    <t>Common Size on Total Assets</t>
  </si>
  <si>
    <t>5 Year</t>
  </si>
  <si>
    <t>CAGR</t>
  </si>
  <si>
    <t>Annual</t>
  </si>
  <si>
    <t>Average</t>
  </si>
  <si>
    <t>Horizontal(Growth)  Analysis</t>
  </si>
  <si>
    <t>2021 to</t>
  </si>
  <si>
    <t>2020 to</t>
  </si>
  <si>
    <t>2019 to</t>
  </si>
  <si>
    <t>2018 to</t>
  </si>
  <si>
    <t>2017 to</t>
  </si>
  <si>
    <t>Common Size on Net Sales</t>
  </si>
  <si>
    <t>Common Size on Operating Cash Flows</t>
  </si>
  <si>
    <t>Reclassified</t>
  </si>
  <si>
    <t>Marketable Securities</t>
  </si>
  <si>
    <t>PP&amp;E - at cost</t>
  </si>
  <si>
    <t>Goodwill and Other intangibles</t>
  </si>
  <si>
    <t>Goodwill and Intangibles (see detail)</t>
  </si>
  <si>
    <t>Current Debt</t>
  </si>
  <si>
    <t>Other Long-term Liabilities</t>
  </si>
  <si>
    <t>Reclassification Detail</t>
  </si>
  <si>
    <t>Other assets</t>
  </si>
  <si>
    <t>Deferred revenue</t>
  </si>
  <si>
    <t>Late Filing</t>
  </si>
  <si>
    <t>Late filing</t>
  </si>
  <si>
    <t>Current Debt (see detail)</t>
  </si>
  <si>
    <t>Other current liabilities (see detail)</t>
  </si>
  <si>
    <t>Other non-current liabilities (see detail)</t>
  </si>
  <si>
    <t>Stock price at next 2/28 (60 days after FYE)</t>
  </si>
  <si>
    <t>Summary Changes in Equity</t>
  </si>
  <si>
    <t>Net Income - As Reported</t>
  </si>
  <si>
    <t>Aggregate</t>
  </si>
  <si>
    <t>Other comprehensive income</t>
  </si>
  <si>
    <t>Comprehensive Income affecting equity</t>
  </si>
  <si>
    <t>Dividends</t>
  </si>
  <si>
    <t>Other activity (squeeze)</t>
  </si>
  <si>
    <t>Change in equity</t>
  </si>
  <si>
    <t>Beginning Equity</t>
  </si>
  <si>
    <t>Ending Equity</t>
  </si>
  <si>
    <t>SG&amp;A As reported</t>
  </si>
  <si>
    <t>Less R&amp;D</t>
  </si>
  <si>
    <t>Less SAP</t>
  </si>
  <si>
    <t>SG%A - reclassified</t>
  </si>
  <si>
    <t>Research &amp; Devlopment</t>
  </si>
  <si>
    <t>SG&amp;A (see detail)</t>
  </si>
  <si>
    <t>Advertising &amp; Promotion</t>
  </si>
  <si>
    <t>Non-GAAP Measurements:</t>
  </si>
  <si>
    <t>Add back Income Taxes</t>
  </si>
  <si>
    <t>Add back Interest Expense</t>
  </si>
  <si>
    <t>EBIT</t>
  </si>
  <si>
    <t>Depreciation and amortization</t>
  </si>
  <si>
    <t>EBITDA</t>
  </si>
  <si>
    <t>Operating Income</t>
  </si>
  <si>
    <t>Other Income</t>
  </si>
  <si>
    <t>Direct Method:</t>
  </si>
  <si>
    <t>Cash from customers</t>
  </si>
  <si>
    <t>Cash for inventory</t>
  </si>
  <si>
    <t>Cash basis gross profit</t>
  </si>
  <si>
    <t>Cash for interest</t>
  </si>
  <si>
    <t>Cash for taxes</t>
  </si>
  <si>
    <t>Cash for operating leases</t>
  </si>
  <si>
    <t>Other operating Cash flows</t>
  </si>
  <si>
    <t>Net income (loss) - as reported</t>
  </si>
  <si>
    <t>Net Debt related cash flows</t>
  </si>
  <si>
    <t>Restricted cash</t>
  </si>
  <si>
    <t>Effective Tax Rate</t>
  </si>
  <si>
    <t>Proceeds from sale of licenses</t>
  </si>
  <si>
    <t>Divestiture-related license income</t>
  </si>
  <si>
    <t>Proceeds from sale of license</t>
  </si>
  <si>
    <t>Free Cash Flow</t>
  </si>
  <si>
    <t>Right of Use assets</t>
  </si>
  <si>
    <t>Other assets - as reported</t>
  </si>
  <si>
    <t>less Right of use assets</t>
  </si>
  <si>
    <t xml:space="preserve">Other assets  </t>
  </si>
  <si>
    <t>Current portion of operating lease liabilities</t>
  </si>
  <si>
    <t>Less currennt operating leases</t>
  </si>
  <si>
    <t>LT operating lease liabilities</t>
  </si>
  <si>
    <t>less LT operating lease liabilities</t>
  </si>
  <si>
    <t>In millions except per share data</t>
  </si>
  <si>
    <t>FYE Near 12/31:</t>
  </si>
  <si>
    <t>Assets</t>
  </si>
  <si>
    <t>Cash and Equivalents</t>
  </si>
  <si>
    <t>Change</t>
  </si>
  <si>
    <t>Total assets</t>
  </si>
  <si>
    <t>Other intangibles</t>
  </si>
  <si>
    <t>Liabilities and Equity:</t>
  </si>
  <si>
    <t>Other liabilities</t>
  </si>
  <si>
    <t>Total liabilities and redeemable NCI)</t>
  </si>
  <si>
    <t>Total liabilities and equity</t>
  </si>
  <si>
    <t>Preferred stock</t>
  </si>
  <si>
    <t>Common Equity</t>
  </si>
  <si>
    <t>Acquisition of</t>
  </si>
  <si>
    <t>Kraft</t>
  </si>
  <si>
    <t>Equity Issued @ fair value</t>
  </si>
  <si>
    <t>Total consideration</t>
  </si>
  <si>
    <t>Cash acquired</t>
  </si>
  <si>
    <t>Net Cash used in acquisition</t>
  </si>
  <si>
    <t>2015 Acquisition of Kraft by Heinz</t>
  </si>
  <si>
    <t>Special cash dividend paid ($16.50 per share)</t>
  </si>
  <si>
    <t>Shares</t>
  </si>
  <si>
    <t>Price per share</t>
  </si>
  <si>
    <t>Combined</t>
  </si>
  <si>
    <t>Heinz</t>
  </si>
  <si>
    <t>(From acquisition footnote)</t>
  </si>
  <si>
    <t>Including special dividend</t>
  </si>
  <si>
    <t>Last Balance Sheet compared to Valuation</t>
  </si>
  <si>
    <t>Alone</t>
  </si>
  <si>
    <t>(see above)</t>
  </si>
  <si>
    <t>In addition, the Kraft shareholders received a special cash dividend of $16.50 per share ($9.782B).</t>
  </si>
  <si>
    <t>Goodwill and intangible assets acquired were valued at $78.8B including $65.1B created via this transaction.</t>
  </si>
  <si>
    <t>In July of 2015 Heinz acquired all of the stock of Kraft in exchange for $42.855B worth of new Kraft Heinz stock.</t>
  </si>
  <si>
    <t>Total consideration was $52.6B or $88.79 per share representing a 31% control premium.</t>
  </si>
  <si>
    <t>The transaction was expected to result in 51%/49% ownership of Kraft Heinz in favor of the Heinz shareholders.</t>
  </si>
  <si>
    <t>Based on the valuation of Kraft, the new company (Kraft Heinz) was valued at $87.5 billion and Heinz was valued at $44.6B.</t>
  </si>
  <si>
    <t>Control Premium to Kraft shareholders.</t>
  </si>
  <si>
    <t>Kraft stock price immediately prior to merger announcemt</t>
  </si>
  <si>
    <t>Kraft Foods</t>
  </si>
  <si>
    <t>Kraft Heinz Inc</t>
  </si>
  <si>
    <t>December 31:</t>
  </si>
  <si>
    <t>Closing Stock</t>
  </si>
  <si>
    <t>Price</t>
  </si>
  <si>
    <t>Stock Price And Dividen History</t>
  </si>
  <si>
    <t>July 2, 2015</t>
  </si>
  <si>
    <t>Preferred stock - cumulative compounding</t>
  </si>
  <si>
    <t>Preferred dividend</t>
  </si>
  <si>
    <t>Net income (loss) for Common shareholders</t>
  </si>
  <si>
    <t>Amortization of inventory step-up</t>
  </si>
  <si>
    <t>Impairment losses</t>
  </si>
  <si>
    <t>Write-off of debt issuance costs</t>
  </si>
  <si>
    <t>Acquisitions - net of cash acquired</t>
  </si>
  <si>
    <t>Issuance of stock to sponsors</t>
  </si>
  <si>
    <t>Preferred dividends</t>
  </si>
  <si>
    <t>Common Dividends paid</t>
  </si>
  <si>
    <t>Redemption of preferred stock</t>
  </si>
  <si>
    <t>High at 97.77 in February 2017</t>
  </si>
  <si>
    <t>Bleeding started in Nov. 2017</t>
  </si>
  <si>
    <t>Big drop Nov 2018 - Feb 2019</t>
  </si>
  <si>
    <t>Reconciliation of Net Income - as reported to Recurring NICO</t>
  </si>
  <si>
    <t>Preliminary Assessment</t>
  </si>
  <si>
    <t>Net Income for Kraft Heinz - as reported</t>
  </si>
  <si>
    <t>Pretax adjustments:</t>
  </si>
  <si>
    <t>Net pretax</t>
  </si>
  <si>
    <t>After Tax</t>
  </si>
  <si>
    <t>Unusual taxes</t>
  </si>
  <si>
    <t>Net CQAD Adjustments</t>
  </si>
  <si>
    <t>Pretax income - as reported</t>
  </si>
  <si>
    <t>Standard Rate</t>
  </si>
  <si>
    <t>Taxes at Standard rate</t>
  </si>
  <si>
    <t>Taxes - as reported</t>
  </si>
  <si>
    <t>Unusual tax adjustment</t>
  </si>
  <si>
    <t>Recurring NICO</t>
  </si>
  <si>
    <t>taxes at standard rate</t>
  </si>
  <si>
    <t>Recurring EPS</t>
  </si>
  <si>
    <t>Unusual Taxes</t>
  </si>
  <si>
    <t>Partial</t>
  </si>
  <si>
    <t>Recurring:</t>
  </si>
  <si>
    <t>Sales</t>
  </si>
  <si>
    <t>Gross Profit</t>
  </si>
  <si>
    <t>Operating Margin</t>
  </si>
  <si>
    <t>Operating retention</t>
  </si>
  <si>
    <t>Treasury reterntion</t>
  </si>
  <si>
    <t>Profit Margin</t>
  </si>
  <si>
    <t>Effective tax rate - as reproted</t>
  </si>
  <si>
    <t xml:space="preserve">  percent of sales</t>
  </si>
  <si>
    <t>Adjusted EBITDA (using operating income as EBIT)</t>
  </si>
  <si>
    <t>Stock Price</t>
  </si>
  <si>
    <t>Shares O/S</t>
  </si>
  <si>
    <t>MVE</t>
  </si>
  <si>
    <t>Plus debt</t>
  </si>
  <si>
    <t>less cash and marketable securities</t>
  </si>
  <si>
    <t>Enterprise value</t>
  </si>
  <si>
    <t>EV / Adjusted EBITDA</t>
  </si>
  <si>
    <t>PE Ratio</t>
  </si>
  <si>
    <t>Recurring Net Income</t>
  </si>
  <si>
    <t>Average Equity</t>
  </si>
  <si>
    <t>Recurring ROE</t>
  </si>
  <si>
    <t>If ROE is used as an expected growth rate and if the PE should gravitate to the growth rate</t>
  </si>
  <si>
    <t>The stock is and has been overvalued.  A normal EV/EBITDA ratio is 9.  This also indicates that</t>
  </si>
  <si>
    <t>The stock is and has been overvalalued.</t>
  </si>
  <si>
    <t>Working Capital</t>
  </si>
  <si>
    <t>Free Cash Flow to the Firm</t>
  </si>
  <si>
    <t>CFA Method - Public Companies</t>
  </si>
  <si>
    <t>Operating Cash Flows</t>
  </si>
  <si>
    <t>less CAPEX</t>
  </si>
  <si>
    <t>Plus Interest (1-T)</t>
  </si>
  <si>
    <t>Free cCash Flow to the Firm</t>
  </si>
  <si>
    <t>Academia - Companies without SOCF</t>
  </si>
  <si>
    <t>Change in NOWC</t>
  </si>
  <si>
    <t>1-T</t>
  </si>
  <si>
    <t>Current Assets</t>
  </si>
  <si>
    <t>NOPAT</t>
  </si>
  <si>
    <t>Current liabilities</t>
  </si>
  <si>
    <t>+ D&amp;A</t>
  </si>
  <si>
    <t>+ or - Change in NOWC</t>
  </si>
  <si>
    <t>Add back CP Debt</t>
  </si>
  <si>
    <t>- CAPEX</t>
  </si>
  <si>
    <t>NOWC</t>
  </si>
  <si>
    <t>Difference</t>
  </si>
  <si>
    <t>% difference</t>
  </si>
  <si>
    <t>FYE 12/31/22</t>
  </si>
  <si>
    <t>Kellogg Company</t>
  </si>
  <si>
    <t>Mike DeProspero Cash Flow Profile</t>
  </si>
  <si>
    <t>Fiscal year ended 12/31</t>
  </si>
  <si>
    <t>CAPEX Multiple</t>
  </si>
  <si>
    <t>Operating Cash Retention</t>
  </si>
  <si>
    <t>Operating Cash Flow Earned</t>
  </si>
  <si>
    <t>Total Revenues</t>
  </si>
  <si>
    <t>Change in Net Operating Asset</t>
  </si>
  <si>
    <t>Capital Expenditures</t>
  </si>
  <si>
    <t>Net Change in debt</t>
  </si>
  <si>
    <t>Cash dividends Paid</t>
  </si>
  <si>
    <t>Other Cash Flows</t>
  </si>
  <si>
    <t>Net Change in Cash</t>
  </si>
  <si>
    <t>Average Life of Fixed Assets</t>
  </si>
  <si>
    <t>Average Age of Fixed Assets</t>
  </si>
  <si>
    <t>Average Remaining Life</t>
  </si>
  <si>
    <t>% Consumed</t>
  </si>
  <si>
    <t>Marketable Securities Turnover</t>
  </si>
  <si>
    <t>Hedging</t>
  </si>
  <si>
    <t>Cash from Sold Recievable</t>
  </si>
  <si>
    <t>Sale of Business</t>
  </si>
  <si>
    <t>Free Cash Flow to Equity</t>
  </si>
  <si>
    <t xml:space="preserve">Liquidity Analysis </t>
  </si>
  <si>
    <t>Net Operating Working Capital</t>
  </si>
  <si>
    <t>Current Ratio</t>
  </si>
  <si>
    <t>Quick Ratio</t>
  </si>
  <si>
    <t>Cash Ratio</t>
  </si>
  <si>
    <t>Operating Cycle Turnovers</t>
  </si>
  <si>
    <t>Receivable Turnover</t>
  </si>
  <si>
    <t>Inventory Turnover</t>
  </si>
  <si>
    <t>Pyables Turnover</t>
  </si>
  <si>
    <t>Average Cycle Days</t>
  </si>
  <si>
    <t>Average Days to Collect</t>
  </si>
  <si>
    <t>Average Days Supply</t>
  </si>
  <si>
    <t>Conversion Cycle</t>
  </si>
  <si>
    <t>Average Days to Pay</t>
  </si>
  <si>
    <t>Cash Conversion Cycle</t>
  </si>
  <si>
    <t>Ending Cycle Days</t>
  </si>
  <si>
    <t>Ending Sales Days in A/R</t>
  </si>
  <si>
    <t>Ending Days Supply of Inventory</t>
  </si>
  <si>
    <t>Ending Purchase Days in A/P</t>
  </si>
  <si>
    <t>Cash Received from Customers</t>
  </si>
  <si>
    <t>Purchases</t>
  </si>
  <si>
    <t>Cash for Inventory</t>
  </si>
  <si>
    <t>Operating Cash Disbursements</t>
  </si>
  <si>
    <t>Daily Cash Receipts</t>
  </si>
  <si>
    <t>Daily Cash Disbursements</t>
  </si>
  <si>
    <t>Cash Movement</t>
  </si>
  <si>
    <t>Operating Cycle</t>
  </si>
  <si>
    <t>Days of Sales Outstanding (DSO)</t>
  </si>
  <si>
    <t>Days of Inventory Outstanding (DIO)</t>
  </si>
  <si>
    <t>Days of Payables Outstanding (DPO)</t>
  </si>
  <si>
    <t>CFA Institute Liquidity Calculations</t>
  </si>
  <si>
    <t>Capital Structure, Solvency &amp; Flexibility Analysis</t>
  </si>
  <si>
    <t>Profitability, Efficiency &amp; Effectiveness Ratios - Preliminary</t>
  </si>
  <si>
    <t>Operating Liabilities</t>
  </si>
  <si>
    <t>Total Debt</t>
  </si>
  <si>
    <t>Total Liabilities</t>
  </si>
  <si>
    <t>Preferred Equity</t>
  </si>
  <si>
    <t>Totally Equity</t>
  </si>
  <si>
    <t>Capital Structer as a Percent of Total Assets</t>
  </si>
  <si>
    <t>Capital Structure in Monetary Value</t>
  </si>
  <si>
    <t>Invested Capital</t>
  </si>
  <si>
    <t>Total Invested Capital</t>
  </si>
  <si>
    <t>As Percent of Total Invested Capital</t>
  </si>
  <si>
    <t>Gearing Ratio</t>
  </si>
  <si>
    <t>Financial Leverage 1</t>
  </si>
  <si>
    <t>Coverage Ratios</t>
  </si>
  <si>
    <t>Interest Coverage</t>
  </si>
  <si>
    <t>Fixed Charge Coverage Ratio</t>
  </si>
  <si>
    <t>Debt to EBITDA</t>
  </si>
  <si>
    <t>Market Value of Treasury Stock</t>
  </si>
  <si>
    <t>Cash Flow and Credit Rating Ratios</t>
  </si>
  <si>
    <t>Defensive Interval Turnover</t>
  </si>
  <si>
    <t>Debt Coverage</t>
  </si>
  <si>
    <t>Reinvestment</t>
  </si>
  <si>
    <t>Debt Payment</t>
  </si>
  <si>
    <t>Dividend Payment</t>
  </si>
  <si>
    <t>Investing and Financing</t>
  </si>
  <si>
    <t>Cash Flow to Revenue</t>
  </si>
  <si>
    <t>Cash Return on Assets</t>
  </si>
  <si>
    <t>Cash Return on Equity</t>
  </si>
  <si>
    <t>Cash to Income</t>
  </si>
  <si>
    <t>Cash Flow Per Share</t>
  </si>
  <si>
    <t>EBITDA Interest Coverage</t>
  </si>
  <si>
    <t>Funds from Operations</t>
  </si>
  <si>
    <t>FFO Interest Coverage</t>
  </si>
  <si>
    <t>FFO to Debt</t>
  </si>
  <si>
    <t>Return on Capital</t>
  </si>
  <si>
    <t>Free Operating Cash Flow to Debt</t>
  </si>
  <si>
    <t>Discretionary Cash Flow to Debt</t>
  </si>
  <si>
    <t>Net Cash Flow to CapEX</t>
  </si>
  <si>
    <t>Debt to Capital</t>
  </si>
  <si>
    <t>Operating Profit (EBIT) Margin</t>
  </si>
  <si>
    <t>Interest Burden</t>
  </si>
  <si>
    <t>Pretax Profit (EBT) Margin</t>
  </si>
  <si>
    <t>Tax Burden</t>
  </si>
  <si>
    <t>Total Asset Turnover</t>
  </si>
  <si>
    <t>Return on Assets</t>
  </si>
  <si>
    <t>Return on Equity</t>
  </si>
  <si>
    <t>Gross Porift Margin</t>
  </si>
  <si>
    <t>Operating Retention</t>
  </si>
  <si>
    <t>Treasury Retention</t>
  </si>
  <si>
    <t>Working Capital Turnover</t>
  </si>
  <si>
    <t>Fixed Asset Turnover</t>
  </si>
  <si>
    <t>Adjusted EBITDA</t>
  </si>
  <si>
    <t>EBIT Interst Coverage</t>
  </si>
  <si>
    <t>Reconciliation of Net Income As Reported to Recurring NICO</t>
  </si>
  <si>
    <t>Net Income - Kraft Keinz - As Reported</t>
  </si>
  <si>
    <t>Pretax Adjustments:</t>
  </si>
  <si>
    <t>Impairment - Fixed Assets</t>
  </si>
  <si>
    <t>Impairment - Intangibles</t>
  </si>
  <si>
    <t>Impairment - Goodwill</t>
  </si>
  <si>
    <t>Restructuring Charges</t>
  </si>
  <si>
    <t xml:space="preserve">Litigation Settlment </t>
  </si>
  <si>
    <t>IPO Related Merger Costs</t>
  </si>
  <si>
    <t>Hedging - Ineffective</t>
  </si>
  <si>
    <t>Unrealized Adjustments on Derivatives</t>
  </si>
  <si>
    <t>Sales/Acquisitions</t>
  </si>
  <si>
    <t>Net Pretax Adjustments</t>
  </si>
  <si>
    <t>Taxes at Standard Rate</t>
  </si>
  <si>
    <t>Net After Taxes</t>
  </si>
  <si>
    <t>Unusual Tax Adjustment</t>
  </si>
  <si>
    <t>EPS - As Reported</t>
  </si>
  <si>
    <t>CQAD Adjustments</t>
  </si>
  <si>
    <t>Recurring NICO Per Share</t>
  </si>
  <si>
    <t>Effective Tax Rate - As Reported</t>
  </si>
  <si>
    <t>Standard Tax Rate</t>
  </si>
  <si>
    <t>Income Taxes at Standard Rate</t>
  </si>
  <si>
    <t>Income Taxes as Reported</t>
  </si>
  <si>
    <t>53rd Week - Revenues</t>
  </si>
  <si>
    <t>53rd Week - COGS</t>
  </si>
  <si>
    <t>Other Income/Expense</t>
  </si>
  <si>
    <t>&lt;-- Data is brought over from phase 7 numerical paste so that adjustments can be made via cell reference.</t>
  </si>
  <si>
    <t>Recurring</t>
  </si>
  <si>
    <t>SG%A - Recurring</t>
  </si>
  <si>
    <t>Effective Tax Rate - Recurring</t>
  </si>
  <si>
    <t>Market &amp; Valuation Analysis</t>
  </si>
  <si>
    <t>Stock Price at next 2/28 (60 days after FYE)</t>
  </si>
  <si>
    <t>Less cash and securities</t>
  </si>
  <si>
    <t>Enterprise Value</t>
  </si>
  <si>
    <t>Relevant per share items:</t>
  </si>
  <si>
    <t>Earnings</t>
  </si>
  <si>
    <t>Book value</t>
  </si>
  <si>
    <t>Relevant Valuation Matrices</t>
  </si>
  <si>
    <t>Price to Earnings</t>
  </si>
  <si>
    <t>Price to Book Value</t>
  </si>
  <si>
    <t>Enterprise Value Multiple</t>
  </si>
  <si>
    <t>Price to Sales</t>
  </si>
  <si>
    <t>Price to EBIT</t>
  </si>
  <si>
    <t>Price to EBITDA</t>
  </si>
  <si>
    <t>Price to Cash Flow Earned</t>
  </si>
  <si>
    <t>Price to Operating Cash Flows</t>
  </si>
  <si>
    <t>Price to Free Cash Flow</t>
  </si>
  <si>
    <t>Dividends Declared per share</t>
  </si>
  <si>
    <t>Dividend yield</t>
  </si>
  <si>
    <t>Dividend Payout ratio</t>
  </si>
  <si>
    <t>Earnings Retention Rate</t>
  </si>
  <si>
    <t>Sustainable growth rate</t>
  </si>
  <si>
    <t>Internal Growth Rate</t>
  </si>
  <si>
    <t>PEG (Price to Earnings to  Growth)</t>
  </si>
  <si>
    <t>Market Value Added (MVA)</t>
  </si>
  <si>
    <t>Percent of total assets</t>
  </si>
  <si>
    <t>Harmonic</t>
  </si>
  <si>
    <t>Strd</t>
  </si>
  <si>
    <t>Dev</t>
  </si>
  <si>
    <t>CV</t>
  </si>
  <si>
    <t>Growth Analysis and Recommendation</t>
  </si>
  <si>
    <t>Potential Growth Rates:</t>
  </si>
  <si>
    <t>CAGR:</t>
  </si>
  <si>
    <t xml:space="preserve">EBIT </t>
  </si>
  <si>
    <t xml:space="preserve">Operating Cash Flows </t>
  </si>
  <si>
    <t xml:space="preserve">Free cash flow  </t>
  </si>
  <si>
    <t>Recurring NICO per share</t>
  </si>
  <si>
    <t>Average CAGR</t>
  </si>
  <si>
    <t>Sustainable Growth Rate</t>
  </si>
  <si>
    <t>Expected Growth Rate</t>
  </si>
  <si>
    <t>EPS0</t>
  </si>
  <si>
    <t>EPS1</t>
  </si>
  <si>
    <t>EPS2</t>
  </si>
  <si>
    <t>Expected PE Ratio</t>
  </si>
  <si>
    <t>P0 - Actual</t>
  </si>
  <si>
    <t>P0 Expected</t>
  </si>
  <si>
    <t>P1 Expected</t>
  </si>
  <si>
    <t>P2 Expected</t>
  </si>
  <si>
    <t>Expected ROI - excluding dividends</t>
  </si>
  <si>
    <t>Expected ROI - Including Dividends</t>
  </si>
  <si>
    <t>Recommendation</t>
  </si>
  <si>
    <t>Outlier</t>
  </si>
  <si>
    <t>Current Price (Live)</t>
  </si>
  <si>
    <t>RUN</t>
  </si>
  <si>
    <t>Balance Check with Recurring NICO Adjustments</t>
  </si>
  <si>
    <t>Early Extinguishment of Debt</t>
  </si>
  <si>
    <t>Unfav. impact of foreign currency (1.9%)</t>
  </si>
  <si>
    <t>Unfav. Impact of acqusit. And divest (1.3%)</t>
  </si>
  <si>
    <t>Peak Inflation Costs</t>
  </si>
  <si>
    <t>Peak Inflation Costs (1.5%)</t>
  </si>
  <si>
    <t>Actual</t>
  </si>
  <si>
    <t>Projected</t>
  </si>
  <si>
    <t>Income Statement</t>
  </si>
  <si>
    <t>% Growth</t>
  </si>
  <si>
    <t>% Margin</t>
  </si>
  <si>
    <t>Financial Statement</t>
  </si>
  <si>
    <t>Year</t>
  </si>
  <si>
    <t>D&amp;A</t>
  </si>
  <si>
    <t>Interest Expense</t>
  </si>
  <si>
    <t>Diluted Shares</t>
  </si>
  <si>
    <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</si>
</sst>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_(&quot;$&quot;* #,##0.0_);_(&quot;$&quot;* \(#,##0.0\);_(&quot;$&quot;* &quot;-&quot;??_);_(@_)"/>
    <numFmt numFmtId="169" formatCode="_(* #,##0.0_);_(* \(#,##0.0\);_(* &quot;-&quot;?_);_(@_)"/>
    <numFmt numFmtId="170" formatCode="_(* #,##0_);_(* \(#,##0\);_(* &quot;-&quot;?_);_(@_)"/>
    <numFmt numFmtId="171" formatCode="_(&quot;$&quot;* #,##0.0_);_(&quot;$&quot;* \(#,##0.0\);_(&quot;$&quot;* &quot;-&quot;?_);_(@_)"/>
    <numFmt numFmtId="172" formatCode="0.0"/>
    <numFmt numFmtId="173" formatCode="0.000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sz val="8"/>
      <color theme="1"/>
      <name val="Calibri"/>
      <family val="2"/>
      <scheme val="minor"/>
    </font>
    <font>
      <sz val="11"/>
      <color rgb="FF92D050"/>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5"/>
      </patternFill>
    </fill>
  </fills>
  <borders count="9">
    <border>
      <left/>
      <right/>
      <top/>
      <bottom/>
      <diagonal/>
    </border>
    <border>
      <left/>
      <right/>
      <top/>
      <bottom style="medium">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dashed">
        <color auto="1"/>
      </left>
      <right/>
      <top/>
      <bottom/>
      <diagonal/>
    </border>
    <border>
      <left style="dashed">
        <color auto="1"/>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5" borderId="0" applyNumberFormat="0" applyBorder="0" applyAlignment="0" applyProtection="0"/>
  </cellStyleXfs>
  <cellXfs count="157">
    <xf numFmtId="0" fontId="0" fillId="0" borderId="0" xfId="0"/>
    <xf numFmtId="164" fontId="0" fillId="0" borderId="0" xfId="1" applyNumberFormat="1" applyFont="1"/>
    <xf numFmtId="165" fontId="0" fillId="0" borderId="0" xfId="1" applyNumberFormat="1" applyFont="1"/>
    <xf numFmtId="165" fontId="0" fillId="0" borderId="0" xfId="1" applyNumberFormat="1" applyFont="1" applyAlignment="1">
      <alignment horizontal="right"/>
    </xf>
    <xf numFmtId="0" fontId="0" fillId="0" borderId="0" xfId="1" applyNumberFormat="1" applyFont="1"/>
    <xf numFmtId="165" fontId="0" fillId="0" borderId="0" xfId="1" applyNumberFormat="1" applyFont="1" applyAlignment="1">
      <alignment horizontal="left" indent="1"/>
    </xf>
    <xf numFmtId="165" fontId="0" fillId="0" borderId="2" xfId="1" applyNumberFormat="1" applyFont="1" applyBorder="1"/>
    <xf numFmtId="44" fontId="0" fillId="0" borderId="0" xfId="2" applyFont="1"/>
    <xf numFmtId="166" fontId="0" fillId="0" borderId="0" xfId="2" applyNumberFormat="1" applyFont="1"/>
    <xf numFmtId="166" fontId="0" fillId="0" borderId="3" xfId="2" applyNumberFormat="1" applyFont="1" applyBorder="1"/>
    <xf numFmtId="165" fontId="0" fillId="0" borderId="4" xfId="1" applyNumberFormat="1" applyFont="1" applyBorder="1"/>
    <xf numFmtId="165" fontId="0" fillId="0" borderId="3" xfId="1" applyNumberFormat="1" applyFont="1" applyBorder="1"/>
    <xf numFmtId="165" fontId="0" fillId="0" borderId="0" xfId="1" applyNumberFormat="1" applyFont="1" applyAlignment="1">
      <alignment horizontal="left"/>
    </xf>
    <xf numFmtId="165" fontId="0" fillId="3" borderId="0" xfId="1" applyNumberFormat="1" applyFont="1" applyFill="1"/>
    <xf numFmtId="165" fontId="0" fillId="3" borderId="0" xfId="1" applyNumberFormat="1" applyFont="1" applyFill="1" applyAlignment="1">
      <alignment horizontal="right"/>
    </xf>
    <xf numFmtId="165" fontId="2" fillId="3" borderId="0" xfId="1" applyNumberFormat="1" applyFont="1" applyFill="1"/>
    <xf numFmtId="165" fontId="2" fillId="3" borderId="0" xfId="1" applyNumberFormat="1" applyFont="1" applyFill="1" applyAlignment="1">
      <alignment horizontal="right"/>
    </xf>
    <xf numFmtId="0" fontId="2" fillId="3" borderId="1" xfId="1" applyNumberFormat="1" applyFont="1" applyFill="1" applyBorder="1"/>
    <xf numFmtId="165" fontId="2" fillId="0" borderId="0" xfId="1" applyNumberFormat="1" applyFont="1"/>
    <xf numFmtId="165" fontId="3" fillId="0" borderId="0" xfId="1" applyNumberFormat="1" applyFont="1"/>
    <xf numFmtId="165" fontId="3" fillId="0" borderId="2" xfId="1" applyNumberFormat="1" applyFont="1" applyBorder="1"/>
    <xf numFmtId="165" fontId="0" fillId="0" borderId="0" xfId="1" applyNumberFormat="1" applyFont="1" applyFill="1"/>
    <xf numFmtId="0" fontId="2" fillId="3" borderId="0" xfId="1" applyNumberFormat="1" applyFont="1" applyFill="1" applyBorder="1"/>
    <xf numFmtId="165" fontId="1" fillId="0" borderId="0" xfId="1" applyNumberFormat="1" applyFont="1" applyFill="1" applyAlignment="1">
      <alignment horizontal="left"/>
    </xf>
    <xf numFmtId="0" fontId="1" fillId="0" borderId="0" xfId="1" applyNumberFormat="1" applyFont="1" applyFill="1" applyBorder="1" applyAlignment="1">
      <alignment horizontal="left"/>
    </xf>
    <xf numFmtId="165" fontId="1" fillId="0" borderId="0" xfId="1" applyNumberFormat="1" applyFont="1" applyFill="1" applyBorder="1" applyAlignment="1">
      <alignment horizontal="left"/>
    </xf>
    <xf numFmtId="166" fontId="1" fillId="0" borderId="0" xfId="2" applyNumberFormat="1" applyFont="1" applyFill="1" applyBorder="1" applyAlignment="1">
      <alignment horizontal="left"/>
    </xf>
    <xf numFmtId="44" fontId="0" fillId="0" borderId="0" xfId="2" applyFont="1" applyFill="1"/>
    <xf numFmtId="167" fontId="0" fillId="0" borderId="0" xfId="3" applyNumberFormat="1" applyFont="1"/>
    <xf numFmtId="165" fontId="2" fillId="3" borderId="1" xfId="1" applyNumberFormat="1" applyFont="1" applyFill="1" applyBorder="1"/>
    <xf numFmtId="167" fontId="0" fillId="0" borderId="5" xfId="3" applyNumberFormat="1" applyFont="1" applyBorder="1"/>
    <xf numFmtId="165" fontId="0" fillId="0" borderId="5" xfId="1" applyNumberFormat="1" applyFont="1" applyBorder="1"/>
    <xf numFmtId="167" fontId="0" fillId="0" borderId="3" xfId="3" applyNumberFormat="1" applyFont="1" applyBorder="1"/>
    <xf numFmtId="167" fontId="0" fillId="0" borderId="4" xfId="3" applyNumberFormat="1" applyFont="1" applyBorder="1"/>
    <xf numFmtId="165" fontId="0" fillId="0" borderId="0" xfId="1" applyNumberFormat="1" applyFont="1" applyBorder="1"/>
    <xf numFmtId="165" fontId="0" fillId="0" borderId="0" xfId="1" applyNumberFormat="1" applyFont="1" applyAlignment="1">
      <alignment horizontal="left" indent="2"/>
    </xf>
    <xf numFmtId="166" fontId="0" fillId="0" borderId="0" xfId="2" applyNumberFormat="1" applyFont="1" applyBorder="1"/>
    <xf numFmtId="167" fontId="0" fillId="0" borderId="0" xfId="3" applyNumberFormat="1" applyFont="1" applyBorder="1"/>
    <xf numFmtId="165" fontId="0" fillId="2" borderId="0" xfId="1" applyNumberFormat="1" applyFont="1" applyFill="1" applyBorder="1"/>
    <xf numFmtId="166" fontId="0" fillId="2" borderId="3" xfId="2" applyNumberFormat="1" applyFont="1" applyFill="1" applyBorder="1"/>
    <xf numFmtId="167" fontId="0" fillId="2" borderId="0" xfId="3" applyNumberFormat="1" applyFont="1" applyFill="1"/>
    <xf numFmtId="165" fontId="0" fillId="2" borderId="2" xfId="1" applyNumberFormat="1" applyFont="1" applyFill="1" applyBorder="1"/>
    <xf numFmtId="43" fontId="0" fillId="0" borderId="0" xfId="1" applyFont="1"/>
    <xf numFmtId="0" fontId="0" fillId="0" borderId="1" xfId="1" applyNumberFormat="1" applyFont="1" applyBorder="1"/>
    <xf numFmtId="165" fontId="0" fillId="0" borderId="1" xfId="1" applyNumberFormat="1" applyFont="1" applyBorder="1" applyAlignment="1">
      <alignment horizontal="right"/>
    </xf>
    <xf numFmtId="9" fontId="0" fillId="0" borderId="0" xfId="3" applyFont="1"/>
    <xf numFmtId="14" fontId="0" fillId="0" borderId="1" xfId="1" applyNumberFormat="1" applyFont="1" applyBorder="1"/>
    <xf numFmtId="165" fontId="0" fillId="0" borderId="1" xfId="1" applyNumberFormat="1" applyFont="1" applyBorder="1" applyAlignment="1">
      <alignment horizontal="center"/>
    </xf>
    <xf numFmtId="165" fontId="0" fillId="0" borderId="0" xfId="1" quotePrefix="1" applyNumberFormat="1" applyFont="1" applyAlignment="1">
      <alignment horizontal="right" indent="1"/>
    </xf>
    <xf numFmtId="165" fontId="0" fillId="4" borderId="0" xfId="1" applyNumberFormat="1" applyFont="1" applyFill="1"/>
    <xf numFmtId="166" fontId="0" fillId="4" borderId="3" xfId="2" applyNumberFormat="1" applyFont="1" applyFill="1" applyBorder="1"/>
    <xf numFmtId="165" fontId="0" fillId="0" borderId="0" xfId="1" applyNumberFormat="1" applyFont="1" applyAlignment="1">
      <alignment horizontal="left" indent="3"/>
    </xf>
    <xf numFmtId="164" fontId="0" fillId="3" borderId="0" xfId="1" applyNumberFormat="1" applyFont="1" applyFill="1"/>
    <xf numFmtId="164" fontId="0" fillId="0" borderId="0" xfId="1" applyNumberFormat="1" applyFont="1" applyAlignment="1">
      <alignment horizontal="left" indent="1"/>
    </xf>
    <xf numFmtId="164" fontId="2" fillId="0" borderId="1" xfId="1" applyNumberFormat="1" applyFont="1" applyBorder="1"/>
    <xf numFmtId="164" fontId="0" fillId="0" borderId="0" xfId="1" quotePrefix="1" applyNumberFormat="1" applyFont="1" applyAlignment="1">
      <alignment horizontal="left" indent="1"/>
    </xf>
    <xf numFmtId="168" fontId="0" fillId="0" borderId="0" xfId="2" applyNumberFormat="1" applyFont="1" applyBorder="1"/>
    <xf numFmtId="164" fontId="0" fillId="0" borderId="0" xfId="1" applyNumberFormat="1" applyFont="1" applyBorder="1"/>
    <xf numFmtId="165" fontId="2" fillId="0" borderId="1" xfId="1" applyNumberFormat="1" applyFont="1" applyBorder="1"/>
    <xf numFmtId="165" fontId="0" fillId="0" borderId="1" xfId="1" applyNumberFormat="1" applyFont="1" applyBorder="1"/>
    <xf numFmtId="165" fontId="0" fillId="0" borderId="0" xfId="1" applyNumberFormat="1" applyFont="1" applyBorder="1" applyAlignment="1">
      <alignment horizontal="right"/>
    </xf>
    <xf numFmtId="166" fontId="0" fillId="0" borderId="6" xfId="2" applyNumberFormat="1" applyFont="1" applyBorder="1"/>
    <xf numFmtId="9" fontId="0" fillId="0" borderId="5" xfId="3" applyFont="1" applyBorder="1"/>
    <xf numFmtId="166" fontId="0" fillId="0" borderId="0" xfId="0" applyNumberFormat="1"/>
    <xf numFmtId="0" fontId="0" fillId="0" borderId="0" xfId="0" applyAlignment="1">
      <alignment horizontal="left" indent="1"/>
    </xf>
    <xf numFmtId="165" fontId="0" fillId="0" borderId="0" xfId="0" applyNumberFormat="1"/>
    <xf numFmtId="165" fontId="0" fillId="0" borderId="5" xfId="0" applyNumberFormat="1" applyBorder="1"/>
    <xf numFmtId="165" fontId="0" fillId="0" borderId="3" xfId="0" applyNumberFormat="1" applyBorder="1"/>
    <xf numFmtId="0" fontId="0" fillId="0" borderId="0" xfId="0" applyAlignment="1">
      <alignment horizontal="left"/>
    </xf>
    <xf numFmtId="41" fontId="0" fillId="0" borderId="0" xfId="0" applyNumberFormat="1"/>
    <xf numFmtId="169" fontId="0" fillId="0" borderId="0" xfId="0" applyNumberFormat="1"/>
    <xf numFmtId="169" fontId="0" fillId="0" borderId="0" xfId="1" applyNumberFormat="1" applyFont="1"/>
    <xf numFmtId="165" fontId="2" fillId="0" borderId="0" xfId="1" applyNumberFormat="1" applyFont="1" applyAlignment="1">
      <alignment horizontal="left"/>
    </xf>
    <xf numFmtId="170" fontId="0" fillId="0" borderId="0" xfId="1" applyNumberFormat="1" applyFont="1"/>
    <xf numFmtId="164" fontId="0" fillId="0" borderId="5" xfId="1" applyNumberFormat="1" applyFont="1" applyBorder="1"/>
    <xf numFmtId="169" fontId="0" fillId="0" borderId="5" xfId="1" applyNumberFormat="1" applyFont="1" applyBorder="1"/>
    <xf numFmtId="170" fontId="0" fillId="0" borderId="0" xfId="1" applyNumberFormat="1" applyFont="1" applyBorder="1"/>
    <xf numFmtId="164" fontId="2" fillId="0" borderId="0" xfId="1" applyNumberFormat="1" applyFont="1"/>
    <xf numFmtId="165" fontId="2" fillId="3" borderId="0" xfId="1" applyNumberFormat="1" applyFont="1" applyFill="1" applyBorder="1"/>
    <xf numFmtId="165" fontId="2" fillId="3" borderId="0" xfId="1" applyNumberFormat="1" applyFont="1" applyFill="1" applyBorder="1" applyAlignment="1">
      <alignment horizontal="right"/>
    </xf>
    <xf numFmtId="164" fontId="0" fillId="0" borderId="6" xfId="1" applyNumberFormat="1" applyFont="1" applyBorder="1"/>
    <xf numFmtId="165" fontId="0" fillId="0" borderId="6" xfId="1" applyNumberFormat="1" applyFont="1" applyBorder="1"/>
    <xf numFmtId="165" fontId="0" fillId="0" borderId="0" xfId="1" applyNumberFormat="1" applyFont="1" applyBorder="1" applyAlignment="1">
      <alignment horizontal="left" indent="1"/>
    </xf>
    <xf numFmtId="167" fontId="2" fillId="0" borderId="0" xfId="3" applyNumberFormat="1" applyFont="1"/>
    <xf numFmtId="167" fontId="2" fillId="0" borderId="5" xfId="3" applyNumberFormat="1" applyFont="1" applyBorder="1"/>
    <xf numFmtId="165" fontId="2" fillId="0" borderId="0" xfId="1" applyNumberFormat="1" applyFont="1" applyBorder="1" applyAlignment="1">
      <alignment horizontal="left"/>
    </xf>
    <xf numFmtId="167" fontId="2" fillId="0" borderId="3" xfId="3" applyNumberFormat="1" applyFont="1" applyBorder="1"/>
    <xf numFmtId="169" fontId="0" fillId="0" borderId="6" xfId="0" applyNumberFormat="1" applyBorder="1"/>
    <xf numFmtId="166" fontId="2" fillId="0" borderId="0" xfId="2" applyNumberFormat="1" applyFont="1" applyBorder="1"/>
    <xf numFmtId="171" fontId="0" fillId="0" borderId="0" xfId="0" applyNumberFormat="1"/>
    <xf numFmtId="169" fontId="2" fillId="0" borderId="0" xfId="1" applyNumberFormat="1" applyFont="1"/>
    <xf numFmtId="165" fontId="0" fillId="0" borderId="0" xfId="1" applyNumberFormat="1" applyFont="1" applyBorder="1" applyAlignment="1">
      <alignment horizontal="left"/>
    </xf>
    <xf numFmtId="0" fontId="2" fillId="0" borderId="0" xfId="0" applyFont="1" applyAlignment="1">
      <alignment horizontal="left"/>
    </xf>
    <xf numFmtId="0" fontId="2" fillId="0" borderId="0" xfId="0" applyFont="1"/>
    <xf numFmtId="9" fontId="0" fillId="0" borderId="0" xfId="0" applyNumberFormat="1"/>
    <xf numFmtId="167" fontId="0" fillId="0" borderId="0" xfId="0" applyNumberFormat="1"/>
    <xf numFmtId="1" fontId="0" fillId="0" borderId="0" xfId="0" applyNumberFormat="1"/>
    <xf numFmtId="166" fontId="2" fillId="0" borderId="0" xfId="0" applyNumberFormat="1" applyFont="1"/>
    <xf numFmtId="165" fontId="2" fillId="3" borderId="0" xfId="1" applyNumberFormat="1" applyFont="1" applyFill="1" applyBorder="1" applyAlignment="1">
      <alignment horizontal="center" vertical="center"/>
    </xf>
    <xf numFmtId="10" fontId="0" fillId="0" borderId="0" xfId="3" applyNumberFormat="1" applyFont="1"/>
    <xf numFmtId="41" fontId="2" fillId="0" borderId="0" xfId="0" applyNumberFormat="1" applyFont="1"/>
    <xf numFmtId="41" fontId="0" fillId="0" borderId="5" xfId="0" applyNumberFormat="1" applyBorder="1"/>
    <xf numFmtId="41" fontId="2" fillId="0" borderId="4" xfId="0" applyNumberFormat="1" applyFont="1" applyBorder="1"/>
    <xf numFmtId="168" fontId="2" fillId="0" borderId="3" xfId="2" applyNumberFormat="1" applyFont="1" applyBorder="1"/>
    <xf numFmtId="166" fontId="2" fillId="0" borderId="3" xfId="2" applyNumberFormat="1" applyFont="1" applyBorder="1"/>
    <xf numFmtId="168" fontId="0" fillId="0" borderId="0" xfId="2" applyNumberFormat="1" applyFont="1"/>
    <xf numFmtId="172" fontId="0" fillId="0" borderId="5" xfId="0" applyNumberFormat="1" applyBorder="1"/>
    <xf numFmtId="165" fontId="2" fillId="0" borderId="3" xfId="0" applyNumberFormat="1" applyFont="1" applyBorder="1"/>
    <xf numFmtId="0" fontId="2" fillId="3" borderId="1" xfId="1" applyNumberFormat="1" applyFont="1" applyFill="1" applyBorder="1" applyAlignment="1">
      <alignment horizontal="center" vertical="center"/>
    </xf>
    <xf numFmtId="173" fontId="0" fillId="0" borderId="0" xfId="3" applyNumberFormat="1" applyFont="1"/>
    <xf numFmtId="0" fontId="0" fillId="0" borderId="0" xfId="0" applyAlignment="1">
      <alignment vertical="center"/>
    </xf>
    <xf numFmtId="41" fontId="0" fillId="0" borderId="0" xfId="2" applyNumberFormat="1" applyFont="1"/>
    <xf numFmtId="41" fontId="0" fillId="0" borderId="5" xfId="2" applyNumberFormat="1" applyFont="1" applyBorder="1"/>
    <xf numFmtId="167" fontId="2" fillId="0" borderId="6" xfId="3" applyNumberFormat="1" applyFont="1" applyBorder="1"/>
    <xf numFmtId="167" fontId="0" fillId="0" borderId="6" xfId="3" applyNumberFormat="1" applyFont="1" applyBorder="1"/>
    <xf numFmtId="169" fontId="0" fillId="0" borderId="5" xfId="3" applyNumberFormat="1" applyFont="1" applyBorder="1"/>
    <xf numFmtId="164" fontId="0" fillId="0" borderId="0" xfId="1" applyNumberFormat="1" applyFont="1" applyAlignment="1">
      <alignment horizontal="left" indent="2"/>
    </xf>
    <xf numFmtId="164" fontId="0" fillId="0" borderId="0" xfId="1" applyNumberFormat="1" applyFont="1" applyAlignment="1">
      <alignment horizontal="left"/>
    </xf>
    <xf numFmtId="43" fontId="0" fillId="0" borderId="0" xfId="1" applyFont="1" applyBorder="1"/>
    <xf numFmtId="43" fontId="0" fillId="0" borderId="5" xfId="1" applyFont="1" applyBorder="1"/>
    <xf numFmtId="0" fontId="2" fillId="3" borderId="0" xfId="1" applyNumberFormat="1" applyFont="1" applyFill="1" applyBorder="1" applyAlignment="1">
      <alignment horizontal="center" vertical="center"/>
    </xf>
    <xf numFmtId="167" fontId="0" fillId="0" borderId="0" xfId="3" applyNumberFormat="1" applyFont="1" applyAlignment="1">
      <alignment vertical="center"/>
    </xf>
    <xf numFmtId="167" fontId="0" fillId="0" borderId="0" xfId="0" applyNumberFormat="1" applyAlignment="1">
      <alignment vertical="center"/>
    </xf>
    <xf numFmtId="43" fontId="0" fillId="0" borderId="0" xfId="3" applyNumberFormat="1" applyFont="1" applyBorder="1"/>
    <xf numFmtId="44" fontId="0" fillId="0" borderId="0" xfId="2" applyFont="1" applyBorder="1"/>
    <xf numFmtId="44" fontId="0" fillId="0" borderId="0" xfId="3" applyNumberFormat="1" applyFont="1" applyBorder="1"/>
    <xf numFmtId="167" fontId="2" fillId="0" borderId="0" xfId="3" applyNumberFormat="1" applyFont="1" applyBorder="1"/>
    <xf numFmtId="165" fontId="6" fillId="0" borderId="0" xfId="1" applyNumberFormat="1" applyFont="1" applyAlignment="1">
      <alignment horizontal="right"/>
    </xf>
    <xf numFmtId="173" fontId="0" fillId="0" borderId="0" xfId="3" applyNumberFormat="1" applyFont="1" applyBorder="1"/>
    <xf numFmtId="0" fontId="1" fillId="5" borderId="0" xfId="4"/>
    <xf numFmtId="0" fontId="2" fillId="5" borderId="0" xfId="4" applyFont="1"/>
    <xf numFmtId="43" fontId="0" fillId="0" borderId="0" xfId="0" applyNumberFormat="1"/>
    <xf numFmtId="10" fontId="0" fillId="0" borderId="0" xfId="0" applyNumberFormat="1"/>
    <xf numFmtId="10" fontId="0" fillId="0" borderId="5" xfId="3" applyNumberFormat="1" applyFont="1" applyBorder="1"/>
    <xf numFmtId="10" fontId="7" fillId="0" borderId="5" xfId="3" applyNumberFormat="1" applyFont="1" applyBorder="1"/>
    <xf numFmtId="10" fontId="0" fillId="0" borderId="5" xfId="0" applyNumberFormat="1" applyBorder="1"/>
    <xf numFmtId="165" fontId="7" fillId="0" borderId="5" xfId="0" applyNumberFormat="1" applyFont="1" applyBorder="1"/>
    <xf numFmtId="0" fontId="0" fillId="0" borderId="7" xfId="0" applyBorder="1"/>
    <xf numFmtId="0" fontId="1" fillId="5" borderId="7" xfId="4" applyBorder="1"/>
    <xf numFmtId="0" fontId="1" fillId="5" borderId="0" xfId="4" applyBorder="1"/>
    <xf numFmtId="41" fontId="0" fillId="0" borderId="7" xfId="0" applyNumberFormat="1" applyBorder="1"/>
    <xf numFmtId="10" fontId="7" fillId="0" borderId="8" xfId="3" applyNumberFormat="1" applyFont="1" applyBorder="1"/>
    <xf numFmtId="1" fontId="7" fillId="0" borderId="7" xfId="0" applyNumberFormat="1" applyFont="1" applyBorder="1"/>
    <xf numFmtId="1" fontId="7" fillId="0" borderId="0" xfId="0" applyNumberFormat="1" applyFont="1"/>
    <xf numFmtId="165" fontId="7" fillId="0" borderId="8" xfId="0" applyNumberFormat="1" applyFont="1" applyBorder="1"/>
    <xf numFmtId="1" fontId="0" fillId="0" borderId="7" xfId="0" applyNumberFormat="1" applyBorder="1"/>
    <xf numFmtId="43" fontId="0" fillId="0" borderId="7" xfId="0" applyNumberFormat="1" applyBorder="1"/>
    <xf numFmtId="167" fontId="2" fillId="0" borderId="5" xfId="3" applyNumberFormat="1" applyFont="1" applyBorder="1" applyAlignment="1">
      <alignment horizontal="center"/>
    </xf>
    <xf numFmtId="165" fontId="2" fillId="0" borderId="5" xfId="1" applyNumberFormat="1" applyFont="1" applyBorder="1" applyAlignment="1">
      <alignment horizontal="center"/>
    </xf>
    <xf numFmtId="167" fontId="8" fillId="0" borderId="0" xfId="3" applyNumberFormat="1" applyFont="1" applyBorder="1"/>
    <xf numFmtId="44" fontId="2" fillId="0" borderId="0" xfId="2" applyFont="1" applyBorder="1"/>
    <xf numFmtId="0" fontId="0" fillId="0" borderId="0" xfId="0" applyAlignment="1">
      <alignment horizontal="center" vertical="center"/>
    </xf>
    <xf numFmtId="10" fontId="0" fillId="0" borderId="0" xfId="0" applyNumberFormat="1" applyAlignment="1">
      <alignment horizontal="center" vertical="center"/>
    </xf>
    <xf numFmtId="167" fontId="0" fillId="0" borderId="0" xfId="0" applyNumberFormat="1" applyAlignment="1">
      <alignment horizontal="center" vertical="center"/>
    </xf>
    <xf numFmtId="0" fontId="2" fillId="0" borderId="5" xfId="0" applyFont="1" applyBorder="1" applyAlignment="1">
      <alignment horizontal="center"/>
    </xf>
    <xf numFmtId="0" fontId="2" fillId="0" borderId="8" xfId="0" applyFont="1" applyBorder="1" applyAlignment="1">
      <alignment horizontal="center"/>
    </xf>
    <xf numFmtId="0" fontId="0" fillId="0" borderId="5" xfId="0" applyBorder="1"/>
  </cellXfs>
  <cellStyles count="5">
    <cellStyle name="20% - Accent5" xfId="4" builtinId="46"/>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Structure" Target="richData/rdrichvaluestructure.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06/relationships/rdRichValue" Target="richData/rdrichvalu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openxmlformats.org/officeDocument/2006/relationships/sharedStrings" Target="sharedStrings.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ichStyles" Target="richData/richStyles.xml"/></Relationships>
</file>

<file path=xl/persons/person.xml><?xml version="1.0" encoding="utf-8"?>
<personList xmlns="http://schemas.microsoft.com/office/spreadsheetml/2018/threadedcomments" xmlns:x="http://schemas.openxmlformats.org/spreadsheetml/2006/main">
  <person displayName="Frank DeGeorge" id="{94BDF6E4-36DF-4ACD-A7E5-AD64F793B9A5}" userId="9fd655dc288581f1" providerId="Windows Live"/>
</personList>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
      <keyFlags>
        <key name="%cvi">
          <flag name="ShowInCardView" value="0"/>
          <flag name="ShowInDotNotation" value="0"/>
          <flag name="ShowInAutoComplete" value="0"/>
          <flag name="ExcludeFromCalcComparison" value="1"/>
        </key>
      </keyFlags>
    </type>
    <type name="_linkedentitycore">
      <keyFlags>
        <key name="%EntityServiceId">
          <flag name="ShowInCardView" value="0"/>
          <flag name="ShowInDotNotation" value="0"/>
          <flag name="ShowInAutoComplete" value="0"/>
        </key>
        <key name="%EntitySubDomain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s>
</rvTypesInfo>
</file>

<file path=xl/richData/rdrichvalue.xml><?xml version="1.0" encoding="utf-8"?>
<rvData xmlns="http://schemas.microsoft.com/office/spreadsheetml/2017/richdata" count="3">
  <rv s="0">
    <v>https://www.bing.com/financeapi/forcetrigger?t=a1wi77&amp;q=XNAS%3aKHC&amp;form=skydnc</v>
    <v>Learn more on Bing</v>
  </rv>
  <rv s="1">
    <v>en-US</v>
    <v>a1wi77</v>
    <v>268435456</v>
    <v>1</v>
    <v>Powered by Refinitiv</v>
    <v>0</v>
    <v>THE KRAFT HEINZ COMPANY (XNAS:KHC)</v>
    <v>2</v>
    <v>3</v>
    <v>Finance</v>
    <v>4</v>
    <v>42.8</v>
    <v>30.68</v>
    <v>0.67090000000000005</v>
    <v>0.03</v>
    <v>8.3750000000000003E-4</v>
    <v>USD</v>
    <v>The Kraft Heinz Company (KHC) is a global food and beverage company. KHC manufactures and markets food and beverage products, including dairy products, meat products, soybean and vegetable oils, tomatoes, coffee beans, sugar and other sweeteners, other fruits and vegetables, corn products, wheat products and potatoes. The Company's geographic segments include North America and International. Its North America segment offers various brands, which include Kraft, Oscar Mayer, Heinz, Philadelphia, Lunchables, Velveeta, Capri Sun, Maxwell House, Ore-Ida, Kool-Aid and Jell-O. Its International segment offers various brands, such as International Heinz, ABC, Master, Kraft, Quero, Golden Circle, Wattie’s, Plasmon and Pudliszki. Its products are sold through its own sales organizations and through independent brokers, agents, and distributors to chain, wholesale, cooperative and independent grocery accounts, convenience stores, drug stores, value stores, bakeries, pharmacies and institutions.</v>
    <v>37000</v>
    <v>Nasdaq Stock Market</v>
    <v>XNAS</v>
    <v>XNAS</v>
    <v>1 Ppg Pl, PITTSBURGH, PA, 15222-5415 US</v>
    <v>35.96</v>
    <v>Food &amp; Tobacco</v>
    <v>Stock</v>
    <v>45265.872593113279</v>
    <v>0</v>
    <v>35.520000000000003</v>
    <v>43971423150</v>
    <v>THE KRAFT HEINZ COMPANY</v>
    <v>THE KRAFT HEINZ COMPANY</v>
    <v>35.75</v>
    <v>14.8048</v>
    <v>35.82</v>
    <v>35.85</v>
    <v>1226539000</v>
    <v>KHC</v>
    <v>THE KRAFT HEINZ COMPANY (XNAS:KHC)</v>
    <v>5747437</v>
    <v>8594413</v>
    <v>2013</v>
  </rv>
  <rv s="2">
    <v>1</v>
  </rv>
</rvData>
</file>

<file path=xl/richData/rdrichvaluestructure.xml><?xml version="1.0" encoding="utf-8"?>
<rvStructures xmlns="http://schemas.microsoft.com/office/spreadsheetml/2017/richdata" count="3">
  <s t="_hyperlink">
    <k n="Address" t="s"/>
    <k n="Text" t="s"/>
  </s>
  <s t="_linkedentitycore">
    <k n="%EntityCulture" t="s"/>
    <k n="%EntityId" t="s"/>
    <k n="%EntityServiceId"/>
    <k n="%IsRefreshable" t="b"/>
    <k n="%ProviderInfo" t="s"/>
    <k n="_Display" t="spb"/>
    <k n="_DisplayString" t="s"/>
    <k n="_Flags" t="spb"/>
    <k n="_Format" t="spb"/>
    <k n="_Icon" t="s"/>
    <k n="_SubLabel" t="spb"/>
    <k n="52 week high"/>
    <k n="52 week low"/>
    <k n="Beta"/>
    <k n="Change"/>
    <k n="Change (%)"/>
    <k n="Currency" t="s"/>
    <k n="Description" t="s"/>
    <k n="Employees"/>
    <k n="Exchange" t="s"/>
    <k n="Exchange abbreviation" t="s"/>
    <k n="ExchangeID" t="s"/>
    <k n="Headquarters" t="s"/>
    <k n="High"/>
    <k n="Industry" t="s"/>
    <k n="Instrument type" t="s"/>
    <k n="Last trade time"/>
    <k n="LearnMoreOnLink" t="r"/>
    <k n="Low"/>
    <k n="Market cap"/>
    <k n="Name" t="s"/>
    <k n="Official name" t="s"/>
    <k n="Open"/>
    <k n="P/E"/>
    <k n="Previous close"/>
    <k n="Price"/>
    <k n="Shares outstanding"/>
    <k n="Ticker symbol" t="s"/>
    <k n="UniqueName" t="s"/>
    <k n="Volume"/>
    <k n="Volume average"/>
    <k n="Year incorporated"/>
  </s>
  <s t="_linkedentity">
    <k n="%cvi" t="r"/>
  </s>
</rvStructures>
</file>

<file path=xl/richData/rdsupportingpropertybag.xml><?xml version="1.0" encoding="utf-8"?>
<supportingPropertyBags xmlns="http://schemas.microsoft.com/office/spreadsheetml/2017/richdata2">
  <spbArrays count="1">
    <a count="42">
      <v t="s">%EntityServiceId</v>
      <v t="s">_Format</v>
      <v t="s">%IsRefreshable</v>
      <v t="s">%EntityCulture</v>
      <v t="s">%EntityId</v>
      <v t="s">_Icon</v>
      <v t="s">_Display</v>
      <v t="s">Name</v>
      <v t="s">_SubLabel</v>
      <v t="s">Price</v>
      <v t="s">Exchange</v>
      <v t="s">Official name</v>
      <v t="s">Last trade time</v>
      <v t="s">Ticker symbol</v>
      <v t="s">Exchange abbreviation</v>
      <v t="s">Change</v>
      <v t="s">Change (%)</v>
      <v t="s">Currency</v>
      <v t="s">Previous close</v>
      <v t="s">Open</v>
      <v t="s">High</v>
      <v t="s">Low</v>
      <v t="s">52 week high</v>
      <v t="s">52 week low</v>
      <v t="s">Volume</v>
      <v t="s">Volume average</v>
      <v t="s">Market cap</v>
      <v t="s">Beta</v>
      <v t="s">P/E</v>
      <v t="s">Shares outstanding</v>
      <v t="s">Description</v>
      <v t="s">Employees</v>
      <v t="s">Headquarters</v>
      <v t="s">Industry</v>
      <v t="s">Instrument type</v>
      <v t="s">Year incorporated</v>
      <v t="s">_Flags</v>
      <v t="s">UniqueName</v>
      <v t="s">_DisplayString</v>
      <v t="s">LearnMoreOnLink</v>
      <v t="s">ExchangeID</v>
      <v t="s">%ProviderInfo</v>
    </a>
  </spbArrays>
  <spbData count="5">
    <spb s="0">
      <v>0</v>
      <v>Name</v>
      <v>LearnMoreOnLink</v>
    </spb>
    <spb s="1">
      <v>0</v>
      <v>0</v>
      <v>0</v>
    </spb>
    <spb s="2">
      <v>1</v>
      <v>1</v>
      <v>1</v>
      <v>1</v>
    </spb>
    <spb s="3">
      <v>1</v>
      <v>2</v>
      <v>2</v>
      <v>1</v>
      <v>3</v>
      <v>1</v>
      <v>1</v>
      <v>1</v>
      <v>4</v>
      <v>4</v>
      <v>5</v>
      <v>6</v>
      <v>1</v>
      <v>1</v>
      <v>1</v>
      <v>4</v>
      <v>7</v>
      <v>8</v>
      <v>9</v>
      <v>4</v>
    </spb>
    <spb s="4">
      <v>Real-Time Nasdaq Last Sale</v>
      <v>from previous close</v>
      <v>from previous close</v>
      <v>Source: Nasdaq Last Sale</v>
      <v>GMT</v>
    </spb>
  </spbData>
</supportingPropertyBags>
</file>

<file path=xl/richData/rdsupportingpropertybagstructure.xml><?xml version="1.0" encoding="utf-8"?>
<spbStructures xmlns="http://schemas.microsoft.com/office/spreadsheetml/2017/richdata2" count="5">
  <s>
    <k n="^Order" t="spba"/>
    <k n="TitleProperty" t="s"/>
    <k n="SubTitleProperty" t="s"/>
  </s>
  <s>
    <k n="ShowInCardView" t="b"/>
    <k n="ShowInDotNotation" t="b"/>
    <k n="ShowInAutoComplete" t="b"/>
  </s>
  <s>
    <k n="ExchangeID" t="spb"/>
    <k n="UniqueName" t="spb"/>
    <k n="`%ProviderInfo" t="spb"/>
    <k n="LearnMoreOnLink" t="spb"/>
  </s>
  <s>
    <k n="Low" t="i"/>
    <k n="P/E" t="i"/>
    <k n="Beta" t="i"/>
    <k n="High" t="i"/>
    <k n="Name" t="i"/>
    <k n="Open" t="i"/>
    <k n="Price" t="i"/>
    <k n="Change" t="i"/>
    <k n="Volume" t="i"/>
    <k n="Employees" t="i"/>
    <k n="Change (%)" t="i"/>
    <k n="Market cap" t="i"/>
    <k n="52 week low" t="i"/>
    <k n="52 week high" t="i"/>
    <k n="Previous close" t="i"/>
    <k n="Volume average" t="i"/>
    <k n="Last trade time" t="i"/>
    <k n="Year incorporated" t="i"/>
    <k n="`%EntityServiceId" t="i"/>
    <k n="Shares outstanding" t="i"/>
  </s>
  <s>
    <k n="Price" t="s"/>
    <k n="Change" t="s"/>
    <k n="Change (%)" t="s"/>
    <k n="ExchangeID" t="s"/>
    <k n="Last trade time"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7">
    <x:dxf>
      <x:numFmt numFmtId="2" formatCode="0.00"/>
    </x:dxf>
    <x:dxf>
      <x:numFmt numFmtId="0" formatCode="General"/>
    </x:dxf>
    <x:dxf>
      <x:numFmt numFmtId="27" formatCode="m/d/yyyy\ h:mm"/>
    </x:dxf>
    <x:dxf>
      <x:numFmt numFmtId="14" formatCode="0.00%"/>
    </x:dxf>
    <x:dxf>
      <x:numFmt numFmtId="3" formatCode="#,##0"/>
    </x:dxf>
    <x:dxf>
      <x:numFmt numFmtId="4" formatCode="#,##0.00"/>
    </x:dxf>
    <x:dxf>
      <x:numFmt numFmtId="1" formatCode="0"/>
    </x:dxf>
  </dxfs>
  <richProperties>
    <rPr n="NumberFormat" t="s"/>
    <rPr n="IsTitleField" t="b"/>
  </richProperties>
  <richStyles>
    <rSty dxfid="1">
      <rpv i="0">_([$$-en-US]* #,##0.00_);_([$$-en-US]* (#,##0.00);_([$$-en-US]* "-"??_);_(@_)</rpv>
    </rSty>
    <rSty dxfid="5">
      <rpv i="0">#,##0.00</rpv>
    </rSty>
    <rSty>
      <rpv i="1">1</rpv>
    </rSty>
    <rSty dxfid="4">
      <rpv i="0">#,##0</rpv>
    </rSty>
    <rSty dxfid="3"/>
    <rSty dxfid="1">
      <rpv i="0">_([$$-en-US]* #,##0_);_([$$-en-US]* (#,##0);_([$$-en-US]* "-"_);_(@_)</rpv>
    </rSty>
    <rSty dxfid="2"/>
    <rSty dxfid="6">
      <rpv i="0">0</rpv>
    </rSty>
    <rSty dxfid="0">
      <rpv i="0">0.00</rpv>
    </rSty>
  </richStyles>
</richStyleShee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53" dT="2023-07-25T14:12:59.71" personId="{94BDF6E4-36DF-4ACD-A7E5-AD64F793B9A5}" id="{FAE8FFE3-A087-4513-88A3-41A844DED5B0}">
    <text xml:space="preserve">Estimate
</text>
  </threadedComment>
</ThreadedComments>
</file>

<file path=xl/threadedComments/threadedComment2.xml><?xml version="1.0" encoding="utf-8"?>
<ThreadedComments xmlns="http://schemas.microsoft.com/office/spreadsheetml/2018/threadedcomments" xmlns:x="http://schemas.openxmlformats.org/spreadsheetml/2006/main">
  <threadedComment ref="G177" dT="2023-07-25T14:12:59.71" personId="{94BDF6E4-36DF-4ACD-A7E5-AD64F793B9A5}" id="{C1BFEAC1-9582-4874-9AC5-C0D40B5B479A}">
    <text xml:space="preserve">Estimate
</text>
  </threadedComment>
</ThreadedComments>
</file>

<file path=xl/threadedComments/threadedComment3.xml><?xml version="1.0" encoding="utf-8"?>
<ThreadedComments xmlns="http://schemas.microsoft.com/office/spreadsheetml/2018/threadedcomments" xmlns:x="http://schemas.openxmlformats.org/spreadsheetml/2006/main">
  <threadedComment ref="G216" dT="2023-07-25T14:12:59.71" personId="{94BDF6E4-36DF-4ACD-A7E5-AD64F793B9A5}" id="{4593C310-A185-403C-9A07-DD144C06AAA3}">
    <text xml:space="preserve">Estimate
</text>
  </threadedComment>
</ThreadedComments>
</file>

<file path=xl/threadedComments/threadedComment4.xml><?xml version="1.0" encoding="utf-8"?>
<ThreadedComments xmlns="http://schemas.microsoft.com/office/spreadsheetml/2018/threadedcomments" xmlns:x="http://schemas.openxmlformats.org/spreadsheetml/2006/main">
  <threadedComment ref="G391" dT="2023-07-25T14:12:59.71" personId="{94BDF6E4-36DF-4ACD-A7E5-AD64F793B9A5}" id="{4791CEC0-069B-45C5-A754-251037E8E442}">
    <text xml:space="preserve">Estimate
</text>
  </threadedComment>
</ThreadedComments>
</file>

<file path=xl/threadedComments/threadedComment5.xml><?xml version="1.0" encoding="utf-8"?>
<ThreadedComments xmlns="http://schemas.microsoft.com/office/spreadsheetml/2018/threadedcomments" xmlns:x="http://schemas.openxmlformats.org/spreadsheetml/2006/main">
  <threadedComment ref="G467" dT="2023-07-25T14:12:59.71" personId="{94BDF6E4-36DF-4ACD-A7E5-AD64F793B9A5}" id="{FAC78357-8F8A-40B0-9190-0A234276604E}">
    <text xml:space="preserve">Estimate
</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9A041-3A53-4161-B17B-86492E5B3A31}">
  <dimension ref="A1:G75"/>
  <sheetViews>
    <sheetView topLeftCell="A51" workbookViewId="0">
      <selection activeCell="B74" sqref="B74"/>
    </sheetView>
  </sheetViews>
  <sheetFormatPr defaultRowHeight="15" x14ac:dyDescent="0.25"/>
  <cols>
    <col min="1" max="1" width="35" style="2" customWidth="1"/>
    <col min="2" max="5" width="10.7109375" style="2" customWidth="1"/>
    <col min="6" max="16384" width="9.140625" style="2"/>
  </cols>
  <sheetData>
    <row r="1" spans="1:6" x14ac:dyDescent="0.25">
      <c r="A1" s="2" t="s">
        <v>0</v>
      </c>
      <c r="B1" s="2" t="s">
        <v>236</v>
      </c>
    </row>
    <row r="2" spans="1:6" x14ac:dyDescent="0.25">
      <c r="A2" s="2" t="s">
        <v>223</v>
      </c>
      <c r="B2" s="2" t="s">
        <v>234</v>
      </c>
    </row>
    <row r="3" spans="1:6" x14ac:dyDescent="0.25">
      <c r="A3" s="2" t="s">
        <v>204</v>
      </c>
      <c r="B3" s="2" t="s">
        <v>237</v>
      </c>
    </row>
    <row r="5" spans="1:6" x14ac:dyDescent="0.25">
      <c r="B5" s="2" t="s">
        <v>235</v>
      </c>
    </row>
    <row r="7" spans="1:6" x14ac:dyDescent="0.25">
      <c r="B7" s="2" t="s">
        <v>238</v>
      </c>
    </row>
    <row r="8" spans="1:6" x14ac:dyDescent="0.25">
      <c r="B8" s="2" t="s">
        <v>239</v>
      </c>
    </row>
    <row r="10" spans="1:6" x14ac:dyDescent="0.25">
      <c r="B10" s="3" t="s">
        <v>227</v>
      </c>
      <c r="C10" s="3" t="s">
        <v>228</v>
      </c>
      <c r="E10" s="2" t="s">
        <v>217</v>
      </c>
    </row>
    <row r="11" spans="1:6" ht="15.75" thickBot="1" x14ac:dyDescent="0.3">
      <c r="A11" s="3" t="s">
        <v>205</v>
      </c>
      <c r="B11" s="43">
        <v>2015</v>
      </c>
      <c r="C11" s="43">
        <v>2014</v>
      </c>
      <c r="D11" s="44" t="s">
        <v>208</v>
      </c>
      <c r="E11" s="44" t="s">
        <v>218</v>
      </c>
      <c r="F11" s="2" t="s">
        <v>229</v>
      </c>
    </row>
    <row r="12" spans="1:6" x14ac:dyDescent="0.25">
      <c r="A12" s="2" t="s">
        <v>206</v>
      </c>
    </row>
    <row r="13" spans="1:6" x14ac:dyDescent="0.25">
      <c r="A13" s="5" t="s">
        <v>207</v>
      </c>
      <c r="B13" s="8">
        <v>4837</v>
      </c>
      <c r="C13" s="8">
        <v>2298</v>
      </c>
      <c r="D13" s="8">
        <f>+B13-C13</f>
        <v>2539</v>
      </c>
    </row>
    <row r="14" spans="1:6" x14ac:dyDescent="0.25">
      <c r="A14" s="5" t="s">
        <v>7</v>
      </c>
      <c r="B14" s="2">
        <v>871</v>
      </c>
      <c r="C14" s="2">
        <v>690</v>
      </c>
      <c r="D14" s="2">
        <f t="shared" ref="D14:D21" si="0">+B14-C14</f>
        <v>181</v>
      </c>
    </row>
    <row r="15" spans="1:6" x14ac:dyDescent="0.25">
      <c r="A15" s="5" t="s">
        <v>8</v>
      </c>
      <c r="B15" s="2">
        <v>2618</v>
      </c>
      <c r="C15" s="2">
        <v>1185</v>
      </c>
      <c r="D15" s="2">
        <f t="shared" si="0"/>
        <v>1433</v>
      </c>
    </row>
    <row r="16" spans="1:6" x14ac:dyDescent="0.25">
      <c r="A16" s="5" t="s">
        <v>10</v>
      </c>
      <c r="B16" s="2">
        <f>+B17-SUM(B13:B15)</f>
        <v>1454</v>
      </c>
      <c r="C16" s="2">
        <f>+C17-SUM(C13:C15)</f>
        <v>742</v>
      </c>
      <c r="D16" s="2">
        <f t="shared" si="0"/>
        <v>712</v>
      </c>
    </row>
    <row r="17" spans="1:5" x14ac:dyDescent="0.25">
      <c r="A17" s="2" t="s">
        <v>12</v>
      </c>
      <c r="B17" s="6">
        <v>9780</v>
      </c>
      <c r="C17" s="6">
        <v>4915</v>
      </c>
      <c r="D17" s="6">
        <f t="shared" si="0"/>
        <v>4865</v>
      </c>
      <c r="E17" s="8">
        <f>314+3423</f>
        <v>3737</v>
      </c>
    </row>
    <row r="18" spans="1:5" x14ac:dyDescent="0.25">
      <c r="A18" s="5" t="s">
        <v>113</v>
      </c>
      <c r="B18" s="2">
        <v>6524</v>
      </c>
      <c r="C18" s="2">
        <v>2365</v>
      </c>
      <c r="D18" s="2">
        <f t="shared" si="0"/>
        <v>4159</v>
      </c>
      <c r="E18" s="2">
        <v>4193</v>
      </c>
    </row>
    <row r="19" spans="1:5" x14ac:dyDescent="0.25">
      <c r="A19" s="5" t="s">
        <v>14</v>
      </c>
      <c r="B19" s="2">
        <v>43051</v>
      </c>
      <c r="C19" s="2">
        <v>14959</v>
      </c>
      <c r="D19" s="2">
        <f t="shared" si="0"/>
        <v>28092</v>
      </c>
      <c r="E19" s="2">
        <v>29029</v>
      </c>
    </row>
    <row r="20" spans="1:5" x14ac:dyDescent="0.25">
      <c r="A20" s="5" t="s">
        <v>210</v>
      </c>
      <c r="B20" s="2">
        <v>62120</v>
      </c>
      <c r="C20" s="2">
        <v>13188</v>
      </c>
      <c r="D20" s="2">
        <f t="shared" si="0"/>
        <v>48932</v>
      </c>
      <c r="E20" s="2">
        <v>49749</v>
      </c>
    </row>
    <row r="21" spans="1:5" x14ac:dyDescent="0.25">
      <c r="A21" s="5" t="s">
        <v>147</v>
      </c>
      <c r="B21" s="2">
        <v>1498</v>
      </c>
      <c r="C21" s="2">
        <v>1144</v>
      </c>
      <c r="D21" s="2">
        <f t="shared" si="0"/>
        <v>354</v>
      </c>
      <c r="E21" s="2">
        <v>214</v>
      </c>
    </row>
    <row r="22" spans="1:5" ht="15.75" thickBot="1" x14ac:dyDescent="0.3">
      <c r="A22" s="2" t="s">
        <v>209</v>
      </c>
      <c r="B22" s="9">
        <f>SUM(B17:B21)</f>
        <v>122973</v>
      </c>
      <c r="C22" s="9">
        <f t="shared" ref="C22:D22" si="1">SUM(C17:C21)</f>
        <v>36571</v>
      </c>
      <c r="D22" s="9">
        <f t="shared" si="1"/>
        <v>86402</v>
      </c>
      <c r="E22" s="9">
        <f>SUM(E17:E21)</f>
        <v>86922</v>
      </c>
    </row>
    <row r="23" spans="1:5" ht="15.75" thickTop="1" x14ac:dyDescent="0.25">
      <c r="A23" s="2" t="s">
        <v>211</v>
      </c>
    </row>
    <row r="24" spans="1:5" x14ac:dyDescent="0.25">
      <c r="A24" s="5" t="s">
        <v>78</v>
      </c>
      <c r="B24" s="8">
        <v>2844</v>
      </c>
      <c r="C24" s="8">
        <v>1651</v>
      </c>
      <c r="D24" s="8">
        <f>+B24-C24</f>
        <v>1193</v>
      </c>
    </row>
    <row r="25" spans="1:5" x14ac:dyDescent="0.25">
      <c r="A25" s="5" t="s">
        <v>24</v>
      </c>
      <c r="B25" s="31">
        <f>+B26-B24</f>
        <v>4088</v>
      </c>
      <c r="C25" s="31">
        <f t="shared" ref="C25:D25" si="2">+C26-C24</f>
        <v>1441</v>
      </c>
      <c r="D25" s="31">
        <f t="shared" si="2"/>
        <v>2647</v>
      </c>
    </row>
    <row r="26" spans="1:5" x14ac:dyDescent="0.25">
      <c r="A26" s="2" t="s">
        <v>25</v>
      </c>
      <c r="B26" s="2">
        <v>6932</v>
      </c>
      <c r="C26" s="2">
        <v>3092</v>
      </c>
      <c r="D26" s="2">
        <f t="shared" ref="D26:D30" si="3">+B26-C26</f>
        <v>3840</v>
      </c>
      <c r="E26" s="8">
        <v>3026</v>
      </c>
    </row>
    <row r="27" spans="1:5" x14ac:dyDescent="0.25">
      <c r="A27" s="5" t="s">
        <v>27</v>
      </c>
      <c r="B27" s="2">
        <v>25151</v>
      </c>
      <c r="C27" s="2">
        <v>13358</v>
      </c>
      <c r="D27" s="2">
        <f t="shared" si="3"/>
        <v>11793</v>
      </c>
      <c r="E27" s="2">
        <v>9286</v>
      </c>
    </row>
    <row r="28" spans="1:5" x14ac:dyDescent="0.25">
      <c r="A28" s="5" t="s">
        <v>212</v>
      </c>
      <c r="B28" s="31">
        <f>+B29-SUM(B26:B27)</f>
        <v>24677</v>
      </c>
      <c r="C28" s="31">
        <f>+C29-SUM(C26:C27)</f>
        <v>4465</v>
      </c>
      <c r="D28" s="31">
        <f t="shared" si="3"/>
        <v>20212</v>
      </c>
      <c r="E28" s="2">
        <f>4734+17239</f>
        <v>21973</v>
      </c>
    </row>
    <row r="29" spans="1:5" x14ac:dyDescent="0.25">
      <c r="A29" s="2" t="s">
        <v>213</v>
      </c>
      <c r="B29" s="2">
        <f>56737+23</f>
        <v>56760</v>
      </c>
      <c r="C29" s="2">
        <f>20886+29</f>
        <v>20915</v>
      </c>
      <c r="D29" s="2">
        <f t="shared" si="3"/>
        <v>35845</v>
      </c>
      <c r="E29" s="6">
        <f>SUM(E26:E28)</f>
        <v>34285</v>
      </c>
    </row>
    <row r="30" spans="1:5" x14ac:dyDescent="0.25">
      <c r="A30" s="2" t="s">
        <v>215</v>
      </c>
      <c r="B30" s="2">
        <v>8320</v>
      </c>
      <c r="C30" s="2">
        <v>8320</v>
      </c>
      <c r="D30" s="2">
        <f t="shared" si="3"/>
        <v>0</v>
      </c>
    </row>
    <row r="31" spans="1:5" x14ac:dyDescent="0.25">
      <c r="A31" s="2" t="s">
        <v>216</v>
      </c>
      <c r="B31" s="2">
        <v>57893</v>
      </c>
      <c r="C31" s="2">
        <v>7336</v>
      </c>
      <c r="D31" s="2">
        <f>+B31-C31</f>
        <v>50557</v>
      </c>
      <c r="E31" s="2">
        <f>+E22-E29</f>
        <v>52637</v>
      </c>
    </row>
    <row r="32" spans="1:5" ht="15.75" thickBot="1" x14ac:dyDescent="0.3">
      <c r="A32" s="2" t="s">
        <v>214</v>
      </c>
      <c r="B32" s="9">
        <f>SUM(B29:B31)</f>
        <v>122973</v>
      </c>
      <c r="C32" s="9">
        <f t="shared" ref="C32:E32" si="4">SUM(C29:C31)</f>
        <v>36571</v>
      </c>
      <c r="D32" s="9">
        <f t="shared" si="4"/>
        <v>86402</v>
      </c>
      <c r="E32" s="9">
        <f t="shared" si="4"/>
        <v>86922</v>
      </c>
    </row>
    <row r="33" spans="1:7" ht="15.75" thickTop="1" x14ac:dyDescent="0.25">
      <c r="B33" s="2">
        <f>+B32-B22</f>
        <v>0</v>
      </c>
      <c r="C33" s="2">
        <f>+C32-C22</f>
        <v>0</v>
      </c>
      <c r="D33" s="2">
        <f>+D32-D22</f>
        <v>0</v>
      </c>
      <c r="E33" s="2">
        <f>+E32-E22</f>
        <v>0</v>
      </c>
    </row>
    <row r="34" spans="1:7" x14ac:dyDescent="0.25">
      <c r="A34" s="2" t="s">
        <v>222</v>
      </c>
      <c r="E34" s="8">
        <v>9468</v>
      </c>
    </row>
    <row r="35" spans="1:7" x14ac:dyDescent="0.25">
      <c r="A35" s="2" t="s">
        <v>221</v>
      </c>
      <c r="E35" s="31">
        <v>314</v>
      </c>
    </row>
    <row r="36" spans="1:7" x14ac:dyDescent="0.25">
      <c r="A36" s="2" t="s">
        <v>224</v>
      </c>
      <c r="E36" s="2">
        <f>SUM(E34:E35)</f>
        <v>9782</v>
      </c>
      <c r="F36" s="1">
        <f>+E36/16.5</f>
        <v>592.84848484848487</v>
      </c>
      <c r="G36" s="2" t="s">
        <v>225</v>
      </c>
    </row>
    <row r="37" spans="1:7" x14ac:dyDescent="0.25">
      <c r="A37" s="2" t="s">
        <v>219</v>
      </c>
      <c r="E37" s="2">
        <v>42855</v>
      </c>
      <c r="F37" s="7">
        <f>+E37/F36</f>
        <v>72.28659783275404</v>
      </c>
      <c r="G37" s="2" t="s">
        <v>226</v>
      </c>
    </row>
    <row r="38" spans="1:7" ht="15.75" thickBot="1" x14ac:dyDescent="0.3">
      <c r="A38" s="2" t="s">
        <v>220</v>
      </c>
      <c r="E38" s="9">
        <f>SUM(E36:E37)</f>
        <v>52637</v>
      </c>
      <c r="F38" s="7">
        <f>+E38/F36</f>
        <v>88.78659783275404</v>
      </c>
      <c r="G38" s="2" t="s">
        <v>230</v>
      </c>
    </row>
    <row r="39" spans="1:7" ht="15.75" thickTop="1" x14ac:dyDescent="0.25">
      <c r="F39" s="7">
        <v>61.33</v>
      </c>
      <c r="G39" s="2" t="s">
        <v>241</v>
      </c>
    </row>
    <row r="40" spans="1:7" x14ac:dyDescent="0.25">
      <c r="F40" s="45">
        <f>(+F38-F39)/F38</f>
        <v>0.30924259407341653</v>
      </c>
      <c r="G40" s="2" t="s">
        <v>240</v>
      </c>
    </row>
    <row r="42" spans="1:7" x14ac:dyDescent="0.25">
      <c r="A42" s="2" t="s">
        <v>242</v>
      </c>
    </row>
    <row r="43" spans="1:7" x14ac:dyDescent="0.25">
      <c r="A43" s="2" t="s">
        <v>231</v>
      </c>
    </row>
    <row r="44" spans="1:7" x14ac:dyDescent="0.25">
      <c r="A44" s="2" t="str">
        <f>+A3</f>
        <v>In millions except per share data</v>
      </c>
    </row>
    <row r="45" spans="1:7" x14ac:dyDescent="0.25">
      <c r="B45" s="2" t="s">
        <v>218</v>
      </c>
      <c r="C45" s="2" t="s">
        <v>217</v>
      </c>
    </row>
    <row r="46" spans="1:7" x14ac:dyDescent="0.25">
      <c r="B46" s="2" t="s">
        <v>232</v>
      </c>
      <c r="C46" s="2" t="s">
        <v>218</v>
      </c>
    </row>
    <row r="47" spans="1:7" ht="15.75" thickBot="1" x14ac:dyDescent="0.3">
      <c r="B47" s="46">
        <v>42004</v>
      </c>
      <c r="C47" s="47" t="s">
        <v>233</v>
      </c>
      <c r="D47" s="44" t="s">
        <v>208</v>
      </c>
    </row>
    <row r="48" spans="1:7" x14ac:dyDescent="0.25">
      <c r="A48" s="2" t="s">
        <v>206</v>
      </c>
    </row>
    <row r="49" spans="1:4" x14ac:dyDescent="0.25">
      <c r="A49" s="2" t="s">
        <v>12</v>
      </c>
      <c r="B49" s="8">
        <v>4791</v>
      </c>
      <c r="C49" s="8">
        <f>+E17</f>
        <v>3737</v>
      </c>
      <c r="D49" s="8">
        <f>+C49-B49</f>
        <v>-1054</v>
      </c>
    </row>
    <row r="50" spans="1:4" x14ac:dyDescent="0.25">
      <c r="A50" s="5" t="s">
        <v>113</v>
      </c>
      <c r="B50" s="2">
        <v>4192</v>
      </c>
      <c r="C50" s="2">
        <f t="shared" ref="C50:C54" si="5">+E18</f>
        <v>4193</v>
      </c>
      <c r="D50" s="2">
        <f t="shared" ref="D50:D54" si="6">+C50-B50</f>
        <v>1</v>
      </c>
    </row>
    <row r="51" spans="1:4" x14ac:dyDescent="0.25">
      <c r="A51" s="5" t="s">
        <v>14</v>
      </c>
      <c r="B51" s="2">
        <v>11404</v>
      </c>
      <c r="C51" s="2">
        <f t="shared" si="5"/>
        <v>29029</v>
      </c>
      <c r="D51" s="2">
        <f t="shared" si="6"/>
        <v>17625</v>
      </c>
    </row>
    <row r="52" spans="1:4" x14ac:dyDescent="0.25">
      <c r="A52" s="5" t="s">
        <v>210</v>
      </c>
      <c r="B52" s="2">
        <f>2228+6</f>
        <v>2234</v>
      </c>
      <c r="C52" s="2">
        <f t="shared" si="5"/>
        <v>49749</v>
      </c>
      <c r="D52" s="2">
        <f t="shared" si="6"/>
        <v>47515</v>
      </c>
    </row>
    <row r="53" spans="1:4" x14ac:dyDescent="0.25">
      <c r="A53" s="5" t="s">
        <v>147</v>
      </c>
      <c r="B53" s="2">
        <v>326</v>
      </c>
      <c r="C53" s="2">
        <f t="shared" si="5"/>
        <v>214</v>
      </c>
      <c r="D53" s="2">
        <f t="shared" si="6"/>
        <v>-112</v>
      </c>
    </row>
    <row r="54" spans="1:4" ht="15.75" thickBot="1" x14ac:dyDescent="0.3">
      <c r="A54" s="2" t="s">
        <v>209</v>
      </c>
      <c r="B54" s="9">
        <f>SUM(B49:B53)</f>
        <v>22947</v>
      </c>
      <c r="C54" s="9">
        <f t="shared" si="5"/>
        <v>86922</v>
      </c>
      <c r="D54" s="9">
        <f t="shared" si="6"/>
        <v>63975</v>
      </c>
    </row>
    <row r="55" spans="1:4" ht="15.75" thickTop="1" x14ac:dyDescent="0.25">
      <c r="A55" s="2" t="s">
        <v>211</v>
      </c>
    </row>
    <row r="56" spans="1:4" x14ac:dyDescent="0.25">
      <c r="A56" s="2" t="s">
        <v>25</v>
      </c>
      <c r="B56" s="8">
        <v>4773</v>
      </c>
      <c r="C56" s="8">
        <v>3026</v>
      </c>
      <c r="D56" s="8">
        <f>+C56-B56</f>
        <v>-1747</v>
      </c>
    </row>
    <row r="57" spans="1:4" x14ac:dyDescent="0.25">
      <c r="A57" s="35" t="s">
        <v>27</v>
      </c>
      <c r="B57" s="2">
        <v>8627</v>
      </c>
      <c r="C57" s="2">
        <v>9286</v>
      </c>
      <c r="D57" s="2">
        <f t="shared" ref="D57:D61" si="7">+C57-B57</f>
        <v>659</v>
      </c>
    </row>
    <row r="58" spans="1:4" x14ac:dyDescent="0.25">
      <c r="A58" s="35" t="s">
        <v>212</v>
      </c>
      <c r="B58" s="31">
        <f>340+3399+1443</f>
        <v>5182</v>
      </c>
      <c r="C58" s="2">
        <f>4734+17239</f>
        <v>21973</v>
      </c>
      <c r="D58" s="2">
        <f t="shared" si="7"/>
        <v>16791</v>
      </c>
    </row>
    <row r="59" spans="1:4" x14ac:dyDescent="0.25">
      <c r="A59" s="5" t="s">
        <v>213</v>
      </c>
      <c r="B59" s="2">
        <f>SUM(B56:B58)</f>
        <v>18582</v>
      </c>
      <c r="C59" s="6">
        <f>SUM(C56:C58)</f>
        <v>34285</v>
      </c>
      <c r="D59" s="6">
        <f t="shared" si="7"/>
        <v>15703</v>
      </c>
    </row>
    <row r="60" spans="1:4" x14ac:dyDescent="0.25">
      <c r="A60" s="5" t="s">
        <v>216</v>
      </c>
      <c r="B60" s="2">
        <f>+B54-B59</f>
        <v>4365</v>
      </c>
      <c r="C60" s="2">
        <f>+C54-C59</f>
        <v>52637</v>
      </c>
      <c r="D60" s="2">
        <f t="shared" si="7"/>
        <v>48272</v>
      </c>
    </row>
    <row r="61" spans="1:4" ht="15.75" thickBot="1" x14ac:dyDescent="0.3">
      <c r="A61" s="2" t="s">
        <v>214</v>
      </c>
      <c r="B61" s="9">
        <f>+B60+B59</f>
        <v>22947</v>
      </c>
      <c r="C61" s="9">
        <f>SUM(C59:C60)</f>
        <v>86922</v>
      </c>
      <c r="D61" s="9">
        <f t="shared" si="7"/>
        <v>63975</v>
      </c>
    </row>
    <row r="62" spans="1:4" ht="15.75" thickTop="1" x14ac:dyDescent="0.25"/>
    <row r="64" spans="1:4" x14ac:dyDescent="0.25">
      <c r="A64" s="2" t="s">
        <v>243</v>
      </c>
    </row>
    <row r="65" spans="1:4" x14ac:dyDescent="0.25">
      <c r="A65" s="2" t="s">
        <v>247</v>
      </c>
      <c r="B65" s="2" t="s">
        <v>245</v>
      </c>
    </row>
    <row r="66" spans="1:4" x14ac:dyDescent="0.25">
      <c r="A66" s="3" t="s">
        <v>244</v>
      </c>
      <c r="B66" s="2" t="s">
        <v>246</v>
      </c>
      <c r="C66" s="2" t="s">
        <v>160</v>
      </c>
    </row>
    <row r="67" spans="1:4" x14ac:dyDescent="0.25">
      <c r="A67" s="4">
        <v>2022</v>
      </c>
      <c r="B67" s="7">
        <v>40.71</v>
      </c>
      <c r="C67" s="7">
        <v>1.6</v>
      </c>
    </row>
    <row r="68" spans="1:4" x14ac:dyDescent="0.25">
      <c r="A68" s="4">
        <v>2021</v>
      </c>
      <c r="B68" s="42">
        <v>35.9</v>
      </c>
      <c r="C68" s="42">
        <v>1.6</v>
      </c>
    </row>
    <row r="69" spans="1:4" x14ac:dyDescent="0.25">
      <c r="A69" s="4">
        <f>+A68-1</f>
        <v>2020</v>
      </c>
      <c r="B69" s="42">
        <v>34.659999999999997</v>
      </c>
      <c r="C69" s="42">
        <v>1.6</v>
      </c>
    </row>
    <row r="70" spans="1:4" x14ac:dyDescent="0.25">
      <c r="A70" s="4">
        <f t="shared" ref="A70:A74" si="8">+A69-1</f>
        <v>2019</v>
      </c>
      <c r="B70" s="42">
        <v>32.130000000000003</v>
      </c>
      <c r="C70" s="42">
        <f>0.4*4</f>
        <v>1.6</v>
      </c>
      <c r="D70" s="2" t="s">
        <v>262</v>
      </c>
    </row>
    <row r="71" spans="1:4" x14ac:dyDescent="0.25">
      <c r="A71" s="4">
        <f t="shared" si="8"/>
        <v>2018</v>
      </c>
      <c r="B71" s="42">
        <v>43.04</v>
      </c>
      <c r="C71" s="42">
        <f>0.625*4</f>
        <v>2.5</v>
      </c>
      <c r="D71" s="2" t="s">
        <v>261</v>
      </c>
    </row>
    <row r="72" spans="1:4" x14ac:dyDescent="0.25">
      <c r="A72" s="4">
        <f t="shared" si="8"/>
        <v>2017</v>
      </c>
      <c r="B72" s="42">
        <v>77.760000000000005</v>
      </c>
      <c r="C72" s="42">
        <f>(0.6*2)+(0.625*2)</f>
        <v>2.4500000000000002</v>
      </c>
      <c r="D72" s="2" t="s">
        <v>260</v>
      </c>
    </row>
    <row r="73" spans="1:4" x14ac:dyDescent="0.25">
      <c r="A73" s="4">
        <f t="shared" si="8"/>
        <v>2016</v>
      </c>
      <c r="B73" s="42">
        <v>87.32</v>
      </c>
      <c r="C73" s="42">
        <f>+C74+1.2</f>
        <v>2.3499999999999996</v>
      </c>
    </row>
    <row r="74" spans="1:4" x14ac:dyDescent="0.25">
      <c r="A74" s="4">
        <f t="shared" si="8"/>
        <v>2015</v>
      </c>
      <c r="B74" s="42">
        <v>72.760000000000005</v>
      </c>
      <c r="C74" s="7">
        <f>0.575*2</f>
        <v>1.1499999999999999</v>
      </c>
    </row>
    <row r="75" spans="1:4" x14ac:dyDescent="0.25">
      <c r="A75" s="48" t="s">
        <v>248</v>
      </c>
      <c r="B75" s="7">
        <f>+F37</f>
        <v>72.28659783275404</v>
      </c>
      <c r="C75" s="7"/>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4F8EC-AEBA-4833-8450-ED5C3C1BA634}">
  <dimension ref="A1:Z240"/>
  <sheetViews>
    <sheetView workbookViewId="0">
      <selection activeCell="F243" sqref="F243"/>
    </sheetView>
  </sheetViews>
  <sheetFormatPr defaultRowHeight="15" x14ac:dyDescent="0.25"/>
  <cols>
    <col min="1" max="1" width="40.7109375" style="2" customWidth="1"/>
    <col min="2" max="9" width="10.7109375" style="2" customWidth="1"/>
    <col min="10" max="10" width="9.140625" style="2"/>
    <col min="11" max="24" width="8.7109375" style="2" customWidth="1"/>
    <col min="25" max="16384" width="9.140625" style="2"/>
  </cols>
  <sheetData>
    <row r="1" spans="1:24" s="15" customFormat="1" x14ac:dyDescent="0.25">
      <c r="A1" s="15" t="s">
        <v>0</v>
      </c>
      <c r="B1" s="15" t="s">
        <v>4</v>
      </c>
      <c r="K1" s="15" t="str">
        <f>+B1</f>
        <v>As reported</v>
      </c>
      <c r="R1" s="15" t="str">
        <f>+B1</f>
        <v>As reported</v>
      </c>
    </row>
    <row r="2" spans="1:24" s="15" customFormat="1" x14ac:dyDescent="0.25">
      <c r="A2" s="15" t="s">
        <v>1</v>
      </c>
      <c r="K2" s="15" t="s">
        <v>126</v>
      </c>
      <c r="R2" s="15" t="s">
        <v>131</v>
      </c>
    </row>
    <row r="3" spans="1:24" s="15" customFormat="1" x14ac:dyDescent="0.25">
      <c r="A3" s="15" t="s">
        <v>2</v>
      </c>
      <c r="F3" s="15" t="s">
        <v>149</v>
      </c>
      <c r="G3" s="16" t="s">
        <v>125</v>
      </c>
      <c r="H3" s="16"/>
      <c r="I3" s="16"/>
      <c r="P3" s="16" t="s">
        <v>125</v>
      </c>
      <c r="R3" s="15" t="s">
        <v>127</v>
      </c>
      <c r="S3" s="15" t="s">
        <v>129</v>
      </c>
      <c r="T3" s="15" t="s">
        <v>132</v>
      </c>
      <c r="U3" s="15" t="s">
        <v>133</v>
      </c>
      <c r="V3" s="15" t="s">
        <v>134</v>
      </c>
      <c r="W3" s="15" t="s">
        <v>135</v>
      </c>
      <c r="X3" s="15" t="s">
        <v>136</v>
      </c>
    </row>
    <row r="4" spans="1:24" s="15" customFormat="1" ht="15.75" thickBot="1" x14ac:dyDescent="0.3">
      <c r="A4" s="16" t="s">
        <v>3</v>
      </c>
      <c r="B4" s="17">
        <v>2022</v>
      </c>
      <c r="C4" s="17">
        <v>2021</v>
      </c>
      <c r="D4" s="17">
        <v>2020</v>
      </c>
      <c r="E4" s="17">
        <v>2019</v>
      </c>
      <c r="F4" s="17">
        <v>2018</v>
      </c>
      <c r="G4" s="17">
        <v>2017</v>
      </c>
      <c r="H4" s="17">
        <v>2016</v>
      </c>
      <c r="I4" s="17">
        <v>2015</v>
      </c>
      <c r="K4" s="17">
        <v>2022</v>
      </c>
      <c r="L4" s="17">
        <v>2021</v>
      </c>
      <c r="M4" s="17">
        <v>2020</v>
      </c>
      <c r="N4" s="17">
        <v>2019</v>
      </c>
      <c r="O4" s="17">
        <v>2018</v>
      </c>
      <c r="P4" s="17">
        <v>2017</v>
      </c>
      <c r="R4" s="29" t="s">
        <v>128</v>
      </c>
      <c r="S4" s="29" t="s">
        <v>130</v>
      </c>
      <c r="T4" s="17">
        <v>2022</v>
      </c>
      <c r="U4" s="17">
        <v>2021</v>
      </c>
      <c r="V4" s="17">
        <v>2020</v>
      </c>
      <c r="W4" s="17">
        <v>2019</v>
      </c>
      <c r="X4" s="17">
        <v>2018</v>
      </c>
    </row>
    <row r="5" spans="1:24" x14ac:dyDescent="0.25">
      <c r="A5" s="2" t="s">
        <v>5</v>
      </c>
    </row>
    <row r="6" spans="1:24" x14ac:dyDescent="0.25">
      <c r="A6" s="5" t="s">
        <v>6</v>
      </c>
      <c r="B6" s="8">
        <v>1040</v>
      </c>
      <c r="C6" s="8">
        <v>3445</v>
      </c>
      <c r="D6" s="8">
        <v>3417</v>
      </c>
      <c r="E6" s="8">
        <v>2279</v>
      </c>
      <c r="F6" s="8">
        <v>1130</v>
      </c>
      <c r="G6" s="8">
        <v>1629</v>
      </c>
      <c r="H6" s="8"/>
      <c r="I6" s="8"/>
      <c r="K6" s="28">
        <f t="shared" ref="K6:K18" si="0">+B6/B$18</f>
        <v>1.14900622010098E-2</v>
      </c>
      <c r="L6" s="28">
        <f t="shared" ref="L6:L18" si="1">+C6/C$18</f>
        <v>3.6886737906075336E-2</v>
      </c>
      <c r="M6" s="28">
        <f t="shared" ref="M6:M18" si="2">+D6/D$18</f>
        <v>3.4228187919463089E-2</v>
      </c>
      <c r="N6" s="28">
        <f t="shared" ref="N6:N18" si="3">+E6/E$18</f>
        <v>2.2464268112370626E-2</v>
      </c>
      <c r="O6" s="28">
        <f t="shared" ref="O6:O18" si="4">+F6/F$18</f>
        <v>1.0921989928572119E-2</v>
      </c>
      <c r="P6" s="28">
        <f t="shared" ref="P6:P18" si="5">+G6/G$18</f>
        <v>1.3564600472970723E-2</v>
      </c>
      <c r="R6" s="28">
        <f t="shared" ref="R6:R18" si="6">RATE(5,0,-G6,B6)</f>
        <v>-8.5839501919465239E-2</v>
      </c>
      <c r="S6" s="28">
        <f>AVERAGE(T6:X6)</f>
        <v>0.10398283867061812</v>
      </c>
      <c r="T6" s="28">
        <f t="shared" ref="T6:T18" si="7">(+B6-C6)/C6</f>
        <v>-0.69811320754716977</v>
      </c>
      <c r="U6" s="28">
        <f t="shared" ref="U6:U18" si="8">(+C6-D6)/D6</f>
        <v>8.194322505121452E-3</v>
      </c>
      <c r="V6" s="28">
        <f t="shared" ref="V6:V18" si="9">(+D6-E6)/E6</f>
        <v>0.49934181658622201</v>
      </c>
      <c r="W6" s="28">
        <f t="shared" ref="W6:W18" si="10">(+E6-F6)/F6</f>
        <v>1.0168141592920354</v>
      </c>
      <c r="X6" s="28">
        <f t="shared" ref="X6:X18" si="11">(+F6-G6)/G6</f>
        <v>-0.30632289748311847</v>
      </c>
    </row>
    <row r="7" spans="1:24" x14ac:dyDescent="0.25">
      <c r="A7" s="5" t="s">
        <v>7</v>
      </c>
      <c r="B7" s="2">
        <v>2120</v>
      </c>
      <c r="C7" s="2">
        <v>1957</v>
      </c>
      <c r="D7" s="2">
        <v>2063</v>
      </c>
      <c r="E7" s="2">
        <v>1973</v>
      </c>
      <c r="F7" s="2">
        <v>2129</v>
      </c>
      <c r="G7" s="2">
        <v>921</v>
      </c>
      <c r="K7" s="28">
        <f t="shared" si="0"/>
        <v>2.3422049871289208E-2</v>
      </c>
      <c r="L7" s="28">
        <f t="shared" si="1"/>
        <v>2.095423688887937E-2</v>
      </c>
      <c r="M7" s="28">
        <f t="shared" si="2"/>
        <v>2.0665130722227788E-2</v>
      </c>
      <c r="N7" s="28">
        <f t="shared" si="3"/>
        <v>1.944800394282898E-2</v>
      </c>
      <c r="O7" s="28">
        <f t="shared" si="4"/>
        <v>2.0577802263654903E-2</v>
      </c>
      <c r="P7" s="28">
        <f t="shared" si="5"/>
        <v>7.669120341071845E-3</v>
      </c>
      <c r="R7" s="28">
        <f t="shared" si="6"/>
        <v>0.18144972663460698</v>
      </c>
      <c r="S7" s="28">
        <f t="shared" ref="S7:S18" si="12">AVERAGE(T7:X7)</f>
        <v>0.26317381012087437</v>
      </c>
      <c r="T7" s="28">
        <f t="shared" si="7"/>
        <v>8.3290751149718956E-2</v>
      </c>
      <c r="U7" s="28">
        <f t="shared" si="8"/>
        <v>-5.1381483276781388E-2</v>
      </c>
      <c r="V7" s="28">
        <f t="shared" si="9"/>
        <v>4.5615813482007099E-2</v>
      </c>
      <c r="W7" s="28">
        <f t="shared" si="10"/>
        <v>-7.3273837482386098E-2</v>
      </c>
      <c r="X7" s="28">
        <f t="shared" si="11"/>
        <v>1.3116178067318132</v>
      </c>
    </row>
    <row r="8" spans="1:24" x14ac:dyDescent="0.25">
      <c r="A8" s="5" t="s">
        <v>124</v>
      </c>
      <c r="B8" s="2">
        <v>0</v>
      </c>
      <c r="C8" s="2">
        <v>0</v>
      </c>
      <c r="D8" s="2">
        <v>0</v>
      </c>
      <c r="E8" s="2">
        <v>0</v>
      </c>
      <c r="F8" s="2">
        <v>152</v>
      </c>
      <c r="G8" s="2">
        <v>538</v>
      </c>
      <c r="K8" s="28">
        <f t="shared" si="0"/>
        <v>0</v>
      </c>
      <c r="L8" s="28">
        <f t="shared" si="1"/>
        <v>0</v>
      </c>
      <c r="M8" s="28">
        <f t="shared" si="2"/>
        <v>0</v>
      </c>
      <c r="N8" s="28">
        <f t="shared" si="3"/>
        <v>0</v>
      </c>
      <c r="O8" s="28">
        <f t="shared" si="4"/>
        <v>1.4691526275601434E-3</v>
      </c>
      <c r="P8" s="28">
        <f t="shared" si="5"/>
        <v>4.4798987442960401E-3</v>
      </c>
      <c r="R8" s="28">
        <f t="shared" si="6"/>
        <v>-0.99999940914518248</v>
      </c>
      <c r="S8" s="28" t="e">
        <f t="shared" si="12"/>
        <v>#DIV/0!</v>
      </c>
      <c r="T8" s="28" t="e">
        <f t="shared" si="7"/>
        <v>#DIV/0!</v>
      </c>
      <c r="U8" s="28" t="e">
        <f t="shared" si="8"/>
        <v>#DIV/0!</v>
      </c>
      <c r="V8" s="28" t="e">
        <f t="shared" si="9"/>
        <v>#DIV/0!</v>
      </c>
      <c r="W8" s="28">
        <f t="shared" si="10"/>
        <v>-1</v>
      </c>
      <c r="X8" s="28">
        <f t="shared" si="11"/>
        <v>-0.71747211895910779</v>
      </c>
    </row>
    <row r="9" spans="1:24" x14ac:dyDescent="0.25">
      <c r="A9" s="5" t="s">
        <v>8</v>
      </c>
      <c r="B9" s="2">
        <v>3651</v>
      </c>
      <c r="C9" s="2">
        <v>2729</v>
      </c>
      <c r="D9" s="2">
        <v>2554</v>
      </c>
      <c r="E9" s="2">
        <v>2721</v>
      </c>
      <c r="F9" s="2">
        <v>2667</v>
      </c>
      <c r="G9" s="2">
        <v>2760</v>
      </c>
      <c r="K9" s="28">
        <f t="shared" si="0"/>
        <v>4.0336747207583443E-2</v>
      </c>
      <c r="L9" s="28">
        <f t="shared" si="1"/>
        <v>2.9220292524145021E-2</v>
      </c>
      <c r="M9" s="28">
        <f t="shared" si="2"/>
        <v>2.5583491936291697E-2</v>
      </c>
      <c r="N9" s="28">
        <f t="shared" si="3"/>
        <v>2.6821094135041891E-2</v>
      </c>
      <c r="O9" s="28">
        <f t="shared" si="4"/>
        <v>2.5777829326992779E-2</v>
      </c>
      <c r="P9" s="28">
        <f t="shared" si="5"/>
        <v>2.2982380175199015E-2</v>
      </c>
      <c r="R9" s="28">
        <f t="shared" si="6"/>
        <v>5.7549124818983735E-2</v>
      </c>
      <c r="S9" s="28">
        <f t="shared" si="12"/>
        <v>6.6309996838441923E-2</v>
      </c>
      <c r="T9" s="28">
        <f t="shared" si="7"/>
        <v>0.337852693294247</v>
      </c>
      <c r="U9" s="28">
        <f t="shared" si="8"/>
        <v>6.8519968676585746E-2</v>
      </c>
      <c r="V9" s="28">
        <f t="shared" si="9"/>
        <v>-6.1374494671076807E-2</v>
      </c>
      <c r="W9" s="28">
        <f t="shared" si="10"/>
        <v>2.0247469066366704E-2</v>
      </c>
      <c r="X9" s="28">
        <f t="shared" si="11"/>
        <v>-3.3695652173913043E-2</v>
      </c>
    </row>
    <row r="10" spans="1:24" x14ac:dyDescent="0.25">
      <c r="A10" s="5" t="s">
        <v>9</v>
      </c>
      <c r="B10" s="2">
        <v>240</v>
      </c>
      <c r="C10" s="2">
        <v>136</v>
      </c>
      <c r="D10" s="2">
        <v>351</v>
      </c>
      <c r="E10" s="2">
        <v>384</v>
      </c>
      <c r="F10" s="2">
        <v>400</v>
      </c>
      <c r="G10" s="2">
        <v>345</v>
      </c>
      <c r="K10" s="28">
        <f t="shared" si="0"/>
        <v>2.6515528156176461E-3</v>
      </c>
      <c r="L10" s="28">
        <f t="shared" si="1"/>
        <v>1.4561963295286636E-3</v>
      </c>
      <c r="M10" s="28">
        <f t="shared" si="2"/>
        <v>3.5159771611739956E-3</v>
      </c>
      <c r="N10" s="28">
        <f t="shared" si="3"/>
        <v>3.7851158206012813E-3</v>
      </c>
      <c r="O10" s="28">
        <f t="shared" si="4"/>
        <v>3.8661911251582724E-3</v>
      </c>
      <c r="P10" s="28">
        <f t="shared" si="5"/>
        <v>2.8727975218998769E-3</v>
      </c>
      <c r="R10" s="28">
        <f t="shared" si="6"/>
        <v>-7.0009677432707695E-2</v>
      </c>
      <c r="S10" s="28">
        <f t="shared" si="12"/>
        <v>3.7130611934480209E-2</v>
      </c>
      <c r="T10" s="28">
        <f t="shared" si="7"/>
        <v>0.76470588235294112</v>
      </c>
      <c r="U10" s="28">
        <f t="shared" si="8"/>
        <v>-0.61253561253561251</v>
      </c>
      <c r="V10" s="28">
        <f t="shared" si="9"/>
        <v>-8.59375E-2</v>
      </c>
      <c r="W10" s="28">
        <f t="shared" si="10"/>
        <v>-0.04</v>
      </c>
      <c r="X10" s="28">
        <f t="shared" si="11"/>
        <v>0.15942028985507245</v>
      </c>
    </row>
    <row r="11" spans="1:24" x14ac:dyDescent="0.25">
      <c r="A11" s="5" t="s">
        <v>10</v>
      </c>
      <c r="B11" s="2">
        <v>842</v>
      </c>
      <c r="C11" s="2">
        <v>716</v>
      </c>
      <c r="D11" s="2">
        <v>574</v>
      </c>
      <c r="E11" s="2">
        <v>618</v>
      </c>
      <c r="F11" s="2">
        <v>1221</v>
      </c>
      <c r="G11" s="2">
        <v>655</v>
      </c>
      <c r="K11" s="28">
        <f t="shared" si="0"/>
        <v>9.3025311281252424E-3</v>
      </c>
      <c r="L11" s="28">
        <f t="shared" si="1"/>
        <v>7.6664453819303164E-3</v>
      </c>
      <c r="M11" s="28">
        <f t="shared" si="2"/>
        <v>5.7497746168486425E-3</v>
      </c>
      <c r="N11" s="28">
        <f t="shared" si="3"/>
        <v>6.091670773780187E-3</v>
      </c>
      <c r="O11" s="28">
        <f t="shared" si="4"/>
        <v>1.1801548409545625E-2</v>
      </c>
      <c r="P11" s="28">
        <f t="shared" si="5"/>
        <v>5.4541518169403461E-3</v>
      </c>
      <c r="R11" s="28">
        <f t="shared" si="6"/>
        <v>5.1511818464607374E-2</v>
      </c>
      <c r="S11" s="28">
        <f t="shared" si="12"/>
        <v>0.1444863291514033</v>
      </c>
      <c r="T11" s="28">
        <f t="shared" si="7"/>
        <v>0.17597765363128492</v>
      </c>
      <c r="U11" s="28">
        <f t="shared" si="8"/>
        <v>0.24738675958188153</v>
      </c>
      <c r="V11" s="28">
        <f t="shared" si="9"/>
        <v>-7.1197411003236247E-2</v>
      </c>
      <c r="W11" s="28">
        <f t="shared" si="10"/>
        <v>-0.49385749385749383</v>
      </c>
      <c r="X11" s="28">
        <f t="shared" si="11"/>
        <v>0.8641221374045801</v>
      </c>
    </row>
    <row r="12" spans="1:24" x14ac:dyDescent="0.25">
      <c r="A12" s="5" t="s">
        <v>11</v>
      </c>
      <c r="B12" s="2">
        <v>4</v>
      </c>
      <c r="C12" s="2">
        <v>11</v>
      </c>
      <c r="D12" s="2">
        <v>1863</v>
      </c>
      <c r="E12" s="2">
        <v>122</v>
      </c>
      <c r="F12" s="2">
        <v>1376</v>
      </c>
      <c r="G12" s="2">
        <v>353</v>
      </c>
      <c r="H12" s="34"/>
      <c r="I12" s="34"/>
      <c r="K12" s="30">
        <f t="shared" si="0"/>
        <v>4.4192546926960765E-5</v>
      </c>
      <c r="L12" s="30">
        <f t="shared" si="1"/>
        <v>1.1778058547658308E-4</v>
      </c>
      <c r="M12" s="30">
        <f t="shared" si="2"/>
        <v>1.8661724932385056E-2</v>
      </c>
      <c r="N12" s="30">
        <f t="shared" si="3"/>
        <v>1.2025628388368655E-3</v>
      </c>
      <c r="O12" s="30">
        <f t="shared" si="4"/>
        <v>1.3299697470544457E-2</v>
      </c>
      <c r="P12" s="30">
        <f t="shared" si="5"/>
        <v>2.9394131166105984E-3</v>
      </c>
      <c r="Q12" s="31"/>
      <c r="R12" s="30">
        <f t="shared" si="6"/>
        <v>-0.59181498497391294</v>
      </c>
      <c r="S12" s="30">
        <f t="shared" si="12"/>
        <v>2.9253424819919362</v>
      </c>
      <c r="T12" s="30">
        <f t="shared" si="7"/>
        <v>-0.63636363636363635</v>
      </c>
      <c r="U12" s="30">
        <f t="shared" si="8"/>
        <v>-0.99409554482018248</v>
      </c>
      <c r="V12" s="30">
        <f t="shared" si="9"/>
        <v>14.270491803278688</v>
      </c>
      <c r="W12" s="30">
        <f t="shared" si="10"/>
        <v>-0.91133720930232553</v>
      </c>
      <c r="X12" s="30">
        <f t="shared" si="11"/>
        <v>2.8980169971671388</v>
      </c>
    </row>
    <row r="13" spans="1:24" x14ac:dyDescent="0.25">
      <c r="A13" s="2" t="s">
        <v>12</v>
      </c>
      <c r="B13" s="6">
        <f>SUM(B6:B12)</f>
        <v>7897</v>
      </c>
      <c r="C13" s="6">
        <f t="shared" ref="C13:G13" si="13">SUM(C6:C12)</f>
        <v>8994</v>
      </c>
      <c r="D13" s="6">
        <f t="shared" si="13"/>
        <v>10822</v>
      </c>
      <c r="E13" s="6">
        <f t="shared" si="13"/>
        <v>8097</v>
      </c>
      <c r="F13" s="6">
        <f t="shared" si="13"/>
        <v>9075</v>
      </c>
      <c r="G13" s="6">
        <f t="shared" si="13"/>
        <v>7201</v>
      </c>
      <c r="H13" s="36">
        <v>8753</v>
      </c>
      <c r="I13" s="36">
        <v>9780</v>
      </c>
      <c r="K13" s="28">
        <f t="shared" si="0"/>
        <v>8.7247135770552292E-2</v>
      </c>
      <c r="L13" s="28">
        <f t="shared" si="1"/>
        <v>9.6301689616035288E-2</v>
      </c>
      <c r="M13" s="28">
        <f t="shared" si="2"/>
        <v>0.10840428728839026</v>
      </c>
      <c r="N13" s="28">
        <f t="shared" si="3"/>
        <v>7.9812715623459832E-2</v>
      </c>
      <c r="O13" s="28">
        <f t="shared" si="4"/>
        <v>8.7714211152028307E-2</v>
      </c>
      <c r="P13" s="28">
        <f t="shared" si="5"/>
        <v>5.9962362188988441E-2</v>
      </c>
      <c r="R13" s="28">
        <f t="shared" si="6"/>
        <v>1.8623908433372451E-2</v>
      </c>
      <c r="S13" s="28">
        <f t="shared" si="12"/>
        <v>3.9626412414418111E-2</v>
      </c>
      <c r="T13" s="28">
        <f t="shared" si="7"/>
        <v>-0.12197020235712697</v>
      </c>
      <c r="U13" s="28">
        <f t="shared" si="8"/>
        <v>-0.16891517279615598</v>
      </c>
      <c r="V13" s="28">
        <f t="shared" si="9"/>
        <v>0.33654439916018281</v>
      </c>
      <c r="W13" s="28">
        <f t="shared" si="10"/>
        <v>-0.10776859504132232</v>
      </c>
      <c r="X13" s="28">
        <f t="shared" si="11"/>
        <v>0.26024163310651299</v>
      </c>
    </row>
    <row r="14" spans="1:24" x14ac:dyDescent="0.25">
      <c r="A14" s="5" t="s">
        <v>13</v>
      </c>
      <c r="B14" s="2">
        <v>6740</v>
      </c>
      <c r="C14" s="2">
        <v>6806</v>
      </c>
      <c r="D14" s="2">
        <v>6876</v>
      </c>
      <c r="E14" s="2">
        <v>7055</v>
      </c>
      <c r="F14" s="2">
        <v>7078</v>
      </c>
      <c r="G14" s="2">
        <v>7061</v>
      </c>
      <c r="H14" s="2">
        <v>6688</v>
      </c>
      <c r="I14" s="2">
        <v>6524</v>
      </c>
      <c r="K14" s="28">
        <f t="shared" si="0"/>
        <v>7.4464441571928899E-2</v>
      </c>
      <c r="L14" s="28">
        <f t="shared" si="1"/>
        <v>7.2874060432147669E-2</v>
      </c>
      <c r="M14" s="28">
        <f t="shared" si="2"/>
        <v>6.8877091054793144E-2</v>
      </c>
      <c r="N14" s="28">
        <f t="shared" si="3"/>
        <v>6.9541646131099061E-2</v>
      </c>
      <c r="O14" s="28">
        <f t="shared" si="4"/>
        <v>6.8412251959675624E-2</v>
      </c>
      <c r="P14" s="28">
        <f t="shared" si="5"/>
        <v>5.8796589281550814E-2</v>
      </c>
      <c r="R14" s="28">
        <f t="shared" si="6"/>
        <v>-9.2621911140529506E-3</v>
      </c>
      <c r="S14" s="28">
        <f t="shared" si="12"/>
        <v>-9.2183308706207286E-3</v>
      </c>
      <c r="T14" s="28">
        <f t="shared" si="7"/>
        <v>-9.6973258889215402E-3</v>
      </c>
      <c r="U14" s="28">
        <f t="shared" si="8"/>
        <v>-1.0180337405468295E-2</v>
      </c>
      <c r="V14" s="28">
        <f t="shared" si="9"/>
        <v>-2.5372076541459957E-2</v>
      </c>
      <c r="W14" s="28">
        <f t="shared" si="10"/>
        <v>-3.2495055100310822E-3</v>
      </c>
      <c r="X14" s="28">
        <f t="shared" si="11"/>
        <v>2.407590992777227E-3</v>
      </c>
    </row>
    <row r="15" spans="1:24" x14ac:dyDescent="0.25">
      <c r="A15" s="5" t="s">
        <v>14</v>
      </c>
      <c r="B15" s="2">
        <v>30833</v>
      </c>
      <c r="C15" s="2">
        <v>31296</v>
      </c>
      <c r="D15" s="2">
        <v>33089</v>
      </c>
      <c r="E15" s="2">
        <v>35546</v>
      </c>
      <c r="F15" s="2">
        <v>36503</v>
      </c>
      <c r="G15" s="2">
        <v>44825</v>
      </c>
      <c r="H15" s="2">
        <v>44125</v>
      </c>
      <c r="I15" s="2">
        <v>43051</v>
      </c>
      <c r="K15" s="28">
        <f t="shared" si="0"/>
        <v>0.34064719984974534</v>
      </c>
      <c r="L15" s="28">
        <f t="shared" si="1"/>
        <v>0.33509647300683126</v>
      </c>
      <c r="M15" s="28">
        <f t="shared" si="2"/>
        <v>0.3314534709005309</v>
      </c>
      <c r="N15" s="28">
        <f t="shared" si="3"/>
        <v>0.35037949728930506</v>
      </c>
      <c r="O15" s="28">
        <f t="shared" si="4"/>
        <v>0.35281893660413105</v>
      </c>
      <c r="P15" s="28">
        <f t="shared" si="5"/>
        <v>0.37325550411351299</v>
      </c>
      <c r="R15" s="28">
        <f t="shared" si="6"/>
        <v>-7.2104439321893851E-2</v>
      </c>
      <c r="S15" s="28">
        <f t="shared" si="12"/>
        <v>-6.999509320131285E-2</v>
      </c>
      <c r="T15" s="28">
        <f t="shared" si="7"/>
        <v>-1.4794222903885481E-2</v>
      </c>
      <c r="U15" s="28">
        <f t="shared" si="8"/>
        <v>-5.4187192118226604E-2</v>
      </c>
      <c r="V15" s="28">
        <f t="shared" si="9"/>
        <v>-6.9121701457266635E-2</v>
      </c>
      <c r="W15" s="28">
        <f t="shared" si="10"/>
        <v>-2.6217023258362327E-2</v>
      </c>
      <c r="X15" s="28">
        <f t="shared" si="11"/>
        <v>-0.1856553262688232</v>
      </c>
    </row>
    <row r="16" spans="1:24" x14ac:dyDescent="0.25">
      <c r="A16" s="5" t="s">
        <v>15</v>
      </c>
      <c r="B16" s="2">
        <v>42649</v>
      </c>
      <c r="C16" s="2">
        <v>43542</v>
      </c>
      <c r="D16" s="2">
        <v>46667</v>
      </c>
      <c r="E16" s="2">
        <v>48652</v>
      </c>
      <c r="F16" s="2">
        <v>49468</v>
      </c>
      <c r="G16" s="2">
        <v>59432</v>
      </c>
      <c r="H16" s="2">
        <v>59297</v>
      </c>
      <c r="I16" s="2">
        <v>62120</v>
      </c>
      <c r="K16" s="28">
        <f t="shared" si="0"/>
        <v>0.47119198347198743</v>
      </c>
      <c r="L16" s="28">
        <f t="shared" si="1"/>
        <v>0.46621838662012549</v>
      </c>
      <c r="M16" s="28">
        <f t="shared" si="2"/>
        <v>0.46746468997295404</v>
      </c>
      <c r="N16" s="28">
        <f t="shared" si="3"/>
        <v>0.4795662888122228</v>
      </c>
      <c r="O16" s="28">
        <f t="shared" si="4"/>
        <v>0.47813185644832351</v>
      </c>
      <c r="P16" s="28">
        <f t="shared" si="5"/>
        <v>0.49488725310595211</v>
      </c>
      <c r="R16" s="28">
        <f t="shared" si="6"/>
        <v>-6.4211505046658401E-2</v>
      </c>
      <c r="S16" s="28">
        <f t="shared" si="12"/>
        <v>-6.2484401974492662E-2</v>
      </c>
      <c r="T16" s="28">
        <f t="shared" si="7"/>
        <v>-2.050893390289835E-2</v>
      </c>
      <c r="U16" s="28">
        <f t="shared" si="8"/>
        <v>-6.6963807401375711E-2</v>
      </c>
      <c r="V16" s="28">
        <f t="shared" si="9"/>
        <v>-4.0799967113376634E-2</v>
      </c>
      <c r="W16" s="28">
        <f t="shared" si="10"/>
        <v>-1.6495512250343656E-2</v>
      </c>
      <c r="X16" s="28">
        <f t="shared" si="11"/>
        <v>-0.16765378920446897</v>
      </c>
    </row>
    <row r="17" spans="1:24" x14ac:dyDescent="0.25">
      <c r="A17" s="5" t="s">
        <v>16</v>
      </c>
      <c r="B17" s="2">
        <v>2394</v>
      </c>
      <c r="C17" s="2">
        <v>2756</v>
      </c>
      <c r="D17" s="2">
        <v>2376</v>
      </c>
      <c r="E17" s="2">
        <v>2100</v>
      </c>
      <c r="F17" s="2">
        <v>1337</v>
      </c>
      <c r="G17" s="2">
        <v>1573</v>
      </c>
      <c r="H17" s="2">
        <v>1617</v>
      </c>
      <c r="I17" s="2">
        <v>1498</v>
      </c>
      <c r="K17" s="28">
        <f t="shared" si="0"/>
        <v>2.644923933578602E-2</v>
      </c>
      <c r="L17" s="28">
        <f t="shared" si="1"/>
        <v>2.9509390324860271E-2</v>
      </c>
      <c r="M17" s="28">
        <f t="shared" si="2"/>
        <v>2.3800460783331662E-2</v>
      </c>
      <c r="N17" s="28">
        <f t="shared" si="3"/>
        <v>2.0699852143913258E-2</v>
      </c>
      <c r="O17" s="28">
        <f t="shared" si="4"/>
        <v>1.2922743835841525E-2</v>
      </c>
      <c r="P17" s="28">
        <f t="shared" si="5"/>
        <v>1.309829130999567E-2</v>
      </c>
      <c r="R17" s="28">
        <f t="shared" si="6"/>
        <v>8.7624757141983964E-2</v>
      </c>
      <c r="S17" s="28">
        <f t="shared" si="12"/>
        <v>0.11613205818897629</v>
      </c>
      <c r="T17" s="28">
        <f t="shared" si="7"/>
        <v>-0.13134978229317851</v>
      </c>
      <c r="U17" s="28">
        <f t="shared" si="8"/>
        <v>0.15993265993265993</v>
      </c>
      <c r="V17" s="28">
        <f t="shared" si="9"/>
        <v>0.13142857142857142</v>
      </c>
      <c r="W17" s="28">
        <f t="shared" si="10"/>
        <v>0.5706806282722513</v>
      </c>
      <c r="X17" s="28">
        <f t="shared" si="11"/>
        <v>-0.15003178639542275</v>
      </c>
    </row>
    <row r="18" spans="1:24" ht="15.75" thickBot="1" x14ac:dyDescent="0.3">
      <c r="A18" s="2" t="s">
        <v>17</v>
      </c>
      <c r="B18" s="9">
        <f>SUM(B13:B17)</f>
        <v>90513</v>
      </c>
      <c r="C18" s="9">
        <f t="shared" ref="C18:I18" si="14">SUM(C13:C17)</f>
        <v>93394</v>
      </c>
      <c r="D18" s="9">
        <f t="shared" si="14"/>
        <v>99830</v>
      </c>
      <c r="E18" s="9">
        <f t="shared" si="14"/>
        <v>101450</v>
      </c>
      <c r="F18" s="9">
        <f t="shared" si="14"/>
        <v>103461</v>
      </c>
      <c r="G18" s="9">
        <f t="shared" si="14"/>
        <v>120092</v>
      </c>
      <c r="H18" s="9">
        <f t="shared" si="14"/>
        <v>120480</v>
      </c>
      <c r="I18" s="9">
        <f t="shared" si="14"/>
        <v>122973</v>
      </c>
      <c r="K18" s="32">
        <f t="shared" si="0"/>
        <v>1</v>
      </c>
      <c r="L18" s="32">
        <f t="shared" si="1"/>
        <v>1</v>
      </c>
      <c r="M18" s="32">
        <f t="shared" si="2"/>
        <v>1</v>
      </c>
      <c r="N18" s="32">
        <f t="shared" si="3"/>
        <v>1</v>
      </c>
      <c r="O18" s="32">
        <f t="shared" si="4"/>
        <v>1</v>
      </c>
      <c r="P18" s="32">
        <f t="shared" si="5"/>
        <v>1</v>
      </c>
      <c r="Q18" s="11"/>
      <c r="R18" s="32">
        <f t="shared" si="6"/>
        <v>-5.4983532564241197E-2</v>
      </c>
      <c r="S18" s="32">
        <f t="shared" si="12"/>
        <v>-5.3841726418039616E-2</v>
      </c>
      <c r="T18" s="32">
        <f t="shared" si="7"/>
        <v>-3.084780606891235E-2</v>
      </c>
      <c r="U18" s="32">
        <f t="shared" si="8"/>
        <v>-6.4469598317139137E-2</v>
      </c>
      <c r="V18" s="32">
        <f t="shared" si="9"/>
        <v>-1.5968457368161656E-2</v>
      </c>
      <c r="W18" s="32">
        <f t="shared" si="10"/>
        <v>-1.9437275881733215E-2</v>
      </c>
      <c r="X18" s="32">
        <f t="shared" si="11"/>
        <v>-0.13848549445425173</v>
      </c>
    </row>
    <row r="19" spans="1:24" ht="15.75" thickTop="1" x14ac:dyDescent="0.25">
      <c r="A19" s="2" t="s">
        <v>18</v>
      </c>
    </row>
    <row r="20" spans="1:24" x14ac:dyDescent="0.25">
      <c r="A20" s="5" t="s">
        <v>19</v>
      </c>
      <c r="B20" s="8">
        <v>6</v>
      </c>
      <c r="C20" s="8">
        <v>14</v>
      </c>
      <c r="D20" s="8">
        <v>6</v>
      </c>
      <c r="E20" s="8">
        <v>6</v>
      </c>
      <c r="F20" s="8">
        <v>21</v>
      </c>
      <c r="G20" s="8">
        <v>462</v>
      </c>
      <c r="H20" s="8"/>
      <c r="I20" s="8"/>
      <c r="K20" s="28">
        <f t="shared" ref="K20:K44" si="15">+B20/B$18</f>
        <v>6.6288820390441154E-5</v>
      </c>
      <c r="L20" s="28">
        <f t="shared" ref="L20:L44" si="16">+C20/C$18</f>
        <v>1.4990256333383302E-4</v>
      </c>
      <c r="M20" s="28">
        <f t="shared" ref="M20:M44" si="17">+D20/D$18</f>
        <v>6.0102173695281982E-5</v>
      </c>
      <c r="N20" s="28">
        <f t="shared" ref="N20:N44" si="18">+E20/E$18</f>
        <v>5.914243469689502E-5</v>
      </c>
      <c r="O20" s="28">
        <f t="shared" ref="O20:O44" si="19">+F20/F$18</f>
        <v>2.0297503407080928E-4</v>
      </c>
      <c r="P20" s="28">
        <f t="shared" ref="P20:P44" si="20">+G20/G$18</f>
        <v>3.8470505945441828E-3</v>
      </c>
      <c r="R20" s="28">
        <f t="shared" ref="R20:R44" si="21">RATE(5,0,-G20,B20)</f>
        <v>-0.58052908347039545</v>
      </c>
      <c r="S20" s="28">
        <f t="shared" ref="S20:S44" si="22">AVERAGE(T20:X20)</f>
        <v>-0.1813852813852814</v>
      </c>
      <c r="T20" s="28">
        <f t="shared" ref="T20:T44" si="23">(+B20-C20)/C20</f>
        <v>-0.5714285714285714</v>
      </c>
      <c r="U20" s="28">
        <f t="shared" ref="U20:U44" si="24">(+C20-D20)/D20</f>
        <v>1.3333333333333333</v>
      </c>
      <c r="V20" s="28">
        <f t="shared" ref="V20:V44" si="25">(+D20-E20)/E20</f>
        <v>0</v>
      </c>
      <c r="W20" s="28">
        <f t="shared" ref="W20:W44" si="26">(+E20-F20)/F20</f>
        <v>-0.7142857142857143</v>
      </c>
      <c r="X20" s="28">
        <f t="shared" ref="X20:X44" si="27">(+F20-G20)/G20</f>
        <v>-0.95454545454545459</v>
      </c>
    </row>
    <row r="21" spans="1:24" x14ac:dyDescent="0.25">
      <c r="A21" s="5" t="s">
        <v>20</v>
      </c>
      <c r="B21" s="2">
        <v>831</v>
      </c>
      <c r="C21" s="2">
        <v>740</v>
      </c>
      <c r="D21" s="2">
        <v>230</v>
      </c>
      <c r="E21" s="2">
        <v>1022</v>
      </c>
      <c r="F21" s="2">
        <v>377</v>
      </c>
      <c r="G21" s="2">
        <v>2733</v>
      </c>
      <c r="K21" s="28">
        <f t="shared" si="15"/>
        <v>9.1810016240760992E-3</v>
      </c>
      <c r="L21" s="28">
        <f t="shared" si="16"/>
        <v>7.9234212047883164E-3</v>
      </c>
      <c r="M21" s="28">
        <f t="shared" si="17"/>
        <v>2.3039166583191427E-3</v>
      </c>
      <c r="N21" s="28">
        <f t="shared" si="18"/>
        <v>1.0073928043371119E-2</v>
      </c>
      <c r="O21" s="28">
        <f t="shared" si="19"/>
        <v>3.6438851354616717E-3</v>
      </c>
      <c r="P21" s="28">
        <f t="shared" si="20"/>
        <v>2.2757552543050327E-2</v>
      </c>
      <c r="R21" s="28">
        <f t="shared" si="21"/>
        <v>-0.21188012748640178</v>
      </c>
      <c r="S21" s="28">
        <f t="shared" si="22"/>
        <v>0.48284643684593676</v>
      </c>
      <c r="T21" s="28">
        <f t="shared" si="23"/>
        <v>0.12297297297297298</v>
      </c>
      <c r="U21" s="28">
        <f t="shared" si="24"/>
        <v>2.2173913043478262</v>
      </c>
      <c r="V21" s="28">
        <f t="shared" si="25"/>
        <v>-0.77495107632093929</v>
      </c>
      <c r="W21" s="28">
        <f t="shared" si="26"/>
        <v>1.7108753315649867</v>
      </c>
      <c r="X21" s="28">
        <f t="shared" si="27"/>
        <v>-0.86205634833516287</v>
      </c>
    </row>
    <row r="22" spans="1:24" x14ac:dyDescent="0.25">
      <c r="A22" s="5" t="s">
        <v>21</v>
      </c>
      <c r="B22" s="2">
        <v>4848</v>
      </c>
      <c r="C22" s="2">
        <v>4753</v>
      </c>
      <c r="D22" s="2">
        <v>4304</v>
      </c>
      <c r="E22" s="2">
        <v>4003</v>
      </c>
      <c r="F22" s="2">
        <v>4153</v>
      </c>
      <c r="G22" s="2">
        <v>4362</v>
      </c>
      <c r="K22" s="28">
        <f t="shared" si="15"/>
        <v>5.3561366875476454E-2</v>
      </c>
      <c r="L22" s="28">
        <f t="shared" si="16"/>
        <v>5.0891920251836309E-2</v>
      </c>
      <c r="M22" s="28">
        <f t="shared" si="17"/>
        <v>4.3113292597415608E-2</v>
      </c>
      <c r="N22" s="28">
        <f t="shared" si="18"/>
        <v>3.9457861015278463E-2</v>
      </c>
      <c r="O22" s="28">
        <f t="shared" si="19"/>
        <v>4.0140729356955764E-2</v>
      </c>
      <c r="P22" s="28">
        <f t="shared" si="20"/>
        <v>3.6322153016021048E-2</v>
      </c>
      <c r="R22" s="28">
        <f t="shared" si="21"/>
        <v>2.1351873752623592E-2</v>
      </c>
      <c r="S22" s="28">
        <f t="shared" si="22"/>
        <v>2.3094054588581041E-2</v>
      </c>
      <c r="T22" s="28">
        <f t="shared" si="23"/>
        <v>1.9987376393856511E-2</v>
      </c>
      <c r="U22" s="28">
        <f t="shared" si="24"/>
        <v>0.10432156133828996</v>
      </c>
      <c r="V22" s="28">
        <f t="shared" si="25"/>
        <v>7.5193604796402705E-2</v>
      </c>
      <c r="W22" s="28">
        <f t="shared" si="26"/>
        <v>-3.6118468576932336E-2</v>
      </c>
      <c r="X22" s="28">
        <f t="shared" si="27"/>
        <v>-4.79138010087116E-2</v>
      </c>
    </row>
    <row r="23" spans="1:24" x14ac:dyDescent="0.25">
      <c r="A23" s="5" t="s">
        <v>26</v>
      </c>
      <c r="B23" s="2">
        <v>749</v>
      </c>
      <c r="C23" s="2">
        <v>804</v>
      </c>
      <c r="D23" s="2">
        <v>946</v>
      </c>
      <c r="E23" s="2">
        <v>647</v>
      </c>
      <c r="F23" s="2">
        <v>722</v>
      </c>
      <c r="G23" s="2">
        <v>689</v>
      </c>
      <c r="K23" s="28">
        <f t="shared" si="15"/>
        <v>8.2750544120734036E-3</v>
      </c>
      <c r="L23" s="28">
        <f t="shared" si="16"/>
        <v>8.6086900657429809E-3</v>
      </c>
      <c r="M23" s="28">
        <f t="shared" si="17"/>
        <v>9.4761093859561246E-3</v>
      </c>
      <c r="N23" s="28">
        <f t="shared" si="18"/>
        <v>6.3775258748151797E-3</v>
      </c>
      <c r="O23" s="28">
        <f t="shared" si="19"/>
        <v>6.9784749809106809E-3</v>
      </c>
      <c r="P23" s="28">
        <f t="shared" si="20"/>
        <v>5.7372680944609133E-3</v>
      </c>
      <c r="R23" s="28">
        <f t="shared" si="21"/>
        <v>1.6839759291933765E-2</v>
      </c>
      <c r="S23" s="28">
        <f t="shared" si="22"/>
        <v>3.7527327422520657E-2</v>
      </c>
      <c r="T23" s="28">
        <f t="shared" si="23"/>
        <v>-6.8407960199004969E-2</v>
      </c>
      <c r="U23" s="28">
        <f t="shared" si="24"/>
        <v>-0.15010570824524314</v>
      </c>
      <c r="V23" s="28">
        <f t="shared" si="25"/>
        <v>0.46213292117465227</v>
      </c>
      <c r="W23" s="28">
        <f t="shared" si="26"/>
        <v>-0.1038781163434903</v>
      </c>
      <c r="X23" s="28">
        <f t="shared" si="27"/>
        <v>4.7895500725689405E-2</v>
      </c>
    </row>
    <row r="24" spans="1:24" x14ac:dyDescent="0.25">
      <c r="A24" s="5" t="s">
        <v>22</v>
      </c>
      <c r="B24" s="2">
        <v>264</v>
      </c>
      <c r="C24" s="2">
        <v>268</v>
      </c>
      <c r="D24" s="2">
        <v>358</v>
      </c>
      <c r="E24" s="2">
        <v>384</v>
      </c>
      <c r="F24" s="2">
        <v>408</v>
      </c>
      <c r="G24" s="2">
        <v>419</v>
      </c>
      <c r="K24" s="28">
        <f t="shared" si="15"/>
        <v>2.9167080971794108E-3</v>
      </c>
      <c r="L24" s="28">
        <f t="shared" si="16"/>
        <v>2.8695633552476606E-3</v>
      </c>
      <c r="M24" s="28">
        <f t="shared" si="17"/>
        <v>3.5860963638184914E-3</v>
      </c>
      <c r="N24" s="28">
        <f t="shared" si="18"/>
        <v>3.7851158206012813E-3</v>
      </c>
      <c r="O24" s="28">
        <f t="shared" si="19"/>
        <v>3.9435149476614376E-3</v>
      </c>
      <c r="P24" s="28">
        <f t="shared" si="20"/>
        <v>3.4889917729740531E-3</v>
      </c>
      <c r="R24" s="28">
        <f t="shared" si="21"/>
        <v>-8.8245362884069409E-2</v>
      </c>
      <c r="S24" s="28">
        <f t="shared" si="22"/>
        <v>-8.3821373443535047E-2</v>
      </c>
      <c r="T24" s="28">
        <f t="shared" si="23"/>
        <v>-1.4925373134328358E-2</v>
      </c>
      <c r="U24" s="28">
        <f t="shared" si="24"/>
        <v>-0.25139664804469275</v>
      </c>
      <c r="V24" s="28">
        <f t="shared" si="25"/>
        <v>-6.7708333333333329E-2</v>
      </c>
      <c r="W24" s="28">
        <f t="shared" si="26"/>
        <v>-5.8823529411764705E-2</v>
      </c>
      <c r="X24" s="28">
        <f t="shared" si="27"/>
        <v>-2.6252983293556086E-2</v>
      </c>
    </row>
    <row r="25" spans="1:24" x14ac:dyDescent="0.25">
      <c r="A25" s="5" t="s">
        <v>23</v>
      </c>
      <c r="B25" s="2">
        <v>136</v>
      </c>
      <c r="C25" s="2">
        <v>541</v>
      </c>
      <c r="D25" s="2">
        <v>0</v>
      </c>
      <c r="E25" s="2">
        <v>0</v>
      </c>
      <c r="F25" s="2">
        <v>0</v>
      </c>
      <c r="G25" s="2">
        <v>0</v>
      </c>
      <c r="K25" s="28">
        <f t="shared" si="15"/>
        <v>1.5025465955166661E-3</v>
      </c>
      <c r="L25" s="28">
        <f t="shared" si="16"/>
        <v>5.7926633402574038E-3</v>
      </c>
      <c r="M25" s="28">
        <f t="shared" si="17"/>
        <v>0</v>
      </c>
      <c r="N25" s="28">
        <f t="shared" si="18"/>
        <v>0</v>
      </c>
      <c r="O25" s="28">
        <f t="shared" si="19"/>
        <v>0</v>
      </c>
      <c r="P25" s="28">
        <f t="shared" si="20"/>
        <v>0</v>
      </c>
      <c r="R25" s="28" t="e">
        <f t="shared" si="21"/>
        <v>#NUM!</v>
      </c>
      <c r="S25" s="28" t="e">
        <f t="shared" si="22"/>
        <v>#DIV/0!</v>
      </c>
      <c r="T25" s="28">
        <f t="shared" si="23"/>
        <v>-0.74861367837338266</v>
      </c>
      <c r="U25" s="28" t="e">
        <f t="shared" si="24"/>
        <v>#DIV/0!</v>
      </c>
      <c r="V25" s="28" t="e">
        <f t="shared" si="25"/>
        <v>#DIV/0!</v>
      </c>
      <c r="W25" s="28" t="e">
        <f t="shared" si="26"/>
        <v>#DIV/0!</v>
      </c>
      <c r="X25" s="28" t="e">
        <f t="shared" si="27"/>
        <v>#DIV/0!</v>
      </c>
    </row>
    <row r="26" spans="1:24" x14ac:dyDescent="0.25">
      <c r="A26" s="5" t="s">
        <v>118</v>
      </c>
      <c r="B26" s="2">
        <v>0</v>
      </c>
      <c r="C26" s="2">
        <v>0</v>
      </c>
      <c r="D26" s="2">
        <v>17</v>
      </c>
      <c r="E26" s="2">
        <v>9</v>
      </c>
      <c r="F26" s="2">
        <v>55</v>
      </c>
      <c r="G26" s="2">
        <v>0</v>
      </c>
      <c r="K26" s="28">
        <f t="shared" si="15"/>
        <v>0</v>
      </c>
      <c r="L26" s="28">
        <f t="shared" si="16"/>
        <v>0</v>
      </c>
      <c r="M26" s="28">
        <f t="shared" si="17"/>
        <v>1.7028949213663226E-4</v>
      </c>
      <c r="N26" s="28">
        <f t="shared" si="18"/>
        <v>8.8713652045342527E-5</v>
      </c>
      <c r="O26" s="28">
        <f t="shared" si="19"/>
        <v>5.3160127970926241E-4</v>
      </c>
      <c r="P26" s="28">
        <f t="shared" si="20"/>
        <v>0</v>
      </c>
      <c r="R26" s="28" t="e">
        <f t="shared" si="21"/>
        <v>#NUM!</v>
      </c>
      <c r="S26" s="28" t="e">
        <f t="shared" si="22"/>
        <v>#DIV/0!</v>
      </c>
      <c r="T26" s="28" t="e">
        <f t="shared" si="23"/>
        <v>#DIV/0!</v>
      </c>
      <c r="U26" s="28">
        <f t="shared" si="24"/>
        <v>-1</v>
      </c>
      <c r="V26" s="28">
        <f t="shared" si="25"/>
        <v>0.88888888888888884</v>
      </c>
      <c r="W26" s="28">
        <f t="shared" si="26"/>
        <v>-0.83636363636363631</v>
      </c>
      <c r="X26" s="28" t="e">
        <f t="shared" si="27"/>
        <v>#DIV/0!</v>
      </c>
    </row>
    <row r="27" spans="1:24" x14ac:dyDescent="0.25">
      <c r="A27" s="5" t="s">
        <v>24</v>
      </c>
      <c r="B27" s="2">
        <v>2194</v>
      </c>
      <c r="C27" s="2">
        <v>1944</v>
      </c>
      <c r="D27" s="2">
        <v>2200</v>
      </c>
      <c r="E27" s="2">
        <v>1804</v>
      </c>
      <c r="F27" s="2">
        <v>1767</v>
      </c>
      <c r="G27" s="2">
        <v>1489</v>
      </c>
      <c r="K27" s="30">
        <f t="shared" si="15"/>
        <v>2.4239611989437981E-2</v>
      </c>
      <c r="L27" s="30">
        <f t="shared" si="16"/>
        <v>2.0815041651497956E-2</v>
      </c>
      <c r="M27" s="30">
        <f t="shared" si="17"/>
        <v>2.2037463688270059E-2</v>
      </c>
      <c r="N27" s="30">
        <f t="shared" si="18"/>
        <v>1.7782158698866436E-2</v>
      </c>
      <c r="O27" s="30">
        <f t="shared" si="19"/>
        <v>1.7078899295386668E-2</v>
      </c>
      <c r="P27" s="30">
        <f t="shared" si="20"/>
        <v>1.2398827565533092E-2</v>
      </c>
      <c r="Q27" s="31"/>
      <c r="R27" s="30">
        <f t="shared" si="21"/>
        <v>8.0608514301309969E-2</v>
      </c>
      <c r="S27" s="30">
        <f t="shared" si="22"/>
        <v>8.7878262416086469E-2</v>
      </c>
      <c r="T27" s="30">
        <f t="shared" si="23"/>
        <v>0.12860082304526749</v>
      </c>
      <c r="U27" s="30">
        <f t="shared" si="24"/>
        <v>-0.11636363636363636</v>
      </c>
      <c r="V27" s="30">
        <f t="shared" si="25"/>
        <v>0.21951219512195122</v>
      </c>
      <c r="W27" s="30">
        <f t="shared" si="26"/>
        <v>2.0939445387662705E-2</v>
      </c>
      <c r="X27" s="30">
        <f t="shared" si="27"/>
        <v>0.18670248488918736</v>
      </c>
    </row>
    <row r="28" spans="1:24" x14ac:dyDescent="0.25">
      <c r="A28" s="2" t="s">
        <v>25</v>
      </c>
      <c r="B28" s="6">
        <f>SUM(B20:B27)</f>
        <v>9028</v>
      </c>
      <c r="C28" s="6">
        <f t="shared" ref="C28:G28" si="28">SUM(C20:C27)</f>
        <v>9064</v>
      </c>
      <c r="D28" s="6">
        <f t="shared" si="28"/>
        <v>8061</v>
      </c>
      <c r="E28" s="6">
        <f t="shared" si="28"/>
        <v>7875</v>
      </c>
      <c r="F28" s="6">
        <f t="shared" si="28"/>
        <v>7503</v>
      </c>
      <c r="G28" s="6">
        <f t="shared" si="28"/>
        <v>10154</v>
      </c>
      <c r="H28" s="34">
        <v>9501</v>
      </c>
      <c r="I28" s="34">
        <v>6932</v>
      </c>
      <c r="K28" s="28">
        <f t="shared" si="15"/>
        <v>9.9742578414150448E-2</v>
      </c>
      <c r="L28" s="28">
        <f t="shared" si="16"/>
        <v>9.7051202432704459E-2</v>
      </c>
      <c r="M28" s="28">
        <f t="shared" si="17"/>
        <v>8.0747270359611337E-2</v>
      </c>
      <c r="N28" s="28">
        <f t="shared" si="18"/>
        <v>7.7624445539674722E-2</v>
      </c>
      <c r="O28" s="28">
        <f t="shared" si="19"/>
        <v>7.2520080030156295E-2</v>
      </c>
      <c r="P28" s="28">
        <f t="shared" si="20"/>
        <v>8.4551843586583617E-2</v>
      </c>
      <c r="R28" s="28">
        <f t="shared" si="21"/>
        <v>-2.3233225607619739E-2</v>
      </c>
      <c r="S28" s="28">
        <f t="shared" si="22"/>
        <v>-1.3485133717464421E-2</v>
      </c>
      <c r="T28" s="28">
        <f t="shared" si="23"/>
        <v>-3.9717563989408646E-3</v>
      </c>
      <c r="U28" s="28">
        <f t="shared" si="24"/>
        <v>0.12442624984493239</v>
      </c>
      <c r="V28" s="28">
        <f t="shared" si="25"/>
        <v>2.3619047619047619E-2</v>
      </c>
      <c r="W28" s="28">
        <f t="shared" si="26"/>
        <v>4.9580167932826873E-2</v>
      </c>
      <c r="X28" s="28">
        <f t="shared" si="27"/>
        <v>-0.26107937758518812</v>
      </c>
    </row>
    <row r="29" spans="1:24" x14ac:dyDescent="0.25">
      <c r="A29" s="5" t="s">
        <v>27</v>
      </c>
      <c r="B29" s="2">
        <v>19233</v>
      </c>
      <c r="C29" s="2">
        <v>21061</v>
      </c>
      <c r="D29" s="2">
        <v>28070</v>
      </c>
      <c r="E29" s="2">
        <v>28216</v>
      </c>
      <c r="F29" s="2">
        <v>30770</v>
      </c>
      <c r="G29" s="2">
        <v>28308</v>
      </c>
      <c r="H29" s="2">
        <v>29713</v>
      </c>
      <c r="I29" s="2">
        <v>25151</v>
      </c>
      <c r="K29" s="28">
        <f t="shared" si="15"/>
        <v>0.21248881376155912</v>
      </c>
      <c r="L29" s="28">
        <f t="shared" si="16"/>
        <v>0.22550699188384693</v>
      </c>
      <c r="M29" s="28">
        <f t="shared" si="17"/>
        <v>0.28117800260442755</v>
      </c>
      <c r="N29" s="28">
        <f t="shared" si="18"/>
        <v>0.27812715623459833</v>
      </c>
      <c r="O29" s="28">
        <f t="shared" si="19"/>
        <v>0.29740675230280011</v>
      </c>
      <c r="P29" s="28">
        <f t="shared" si="20"/>
        <v>0.23571928188388902</v>
      </c>
      <c r="R29" s="28">
        <f t="shared" si="21"/>
        <v>-7.4390999611951406E-2</v>
      </c>
      <c r="S29" s="28">
        <f t="shared" si="22"/>
        <v>-6.7539619547069094E-2</v>
      </c>
      <c r="T29" s="28">
        <f t="shared" si="23"/>
        <v>-8.6795498789231276E-2</v>
      </c>
      <c r="U29" s="28">
        <f t="shared" si="24"/>
        <v>-0.24969718560741005</v>
      </c>
      <c r="V29" s="28">
        <f t="shared" si="25"/>
        <v>-5.1743691522540399E-3</v>
      </c>
      <c r="W29" s="28">
        <f t="shared" si="26"/>
        <v>-8.3002924926876831E-2</v>
      </c>
      <c r="X29" s="28">
        <f t="shared" si="27"/>
        <v>8.6971880740426735E-2</v>
      </c>
    </row>
    <row r="30" spans="1:24" x14ac:dyDescent="0.25">
      <c r="A30" s="5" t="s">
        <v>28</v>
      </c>
      <c r="B30" s="2">
        <v>10152</v>
      </c>
      <c r="C30" s="2">
        <v>10536</v>
      </c>
      <c r="D30" s="2">
        <v>11462</v>
      </c>
      <c r="E30" s="2">
        <v>11878</v>
      </c>
      <c r="F30" s="2">
        <v>12202</v>
      </c>
      <c r="G30" s="2">
        <v>14039</v>
      </c>
      <c r="H30" s="2">
        <v>20848</v>
      </c>
      <c r="I30" s="2">
        <v>21497</v>
      </c>
      <c r="K30" s="28">
        <f t="shared" si="15"/>
        <v>0.11216068410062643</v>
      </c>
      <c r="L30" s="28">
        <f t="shared" si="16"/>
        <v>0.11281238623466175</v>
      </c>
      <c r="M30" s="28">
        <f t="shared" si="17"/>
        <v>0.11481518581588701</v>
      </c>
      <c r="N30" s="28">
        <f t="shared" si="18"/>
        <v>0.11708230655495318</v>
      </c>
      <c r="O30" s="28">
        <f t="shared" si="19"/>
        <v>0.11793816027295309</v>
      </c>
      <c r="P30" s="28">
        <f t="shared" si="20"/>
        <v>0.11690204176797789</v>
      </c>
      <c r="R30" s="28">
        <f t="shared" si="21"/>
        <v>-6.2776678206707098E-2</v>
      </c>
      <c r="S30" s="28">
        <f t="shared" si="22"/>
        <v>-6.1932138628004139E-2</v>
      </c>
      <c r="T30" s="28">
        <f t="shared" si="23"/>
        <v>-3.644646924829157E-2</v>
      </c>
      <c r="U30" s="28">
        <f t="shared" si="24"/>
        <v>-8.0788693072762166E-2</v>
      </c>
      <c r="V30" s="28">
        <f t="shared" si="25"/>
        <v>-3.5022731099511699E-2</v>
      </c>
      <c r="W30" s="28">
        <f t="shared" si="26"/>
        <v>-2.6553024094410752E-2</v>
      </c>
      <c r="X30" s="28">
        <f t="shared" si="27"/>
        <v>-0.13084977562504452</v>
      </c>
    </row>
    <row r="31" spans="1:24" x14ac:dyDescent="0.25">
      <c r="A31" s="5" t="s">
        <v>119</v>
      </c>
      <c r="B31" s="2">
        <v>144</v>
      </c>
      <c r="C31" s="2">
        <v>205</v>
      </c>
      <c r="D31" s="2">
        <v>243</v>
      </c>
      <c r="E31" s="2">
        <v>273</v>
      </c>
      <c r="F31" s="2">
        <v>306</v>
      </c>
      <c r="G31" s="2">
        <v>427</v>
      </c>
      <c r="H31" s="2">
        <v>2038</v>
      </c>
      <c r="I31" s="2">
        <v>2405</v>
      </c>
      <c r="K31" s="28">
        <f t="shared" si="15"/>
        <v>1.5909316893705876E-3</v>
      </c>
      <c r="L31" s="28">
        <f t="shared" si="16"/>
        <v>2.1950018202454118E-3</v>
      </c>
      <c r="M31" s="28">
        <f t="shared" si="17"/>
        <v>2.43413803465892E-3</v>
      </c>
      <c r="N31" s="28">
        <f t="shared" si="18"/>
        <v>2.6909807787087233E-3</v>
      </c>
      <c r="O31" s="28">
        <f t="shared" si="19"/>
        <v>2.9576362107460782E-3</v>
      </c>
      <c r="P31" s="28">
        <f t="shared" si="20"/>
        <v>3.5556073676847751E-3</v>
      </c>
      <c r="R31" s="28">
        <f t="shared" si="21"/>
        <v>-0.19538722547686657</v>
      </c>
      <c r="S31" s="28">
        <f t="shared" si="22"/>
        <v>-0.19100903778347836</v>
      </c>
      <c r="T31" s="28">
        <f t="shared" si="23"/>
        <v>-0.29756097560975608</v>
      </c>
      <c r="U31" s="28">
        <f t="shared" si="24"/>
        <v>-0.15637860082304528</v>
      </c>
      <c r="V31" s="28">
        <f t="shared" si="25"/>
        <v>-0.10989010989010989</v>
      </c>
      <c r="W31" s="28">
        <f t="shared" si="26"/>
        <v>-0.10784313725490197</v>
      </c>
      <c r="X31" s="28">
        <f t="shared" si="27"/>
        <v>-0.28337236533957844</v>
      </c>
    </row>
    <row r="32" spans="1:24" x14ac:dyDescent="0.25">
      <c r="A32" s="5" t="s">
        <v>29</v>
      </c>
      <c r="B32" s="2">
        <v>1477</v>
      </c>
      <c r="C32" s="2">
        <v>1534</v>
      </c>
      <c r="D32" s="2">
        <v>0</v>
      </c>
      <c r="E32" s="2">
        <v>0</v>
      </c>
      <c r="F32" s="2">
        <v>0</v>
      </c>
      <c r="G32" s="2">
        <v>0</v>
      </c>
      <c r="H32" s="2">
        <v>0</v>
      </c>
      <c r="I32" s="2">
        <v>0</v>
      </c>
      <c r="K32" s="28">
        <f t="shared" si="15"/>
        <v>1.6318097952780265E-2</v>
      </c>
      <c r="L32" s="28">
        <f t="shared" si="16"/>
        <v>1.6425038011007132E-2</v>
      </c>
      <c r="M32" s="28">
        <f t="shared" si="17"/>
        <v>0</v>
      </c>
      <c r="N32" s="28">
        <f t="shared" si="18"/>
        <v>0</v>
      </c>
      <c r="O32" s="28">
        <f t="shared" si="19"/>
        <v>0</v>
      </c>
      <c r="P32" s="28">
        <f t="shared" si="20"/>
        <v>0</v>
      </c>
      <c r="R32" s="28" t="e">
        <f t="shared" si="21"/>
        <v>#NUM!</v>
      </c>
      <c r="S32" s="28" t="e">
        <f t="shared" si="22"/>
        <v>#DIV/0!</v>
      </c>
      <c r="T32" s="28">
        <f t="shared" si="23"/>
        <v>-3.7157757496740544E-2</v>
      </c>
      <c r="U32" s="28" t="e">
        <f t="shared" si="24"/>
        <v>#DIV/0!</v>
      </c>
      <c r="V32" s="28" t="e">
        <f t="shared" si="25"/>
        <v>#DIV/0!</v>
      </c>
      <c r="W32" s="28" t="e">
        <f t="shared" si="26"/>
        <v>#DIV/0!</v>
      </c>
      <c r="X32" s="28" t="e">
        <f t="shared" si="27"/>
        <v>#DIV/0!</v>
      </c>
    </row>
    <row r="33" spans="1:24" x14ac:dyDescent="0.25">
      <c r="A33" s="5" t="s">
        <v>30</v>
      </c>
      <c r="B33" s="2">
        <v>1609</v>
      </c>
      <c r="C33" s="2">
        <v>1542</v>
      </c>
      <c r="D33" s="2">
        <v>1751</v>
      </c>
      <c r="E33" s="2">
        <v>1459</v>
      </c>
      <c r="F33" s="2">
        <v>902</v>
      </c>
      <c r="G33" s="2">
        <v>1088</v>
      </c>
      <c r="H33" s="2">
        <v>806</v>
      </c>
      <c r="I33" s="2">
        <v>752</v>
      </c>
      <c r="K33" s="30">
        <f t="shared" si="15"/>
        <v>1.7776452001369968E-2</v>
      </c>
      <c r="L33" s="30">
        <f t="shared" si="16"/>
        <v>1.6510696618626464E-2</v>
      </c>
      <c r="M33" s="30">
        <f t="shared" si="17"/>
        <v>1.7539817690073123E-2</v>
      </c>
      <c r="N33" s="30">
        <f t="shared" si="18"/>
        <v>1.4381468703794973E-2</v>
      </c>
      <c r="O33" s="30">
        <f t="shared" si="19"/>
        <v>8.7182609872319041E-3</v>
      </c>
      <c r="P33" s="30">
        <f t="shared" si="20"/>
        <v>9.0597208806581613E-3</v>
      </c>
      <c r="Q33" s="31"/>
      <c r="R33" s="30">
        <f t="shared" si="21"/>
        <v>8.1397670613528067E-2</v>
      </c>
      <c r="S33" s="30">
        <f t="shared" si="22"/>
        <v>0.11415750537922809</v>
      </c>
      <c r="T33" s="30">
        <f t="shared" si="23"/>
        <v>4.3450064850843059E-2</v>
      </c>
      <c r="U33" s="30">
        <f t="shared" si="24"/>
        <v>-0.11936036550542548</v>
      </c>
      <c r="V33" s="30">
        <f t="shared" si="25"/>
        <v>0.20013708019191226</v>
      </c>
      <c r="W33" s="30">
        <f t="shared" si="26"/>
        <v>0.6175166297117517</v>
      </c>
      <c r="X33" s="30">
        <f t="shared" si="27"/>
        <v>-0.17095588235294118</v>
      </c>
    </row>
    <row r="34" spans="1:24" x14ac:dyDescent="0.25">
      <c r="A34" s="2" t="s">
        <v>31</v>
      </c>
      <c r="B34" s="6">
        <f>SUM(B28:B33)</f>
        <v>41643</v>
      </c>
      <c r="C34" s="6">
        <f t="shared" ref="C34:I34" si="29">SUM(C28:C33)</f>
        <v>43942</v>
      </c>
      <c r="D34" s="6">
        <f t="shared" si="29"/>
        <v>49587</v>
      </c>
      <c r="E34" s="6">
        <f t="shared" si="29"/>
        <v>49701</v>
      </c>
      <c r="F34" s="6">
        <f t="shared" si="29"/>
        <v>51683</v>
      </c>
      <c r="G34" s="6">
        <f t="shared" si="29"/>
        <v>54016</v>
      </c>
      <c r="H34" s="6">
        <f t="shared" si="29"/>
        <v>62906</v>
      </c>
      <c r="I34" s="6">
        <f t="shared" si="29"/>
        <v>56737</v>
      </c>
      <c r="K34" s="28">
        <f t="shared" si="15"/>
        <v>0.46007755791985683</v>
      </c>
      <c r="L34" s="28">
        <f t="shared" si="16"/>
        <v>0.47050131700109216</v>
      </c>
      <c r="M34" s="28">
        <f t="shared" si="17"/>
        <v>0.49671441450465792</v>
      </c>
      <c r="N34" s="28">
        <f t="shared" si="18"/>
        <v>0.48990635781172992</v>
      </c>
      <c r="O34" s="28">
        <f t="shared" si="19"/>
        <v>0.49954088980388744</v>
      </c>
      <c r="P34" s="28">
        <f t="shared" si="20"/>
        <v>0.44978849548679345</v>
      </c>
      <c r="R34" s="28">
        <f t="shared" si="21"/>
        <v>-5.0699045239239016E-2</v>
      </c>
      <c r="S34" s="28">
        <f t="shared" si="22"/>
        <v>-4.9998615364267002E-2</v>
      </c>
      <c r="T34" s="28">
        <f t="shared" si="23"/>
        <v>-5.231896590960812E-2</v>
      </c>
      <c r="U34" s="28">
        <f t="shared" si="24"/>
        <v>-0.1138403210518886</v>
      </c>
      <c r="V34" s="28">
        <f t="shared" si="25"/>
        <v>-2.2937164242168165E-3</v>
      </c>
      <c r="W34" s="28">
        <f t="shared" si="26"/>
        <v>-3.8349167037517173E-2</v>
      </c>
      <c r="X34" s="28">
        <f t="shared" si="27"/>
        <v>-4.3190906398104266E-2</v>
      </c>
    </row>
    <row r="35" spans="1:24" x14ac:dyDescent="0.25">
      <c r="A35" s="2" t="s">
        <v>32</v>
      </c>
      <c r="B35" s="2">
        <v>40</v>
      </c>
      <c r="C35" s="2">
        <v>4</v>
      </c>
      <c r="D35" s="2">
        <v>0</v>
      </c>
      <c r="E35" s="2">
        <v>0</v>
      </c>
      <c r="F35" s="2">
        <v>3</v>
      </c>
      <c r="G35" s="2">
        <v>6</v>
      </c>
      <c r="H35" s="2">
        <v>0</v>
      </c>
      <c r="I35" s="2">
        <v>23</v>
      </c>
      <c r="K35" s="28">
        <f t="shared" si="15"/>
        <v>4.4192546926960768E-4</v>
      </c>
      <c r="L35" s="28">
        <f t="shared" si="16"/>
        <v>4.2829303809666572E-5</v>
      </c>
      <c r="M35" s="28">
        <f t="shared" si="17"/>
        <v>0</v>
      </c>
      <c r="N35" s="28">
        <f t="shared" si="18"/>
        <v>0</v>
      </c>
      <c r="O35" s="28">
        <f t="shared" si="19"/>
        <v>2.8996433438687043E-5</v>
      </c>
      <c r="P35" s="28">
        <f t="shared" si="20"/>
        <v>4.9961696033041334E-5</v>
      </c>
      <c r="R35" s="28">
        <f t="shared" si="21"/>
        <v>0.46144255162042197</v>
      </c>
      <c r="S35" s="28" t="e">
        <f t="shared" si="22"/>
        <v>#DIV/0!</v>
      </c>
      <c r="T35" s="28">
        <f t="shared" si="23"/>
        <v>9</v>
      </c>
      <c r="U35" s="28" t="e">
        <f t="shared" si="24"/>
        <v>#DIV/0!</v>
      </c>
      <c r="V35" s="28" t="e">
        <f t="shared" si="25"/>
        <v>#DIV/0!</v>
      </c>
      <c r="W35" s="28">
        <f t="shared" si="26"/>
        <v>-1</v>
      </c>
      <c r="X35" s="28">
        <f t="shared" si="27"/>
        <v>-0.5</v>
      </c>
    </row>
    <row r="36" spans="1:24" x14ac:dyDescent="0.25">
      <c r="A36" s="2" t="s">
        <v>249</v>
      </c>
      <c r="B36" s="2">
        <v>0</v>
      </c>
      <c r="C36" s="2">
        <v>0</v>
      </c>
      <c r="D36" s="2">
        <v>0</v>
      </c>
      <c r="E36" s="2">
        <v>0</v>
      </c>
      <c r="F36" s="2">
        <v>0</v>
      </c>
      <c r="G36" s="2">
        <v>0</v>
      </c>
      <c r="H36" s="2">
        <v>0</v>
      </c>
      <c r="I36" s="2">
        <v>8320</v>
      </c>
      <c r="K36" s="28">
        <f t="shared" si="15"/>
        <v>0</v>
      </c>
      <c r="L36" s="28">
        <f t="shared" si="16"/>
        <v>0</v>
      </c>
      <c r="M36" s="28">
        <f t="shared" si="17"/>
        <v>0</v>
      </c>
      <c r="N36" s="28">
        <f t="shared" si="18"/>
        <v>0</v>
      </c>
      <c r="O36" s="28">
        <f t="shared" si="19"/>
        <v>0</v>
      </c>
      <c r="P36" s="28">
        <f t="shared" si="20"/>
        <v>0</v>
      </c>
      <c r="R36" s="28" t="e">
        <f t="shared" si="21"/>
        <v>#NUM!</v>
      </c>
      <c r="S36" s="28" t="e">
        <f t="shared" si="22"/>
        <v>#DIV/0!</v>
      </c>
      <c r="T36" s="28" t="e">
        <f t="shared" si="23"/>
        <v>#DIV/0!</v>
      </c>
      <c r="U36" s="28" t="e">
        <f t="shared" si="24"/>
        <v>#DIV/0!</v>
      </c>
      <c r="V36" s="28" t="e">
        <f t="shared" si="25"/>
        <v>#DIV/0!</v>
      </c>
      <c r="W36" s="28" t="e">
        <f t="shared" si="26"/>
        <v>#DIV/0!</v>
      </c>
      <c r="X36" s="28" t="e">
        <f t="shared" si="27"/>
        <v>#DIV/0!</v>
      </c>
    </row>
    <row r="37" spans="1:24" x14ac:dyDescent="0.25">
      <c r="A37" s="5" t="s">
        <v>33</v>
      </c>
      <c r="B37" s="2">
        <v>12</v>
      </c>
      <c r="C37" s="2">
        <v>12</v>
      </c>
      <c r="D37" s="2">
        <v>12</v>
      </c>
      <c r="E37" s="2">
        <v>12</v>
      </c>
      <c r="F37" s="2">
        <v>12</v>
      </c>
      <c r="G37" s="2">
        <v>12</v>
      </c>
      <c r="H37" s="2">
        <v>12</v>
      </c>
      <c r="I37" s="2">
        <v>12</v>
      </c>
      <c r="K37" s="28">
        <f t="shared" si="15"/>
        <v>1.3257764078088231E-4</v>
      </c>
      <c r="L37" s="28">
        <f t="shared" si="16"/>
        <v>1.2848791142899973E-4</v>
      </c>
      <c r="M37" s="28">
        <f t="shared" si="17"/>
        <v>1.2020434739056396E-4</v>
      </c>
      <c r="N37" s="28">
        <f t="shared" si="18"/>
        <v>1.1828486939379004E-4</v>
      </c>
      <c r="O37" s="28">
        <f t="shared" si="19"/>
        <v>1.1598573375474817E-4</v>
      </c>
      <c r="P37" s="28">
        <f t="shared" si="20"/>
        <v>9.9923392066082669E-5</v>
      </c>
      <c r="R37" s="28">
        <f t="shared" si="21"/>
        <v>1.1505115232739206E-16</v>
      </c>
      <c r="S37" s="28">
        <f t="shared" si="22"/>
        <v>0</v>
      </c>
      <c r="T37" s="28">
        <f t="shared" si="23"/>
        <v>0</v>
      </c>
      <c r="U37" s="28">
        <f t="shared" si="24"/>
        <v>0</v>
      </c>
      <c r="V37" s="28">
        <f t="shared" si="25"/>
        <v>0</v>
      </c>
      <c r="W37" s="28">
        <f t="shared" si="26"/>
        <v>0</v>
      </c>
      <c r="X37" s="28">
        <f t="shared" si="27"/>
        <v>0</v>
      </c>
    </row>
    <row r="38" spans="1:24" x14ac:dyDescent="0.25">
      <c r="A38" s="5" t="s">
        <v>34</v>
      </c>
      <c r="B38" s="2">
        <v>51834</v>
      </c>
      <c r="C38" s="2">
        <v>53379</v>
      </c>
      <c r="D38" s="2">
        <v>55096</v>
      </c>
      <c r="E38" s="2">
        <v>56828</v>
      </c>
      <c r="F38" s="2">
        <v>58723</v>
      </c>
      <c r="G38" s="2">
        <v>58634</v>
      </c>
      <c r="H38" s="2">
        <v>58593</v>
      </c>
      <c r="I38" s="2">
        <v>58375</v>
      </c>
      <c r="K38" s="28">
        <f t="shared" si="15"/>
        <v>0.57266911935302112</v>
      </c>
      <c r="L38" s="28">
        <f t="shared" si="16"/>
        <v>0.57154635201404802</v>
      </c>
      <c r="M38" s="28">
        <f t="shared" si="17"/>
        <v>0.55189822698587598</v>
      </c>
      <c r="N38" s="28">
        <f t="shared" si="18"/>
        <v>0.56015771315919172</v>
      </c>
      <c r="O38" s="28">
        <f t="shared" si="19"/>
        <v>0.56758585360667302</v>
      </c>
      <c r="P38" s="28">
        <f t="shared" si="20"/>
        <v>0.48824234753355761</v>
      </c>
      <c r="R38" s="28">
        <f t="shared" si="21"/>
        <v>-2.4352265709732968E-2</v>
      </c>
      <c r="S38" s="28">
        <f t="shared" si="22"/>
        <v>-2.4267589205706836E-2</v>
      </c>
      <c r="T38" s="28">
        <f t="shared" si="23"/>
        <v>-2.8943966728488733E-2</v>
      </c>
      <c r="U38" s="28">
        <f t="shared" si="24"/>
        <v>-3.1163786844780019E-2</v>
      </c>
      <c r="V38" s="28">
        <f t="shared" si="25"/>
        <v>-3.0477933413106215E-2</v>
      </c>
      <c r="W38" s="28">
        <f t="shared" si="26"/>
        <v>-3.2270149685813057E-2</v>
      </c>
      <c r="X38" s="28">
        <f t="shared" si="27"/>
        <v>1.5178906436538527E-3</v>
      </c>
    </row>
    <row r="39" spans="1:24" x14ac:dyDescent="0.25">
      <c r="A39" s="5" t="s">
        <v>35</v>
      </c>
      <c r="B39" s="2">
        <v>489</v>
      </c>
      <c r="C39" s="2">
        <v>-1682</v>
      </c>
      <c r="D39" s="2">
        <v>-2694</v>
      </c>
      <c r="E39" s="2">
        <v>-3060</v>
      </c>
      <c r="F39" s="2">
        <v>-4853</v>
      </c>
      <c r="G39" s="2">
        <v>8495</v>
      </c>
      <c r="H39" s="2">
        <v>588</v>
      </c>
      <c r="I39" s="2">
        <v>0</v>
      </c>
      <c r="K39" s="28">
        <f t="shared" si="15"/>
        <v>5.4025388618209541E-3</v>
      </c>
      <c r="L39" s="28">
        <f t="shared" si="16"/>
        <v>-1.8009722251964795E-2</v>
      </c>
      <c r="M39" s="28">
        <f t="shared" si="17"/>
        <v>-2.6985875989181608E-2</v>
      </c>
      <c r="N39" s="28">
        <f t="shared" si="18"/>
        <v>-3.0162641695416461E-2</v>
      </c>
      <c r="O39" s="28">
        <f t="shared" si="19"/>
        <v>-4.6906563825982739E-2</v>
      </c>
      <c r="P39" s="28">
        <f t="shared" si="20"/>
        <v>7.0737434633447685E-2</v>
      </c>
      <c r="R39" s="28">
        <f t="shared" si="21"/>
        <v>-0.43502517645517697</v>
      </c>
      <c r="S39" s="28">
        <f t="shared" si="22"/>
        <v>-0.7453444344093002</v>
      </c>
      <c r="T39" s="28">
        <f t="shared" si="23"/>
        <v>-1.2907253269916765</v>
      </c>
      <c r="U39" s="28">
        <f t="shared" si="24"/>
        <v>-0.37564959168522644</v>
      </c>
      <c r="V39" s="28">
        <f t="shared" si="25"/>
        <v>-0.11960784313725491</v>
      </c>
      <c r="W39" s="28">
        <f t="shared" si="26"/>
        <v>-0.36946218833711109</v>
      </c>
      <c r="X39" s="28">
        <f t="shared" si="27"/>
        <v>-1.5712772218952324</v>
      </c>
    </row>
    <row r="40" spans="1:24" x14ac:dyDescent="0.25">
      <c r="A40" s="5" t="s">
        <v>36</v>
      </c>
      <c r="B40" s="2">
        <v>-2810</v>
      </c>
      <c r="C40" s="2">
        <v>-1824</v>
      </c>
      <c r="D40" s="2">
        <v>-1967</v>
      </c>
      <c r="E40" s="2">
        <v>-1886</v>
      </c>
      <c r="F40" s="2">
        <v>-1943</v>
      </c>
      <c r="G40" s="2">
        <v>-1054</v>
      </c>
      <c r="H40" s="2">
        <v>-1628</v>
      </c>
      <c r="I40" s="2">
        <v>-671</v>
      </c>
      <c r="K40" s="28">
        <f t="shared" si="15"/>
        <v>-3.104526421618994E-2</v>
      </c>
      <c r="L40" s="28">
        <f t="shared" si="16"/>
        <v>-1.9530162537207959E-2</v>
      </c>
      <c r="M40" s="28">
        <f t="shared" si="17"/>
        <v>-1.9703495943103274E-2</v>
      </c>
      <c r="N40" s="28">
        <f t="shared" si="18"/>
        <v>-1.8590438639724E-2</v>
      </c>
      <c r="O40" s="28">
        <f t="shared" si="19"/>
        <v>-1.8780023390456306E-2</v>
      </c>
      <c r="P40" s="28">
        <f t="shared" si="20"/>
        <v>-8.776604603137594E-3</v>
      </c>
      <c r="R40" s="28">
        <f t="shared" si="21"/>
        <v>0.21667095873235825</v>
      </c>
      <c r="S40" s="28">
        <f t="shared" si="22"/>
        <v>0.26498722067421782</v>
      </c>
      <c r="T40" s="28">
        <f t="shared" si="23"/>
        <v>0.54057017543859653</v>
      </c>
      <c r="U40" s="28">
        <f t="shared" si="24"/>
        <v>-7.2699542450432128E-2</v>
      </c>
      <c r="V40" s="28">
        <f t="shared" si="25"/>
        <v>4.2948038176033931E-2</v>
      </c>
      <c r="W40" s="28">
        <f t="shared" si="26"/>
        <v>-2.9336078229541946E-2</v>
      </c>
      <c r="X40" s="28">
        <f t="shared" si="27"/>
        <v>0.84345351043643269</v>
      </c>
    </row>
    <row r="41" spans="1:24" x14ac:dyDescent="0.25">
      <c r="A41" s="5" t="s">
        <v>37</v>
      </c>
      <c r="B41" s="2">
        <v>-847</v>
      </c>
      <c r="C41" s="2">
        <v>-587</v>
      </c>
      <c r="D41" s="2">
        <v>-344</v>
      </c>
      <c r="E41" s="2">
        <v>-271</v>
      </c>
      <c r="F41" s="2">
        <v>-282</v>
      </c>
      <c r="G41" s="2">
        <v>-224</v>
      </c>
      <c r="H41" s="2">
        <v>-207</v>
      </c>
      <c r="I41" s="2">
        <v>-31</v>
      </c>
      <c r="K41" s="28">
        <f t="shared" si="15"/>
        <v>-9.357771811783943E-3</v>
      </c>
      <c r="L41" s="28">
        <f t="shared" si="16"/>
        <v>-6.28520033406857E-3</v>
      </c>
      <c r="M41" s="28">
        <f t="shared" si="17"/>
        <v>-3.4458579585295002E-3</v>
      </c>
      <c r="N41" s="28">
        <f t="shared" si="18"/>
        <v>-2.6712666338097584E-3</v>
      </c>
      <c r="O41" s="28">
        <f t="shared" si="19"/>
        <v>-2.7256647432365817E-3</v>
      </c>
      <c r="P41" s="28">
        <f t="shared" si="20"/>
        <v>-1.8652366519002097E-3</v>
      </c>
      <c r="R41" s="28">
        <f t="shared" si="21"/>
        <v>0.30474931763943724</v>
      </c>
      <c r="S41" s="28">
        <f t="shared" si="22"/>
        <v>0.32772393502322256</v>
      </c>
      <c r="T41" s="28">
        <f t="shared" si="23"/>
        <v>0.44293015332197616</v>
      </c>
      <c r="U41" s="28">
        <f t="shared" si="24"/>
        <v>0.70639534883720934</v>
      </c>
      <c r="V41" s="28">
        <f t="shared" si="25"/>
        <v>0.26937269372693728</v>
      </c>
      <c r="W41" s="28">
        <f t="shared" si="26"/>
        <v>-3.9007092198581561E-2</v>
      </c>
      <c r="X41" s="28">
        <f t="shared" si="27"/>
        <v>0.25892857142857145</v>
      </c>
    </row>
    <row r="42" spans="1:24" x14ac:dyDescent="0.25">
      <c r="A42" s="5" t="s">
        <v>38</v>
      </c>
      <c r="B42" s="2">
        <v>152</v>
      </c>
      <c r="C42" s="2">
        <v>150</v>
      </c>
      <c r="D42" s="2">
        <v>140</v>
      </c>
      <c r="E42" s="2">
        <v>126</v>
      </c>
      <c r="F42" s="2">
        <v>118</v>
      </c>
      <c r="G42" s="2">
        <v>207</v>
      </c>
      <c r="H42" s="2">
        <v>216</v>
      </c>
      <c r="I42" s="2">
        <v>208</v>
      </c>
      <c r="K42" s="30">
        <f t="shared" si="15"/>
        <v>1.6793167832245093E-3</v>
      </c>
      <c r="L42" s="30">
        <f t="shared" si="16"/>
        <v>1.6060988928624964E-3</v>
      </c>
      <c r="M42" s="30">
        <f t="shared" si="17"/>
        <v>1.4023840528899129E-3</v>
      </c>
      <c r="N42" s="30">
        <f t="shared" si="18"/>
        <v>1.2419911286347955E-3</v>
      </c>
      <c r="O42" s="30">
        <f t="shared" si="19"/>
        <v>1.1405263819216902E-3</v>
      </c>
      <c r="P42" s="30">
        <f t="shared" si="20"/>
        <v>1.7236785131399261E-3</v>
      </c>
      <c r="Q42" s="31"/>
      <c r="R42" s="30">
        <f t="shared" si="21"/>
        <v>-5.9898710260960809E-2</v>
      </c>
      <c r="S42" s="30">
        <f t="shared" si="22"/>
        <v>-3.3256412955749735E-2</v>
      </c>
      <c r="T42" s="30">
        <f t="shared" si="23"/>
        <v>1.3333333333333334E-2</v>
      </c>
      <c r="U42" s="30">
        <f t="shared" si="24"/>
        <v>7.1428571428571425E-2</v>
      </c>
      <c r="V42" s="30">
        <f t="shared" si="25"/>
        <v>0.1111111111111111</v>
      </c>
      <c r="W42" s="30">
        <f t="shared" si="26"/>
        <v>6.7796610169491525E-2</v>
      </c>
      <c r="X42" s="30">
        <f t="shared" si="27"/>
        <v>-0.42995169082125606</v>
      </c>
    </row>
    <row r="43" spans="1:24" x14ac:dyDescent="0.25">
      <c r="A43" s="2" t="s">
        <v>40</v>
      </c>
      <c r="B43" s="10">
        <f>SUM(B37:B42)</f>
        <v>48830</v>
      </c>
      <c r="C43" s="10">
        <f t="shared" ref="C43:G43" si="30">SUM(C37:C42)</f>
        <v>49448</v>
      </c>
      <c r="D43" s="10">
        <f t="shared" si="30"/>
        <v>50243</v>
      </c>
      <c r="E43" s="10">
        <f t="shared" si="30"/>
        <v>51749</v>
      </c>
      <c r="F43" s="10">
        <f t="shared" si="30"/>
        <v>51775</v>
      </c>
      <c r="G43" s="10">
        <f t="shared" si="30"/>
        <v>66070</v>
      </c>
      <c r="H43" s="10">
        <f t="shared" ref="H43:I43" si="31">SUM(H37:H42)</f>
        <v>57574</v>
      </c>
      <c r="I43" s="10">
        <f t="shared" si="31"/>
        <v>57893</v>
      </c>
      <c r="K43" s="28">
        <f t="shared" si="15"/>
        <v>0.53948051661087359</v>
      </c>
      <c r="L43" s="28">
        <f t="shared" si="16"/>
        <v>0.52945585369509818</v>
      </c>
      <c r="M43" s="28">
        <f t="shared" si="17"/>
        <v>0.50328558549534208</v>
      </c>
      <c r="N43" s="28">
        <f t="shared" si="18"/>
        <v>0.51009364218827014</v>
      </c>
      <c r="O43" s="28">
        <f t="shared" si="19"/>
        <v>0.50043011376267388</v>
      </c>
      <c r="P43" s="28">
        <f t="shared" si="20"/>
        <v>0.55016154281717355</v>
      </c>
      <c r="R43" s="28">
        <f t="shared" si="21"/>
        <v>-5.8681739699202047E-2</v>
      </c>
      <c r="S43" s="28">
        <f t="shared" si="22"/>
        <v>-5.4857339349412525E-2</v>
      </c>
      <c r="T43" s="28">
        <f t="shared" si="23"/>
        <v>-1.2497977673515612E-2</v>
      </c>
      <c r="U43" s="28">
        <f t="shared" si="24"/>
        <v>-1.5823099735286509E-2</v>
      </c>
      <c r="V43" s="28">
        <f t="shared" si="25"/>
        <v>-2.9102011633075034E-2</v>
      </c>
      <c r="W43" s="28">
        <f t="shared" si="26"/>
        <v>-5.0217286335103818E-4</v>
      </c>
      <c r="X43" s="28">
        <f t="shared" si="27"/>
        <v>-0.21636143484183443</v>
      </c>
    </row>
    <row r="44" spans="1:24" ht="15.75" thickBot="1" x14ac:dyDescent="0.3">
      <c r="A44" s="2" t="s">
        <v>39</v>
      </c>
      <c r="B44" s="9">
        <f>+B43+B35+B34</f>
        <v>90513</v>
      </c>
      <c r="C44" s="9">
        <f t="shared" ref="C44:G44" si="32">+C43+C35+C34</f>
        <v>93394</v>
      </c>
      <c r="D44" s="9">
        <f t="shared" si="32"/>
        <v>99830</v>
      </c>
      <c r="E44" s="9">
        <f t="shared" si="32"/>
        <v>101450</v>
      </c>
      <c r="F44" s="9">
        <f t="shared" si="32"/>
        <v>103461</v>
      </c>
      <c r="G44" s="9">
        <f t="shared" si="32"/>
        <v>120092</v>
      </c>
      <c r="H44" s="9">
        <f t="shared" ref="H44" si="33">+H43+H35+H34</f>
        <v>120480</v>
      </c>
      <c r="I44" s="9">
        <f>+I43+I35+I34+I36</f>
        <v>122973</v>
      </c>
      <c r="K44" s="32">
        <f t="shared" si="15"/>
        <v>1</v>
      </c>
      <c r="L44" s="32">
        <f t="shared" si="16"/>
        <v>1</v>
      </c>
      <c r="M44" s="32">
        <f t="shared" si="17"/>
        <v>1</v>
      </c>
      <c r="N44" s="32">
        <f t="shared" si="18"/>
        <v>1</v>
      </c>
      <c r="O44" s="32">
        <f t="shared" si="19"/>
        <v>1</v>
      </c>
      <c r="P44" s="32">
        <f t="shared" si="20"/>
        <v>1</v>
      </c>
      <c r="Q44" s="11"/>
      <c r="R44" s="32">
        <f t="shared" si="21"/>
        <v>-5.4983532564241197E-2</v>
      </c>
      <c r="S44" s="32">
        <f t="shared" si="22"/>
        <v>-5.3841726418039616E-2</v>
      </c>
      <c r="T44" s="32">
        <f t="shared" si="23"/>
        <v>-3.084780606891235E-2</v>
      </c>
      <c r="U44" s="32">
        <f t="shared" si="24"/>
        <v>-6.4469598317139137E-2</v>
      </c>
      <c r="V44" s="32">
        <f t="shared" si="25"/>
        <v>-1.5968457368161656E-2</v>
      </c>
      <c r="W44" s="32">
        <f t="shared" si="26"/>
        <v>-1.9437275881733215E-2</v>
      </c>
      <c r="X44" s="32">
        <f t="shared" si="27"/>
        <v>-0.13848549445425173</v>
      </c>
    </row>
    <row r="45" spans="1:24" ht="15.75" thickTop="1" x14ac:dyDescent="0.25">
      <c r="B45" s="2">
        <f>+B44-B18</f>
        <v>0</v>
      </c>
      <c r="C45" s="2">
        <f t="shared" ref="C45:G45" si="34">+C44-C18</f>
        <v>0</v>
      </c>
      <c r="D45" s="2">
        <f t="shared" si="34"/>
        <v>0</v>
      </c>
      <c r="E45" s="2">
        <f t="shared" si="34"/>
        <v>0</v>
      </c>
      <c r="F45" s="2">
        <f t="shared" si="34"/>
        <v>0</v>
      </c>
      <c r="G45" s="2">
        <f t="shared" si="34"/>
        <v>0</v>
      </c>
      <c r="H45" s="2">
        <f t="shared" ref="H45:I45" si="35">+H44-H18</f>
        <v>0</v>
      </c>
      <c r="I45" s="2">
        <f t="shared" si="35"/>
        <v>0</v>
      </c>
    </row>
    <row r="46" spans="1:24" x14ac:dyDescent="0.25">
      <c r="A46" s="2" t="s">
        <v>41</v>
      </c>
      <c r="B46" s="2">
        <v>1243</v>
      </c>
      <c r="C46" s="2">
        <v>1235</v>
      </c>
      <c r="D46" s="2">
        <v>1228</v>
      </c>
      <c r="E46" s="2">
        <v>1224</v>
      </c>
      <c r="F46" s="2">
        <v>1224</v>
      </c>
      <c r="G46" s="2">
        <v>1221</v>
      </c>
      <c r="H46" s="2">
        <v>1218.9470879999999</v>
      </c>
      <c r="I46" s="2">
        <v>1216.4757400000001</v>
      </c>
    </row>
    <row r="47" spans="1:24" x14ac:dyDescent="0.25">
      <c r="A47" s="2" t="s">
        <v>42</v>
      </c>
      <c r="B47" s="2">
        <v>-18</v>
      </c>
      <c r="C47" s="2">
        <v>-11</v>
      </c>
      <c r="D47" s="2">
        <v>-5</v>
      </c>
      <c r="E47" s="2">
        <v>-3</v>
      </c>
      <c r="F47" s="2">
        <v>-4</v>
      </c>
      <c r="G47" s="2">
        <v>-2</v>
      </c>
      <c r="H47" s="2">
        <f>+H48-H46</f>
        <v>-2.4713479999998071</v>
      </c>
      <c r="I47" s="2">
        <f>+I48-I46</f>
        <v>-2.4969880000001012</v>
      </c>
    </row>
    <row r="48" spans="1:24" ht="15.75" thickBot="1" x14ac:dyDescent="0.3">
      <c r="A48" s="2" t="s">
        <v>43</v>
      </c>
      <c r="B48" s="11">
        <f>+B46+B47</f>
        <v>1225</v>
      </c>
      <c r="C48" s="11">
        <f t="shared" ref="C48:G48" si="36">+C46+C47</f>
        <v>1224</v>
      </c>
      <c r="D48" s="11">
        <f t="shared" si="36"/>
        <v>1223</v>
      </c>
      <c r="E48" s="11">
        <f t="shared" si="36"/>
        <v>1221</v>
      </c>
      <c r="F48" s="11">
        <f t="shared" si="36"/>
        <v>1220</v>
      </c>
      <c r="G48" s="11">
        <f t="shared" si="36"/>
        <v>1219</v>
      </c>
      <c r="H48" s="11">
        <v>1216.4757400000001</v>
      </c>
      <c r="I48" s="11">
        <v>1213.978752</v>
      </c>
    </row>
    <row r="49" spans="1:24" ht="15.75" thickTop="1" x14ac:dyDescent="0.25">
      <c r="A49" s="2" t="s">
        <v>44</v>
      </c>
    </row>
    <row r="50" spans="1:24" x14ac:dyDescent="0.25">
      <c r="A50" s="2" t="s">
        <v>45</v>
      </c>
    </row>
    <row r="52" spans="1:24" s="15" customFormat="1" x14ac:dyDescent="0.25">
      <c r="A52" s="15" t="str">
        <f>+A1</f>
        <v>Kraft Heinz Company</v>
      </c>
      <c r="B52" s="15" t="str">
        <f>+B1</f>
        <v>As reported</v>
      </c>
      <c r="K52" s="15" t="str">
        <f>+B52</f>
        <v>As reported</v>
      </c>
      <c r="R52" s="15" t="str">
        <f>+B52</f>
        <v>As reported</v>
      </c>
    </row>
    <row r="53" spans="1:24" s="15" customFormat="1" x14ac:dyDescent="0.25">
      <c r="A53" s="15" t="s">
        <v>46</v>
      </c>
      <c r="K53" s="15" t="s">
        <v>137</v>
      </c>
      <c r="R53" s="15" t="s">
        <v>131</v>
      </c>
    </row>
    <row r="54" spans="1:24" s="15" customFormat="1" x14ac:dyDescent="0.25">
      <c r="A54" s="15" t="str">
        <f>+A3</f>
        <v>in millions except per share data</v>
      </c>
      <c r="F54" s="15" t="s">
        <v>149</v>
      </c>
      <c r="G54" s="16" t="s">
        <v>125</v>
      </c>
      <c r="H54" s="16"/>
      <c r="I54" s="16" t="s">
        <v>280</v>
      </c>
      <c r="P54" s="16" t="s">
        <v>125</v>
      </c>
      <c r="R54" s="15" t="s">
        <v>127</v>
      </c>
      <c r="S54" s="15" t="s">
        <v>129</v>
      </c>
      <c r="T54" s="15" t="s">
        <v>132</v>
      </c>
      <c r="U54" s="15" t="s">
        <v>133</v>
      </c>
      <c r="V54" s="15" t="s">
        <v>134</v>
      </c>
      <c r="W54" s="15" t="s">
        <v>135</v>
      </c>
      <c r="X54" s="15" t="s">
        <v>136</v>
      </c>
    </row>
    <row r="55" spans="1:24" s="15" customFormat="1" ht="15.75" thickBot="1" x14ac:dyDescent="0.3">
      <c r="A55" s="16" t="str">
        <f>+A4</f>
        <v>Year ended near 12/31:</v>
      </c>
      <c r="B55" s="17">
        <v>2022</v>
      </c>
      <c r="C55" s="17">
        <v>2021</v>
      </c>
      <c r="D55" s="17">
        <v>2020</v>
      </c>
      <c r="E55" s="17">
        <v>2019</v>
      </c>
      <c r="F55" s="17">
        <v>2018</v>
      </c>
      <c r="G55" s="17">
        <v>2017</v>
      </c>
      <c r="H55" s="17">
        <v>2016</v>
      </c>
      <c r="I55" s="17">
        <v>2015</v>
      </c>
      <c r="K55" s="17">
        <v>2022</v>
      </c>
      <c r="L55" s="17">
        <v>2021</v>
      </c>
      <c r="M55" s="17">
        <v>2020</v>
      </c>
      <c r="N55" s="17">
        <v>2019</v>
      </c>
      <c r="O55" s="17">
        <v>2018</v>
      </c>
      <c r="P55" s="17">
        <v>2017</v>
      </c>
      <c r="R55" s="29" t="s">
        <v>128</v>
      </c>
      <c r="S55" s="29" t="s">
        <v>130</v>
      </c>
      <c r="T55" s="17">
        <v>2022</v>
      </c>
      <c r="U55" s="17">
        <v>2021</v>
      </c>
      <c r="V55" s="17">
        <v>2020</v>
      </c>
      <c r="W55" s="17">
        <v>2019</v>
      </c>
      <c r="X55" s="17">
        <v>2018</v>
      </c>
    </row>
    <row r="56" spans="1:24" x14ac:dyDescent="0.25">
      <c r="A56" s="2" t="s">
        <v>47</v>
      </c>
      <c r="B56" s="8">
        <v>26485</v>
      </c>
      <c r="C56" s="8">
        <v>26042</v>
      </c>
      <c r="D56" s="8">
        <v>26185</v>
      </c>
      <c r="E56" s="8">
        <v>24977</v>
      </c>
      <c r="F56" s="8">
        <v>26268</v>
      </c>
      <c r="G56" s="8">
        <v>26076</v>
      </c>
      <c r="H56" s="8">
        <v>26487</v>
      </c>
      <c r="I56" s="8">
        <v>18338</v>
      </c>
      <c r="K56" s="28">
        <f t="shared" ref="K56:K70" si="37">+B56/B$56</f>
        <v>1</v>
      </c>
      <c r="L56" s="28">
        <f t="shared" ref="L56:L70" si="38">+C56/C$56</f>
        <v>1</v>
      </c>
      <c r="M56" s="28">
        <f t="shared" ref="M56:M70" si="39">+D56/D$56</f>
        <v>1</v>
      </c>
      <c r="N56" s="28">
        <f t="shared" ref="N56:N70" si="40">+E56/E$56</f>
        <v>1</v>
      </c>
      <c r="O56" s="28">
        <f t="shared" ref="O56:O70" si="41">+F56/F$56</f>
        <v>1</v>
      </c>
      <c r="P56" s="28">
        <f t="shared" ref="P56:P70" si="42">+G56/G$56</f>
        <v>1</v>
      </c>
      <c r="R56" s="28">
        <f t="shared" ref="R56:R70" si="43">RATE(5,0,-G56,B56)</f>
        <v>3.1174860707707231E-3</v>
      </c>
      <c r="S56" s="28">
        <f t="shared" ref="S56:S127" si="44">AVERAGE(T56:X56)</f>
        <v>3.626035362061633E-3</v>
      </c>
      <c r="T56" s="28">
        <f t="shared" ref="T56:T70" si="45">(+B56-C56)/C56</f>
        <v>1.7010982259427078E-2</v>
      </c>
      <c r="U56" s="28">
        <f t="shared" ref="U56:U70" si="46">(+C56-D56)/D56</f>
        <v>-5.4611418751193434E-3</v>
      </c>
      <c r="V56" s="28">
        <f t="shared" ref="V56:V70" si="47">(+D56-E56)/E56</f>
        <v>4.836449533570885E-2</v>
      </c>
      <c r="W56" s="28">
        <f t="shared" ref="W56:W70" si="48">(+E56-F56)/F56</f>
        <v>-4.914725140855794E-2</v>
      </c>
      <c r="X56" s="28">
        <f t="shared" ref="X56:X70" si="49">(+F56-G56)/G56</f>
        <v>7.3630924988495172E-3</v>
      </c>
    </row>
    <row r="57" spans="1:24" x14ac:dyDescent="0.25">
      <c r="A57" s="5" t="s">
        <v>48</v>
      </c>
      <c r="B57" s="2">
        <v>18363</v>
      </c>
      <c r="C57" s="2">
        <v>17360</v>
      </c>
      <c r="D57" s="2">
        <v>17008</v>
      </c>
      <c r="E57" s="2">
        <v>16830</v>
      </c>
      <c r="F57" s="2">
        <v>17347</v>
      </c>
      <c r="G57" s="2">
        <v>17043</v>
      </c>
      <c r="H57" s="2">
        <v>16901</v>
      </c>
      <c r="I57" s="2">
        <v>12577</v>
      </c>
      <c r="K57" s="30">
        <f t="shared" si="37"/>
        <v>0.69333585048140456</v>
      </c>
      <c r="L57" s="30">
        <f t="shared" si="38"/>
        <v>0.66661546732201826</v>
      </c>
      <c r="M57" s="30">
        <f t="shared" si="39"/>
        <v>0.64953217490929926</v>
      </c>
      <c r="N57" s="30">
        <f t="shared" si="40"/>
        <v>0.67381991432117549</v>
      </c>
      <c r="O57" s="30">
        <f t="shared" si="41"/>
        <v>0.66038525963149075</v>
      </c>
      <c r="P57" s="30">
        <f t="shared" si="42"/>
        <v>0.65358950759318912</v>
      </c>
      <c r="Q57" s="31"/>
      <c r="R57" s="30">
        <f t="shared" si="43"/>
        <v>1.5031495091144084E-2</v>
      </c>
      <c r="S57" s="30">
        <f t="shared" si="44"/>
        <v>1.5416560689107845E-2</v>
      </c>
      <c r="T57" s="30">
        <f t="shared" si="45"/>
        <v>5.7776497695852531E-2</v>
      </c>
      <c r="U57" s="30">
        <f t="shared" si="46"/>
        <v>2.0696142991533398E-2</v>
      </c>
      <c r="V57" s="30">
        <f t="shared" si="47"/>
        <v>1.057635175282234E-2</v>
      </c>
      <c r="W57" s="30">
        <f t="shared" si="48"/>
        <v>-2.9803424223208624E-2</v>
      </c>
      <c r="X57" s="30">
        <f t="shared" si="49"/>
        <v>1.7837235228539576E-2</v>
      </c>
    </row>
    <row r="58" spans="1:24" x14ac:dyDescent="0.25">
      <c r="A58" s="2" t="s">
        <v>49</v>
      </c>
      <c r="B58" s="6">
        <f>+B56-B57</f>
        <v>8122</v>
      </c>
      <c r="C58" s="6">
        <f t="shared" ref="C58:I58" si="50">+C56-C57</f>
        <v>8682</v>
      </c>
      <c r="D58" s="6">
        <f t="shared" si="50"/>
        <v>9177</v>
      </c>
      <c r="E58" s="6">
        <f t="shared" si="50"/>
        <v>8147</v>
      </c>
      <c r="F58" s="6">
        <f t="shared" si="50"/>
        <v>8921</v>
      </c>
      <c r="G58" s="6">
        <f t="shared" si="50"/>
        <v>9033</v>
      </c>
      <c r="H58" s="6">
        <f t="shared" si="50"/>
        <v>9586</v>
      </c>
      <c r="I58" s="6">
        <f t="shared" si="50"/>
        <v>5761</v>
      </c>
      <c r="K58" s="28">
        <f t="shared" si="37"/>
        <v>0.30666414951859544</v>
      </c>
      <c r="L58" s="28">
        <f t="shared" si="38"/>
        <v>0.33338453267798174</v>
      </c>
      <c r="M58" s="28">
        <f t="shared" si="39"/>
        <v>0.35046782509070079</v>
      </c>
      <c r="N58" s="28">
        <f t="shared" si="40"/>
        <v>0.32618008567882451</v>
      </c>
      <c r="O58" s="28">
        <f t="shared" si="41"/>
        <v>0.33961474036850919</v>
      </c>
      <c r="P58" s="28">
        <f t="shared" si="42"/>
        <v>0.34641049240681088</v>
      </c>
      <c r="R58" s="28">
        <f t="shared" si="43"/>
        <v>-2.1037186930892088E-2</v>
      </c>
      <c r="S58" s="28">
        <f t="shared" si="44"/>
        <v>-1.8234822504439984E-2</v>
      </c>
      <c r="T58" s="28">
        <f t="shared" si="45"/>
        <v>-6.4501266989172995E-2</v>
      </c>
      <c r="U58" s="28">
        <f t="shared" si="46"/>
        <v>-5.393919581562602E-2</v>
      </c>
      <c r="V58" s="28">
        <f t="shared" si="47"/>
        <v>0.12642690560942679</v>
      </c>
      <c r="W58" s="28">
        <f t="shared" si="48"/>
        <v>-8.6761573814594775E-2</v>
      </c>
      <c r="X58" s="28">
        <f t="shared" si="49"/>
        <v>-1.2398981512232924E-2</v>
      </c>
    </row>
    <row r="59" spans="1:24" x14ac:dyDescent="0.25">
      <c r="A59" s="5" t="s">
        <v>50</v>
      </c>
      <c r="B59" s="2">
        <v>3575</v>
      </c>
      <c r="C59" s="2">
        <v>3588</v>
      </c>
      <c r="D59" s="2">
        <v>3650</v>
      </c>
      <c r="E59" s="2">
        <v>3178</v>
      </c>
      <c r="F59" s="2">
        <v>3190</v>
      </c>
      <c r="G59" s="2">
        <v>2927</v>
      </c>
      <c r="H59" s="2">
        <v>3444</v>
      </c>
      <c r="I59" s="2">
        <v>3122</v>
      </c>
      <c r="K59" s="28">
        <f t="shared" si="37"/>
        <v>0.13498206531999246</v>
      </c>
      <c r="L59" s="28">
        <f t="shared" si="38"/>
        <v>0.13777743644881346</v>
      </c>
      <c r="M59" s="28">
        <f t="shared" si="39"/>
        <v>0.13939278212717204</v>
      </c>
      <c r="N59" s="28">
        <f t="shared" si="40"/>
        <v>0.12723705809344596</v>
      </c>
      <c r="O59" s="28">
        <f t="shared" si="41"/>
        <v>0.12144053601340034</v>
      </c>
      <c r="P59" s="28">
        <f t="shared" si="42"/>
        <v>0.11224881116735695</v>
      </c>
      <c r="R59" s="28">
        <f t="shared" si="43"/>
        <v>4.080810314999915E-2</v>
      </c>
      <c r="S59" s="28">
        <f t="shared" si="44"/>
        <v>4.2800585816641215E-2</v>
      </c>
      <c r="T59" s="28">
        <f t="shared" si="45"/>
        <v>-3.6231884057971015E-3</v>
      </c>
      <c r="U59" s="28">
        <f t="shared" si="46"/>
        <v>-1.6986301369863014E-2</v>
      </c>
      <c r="V59" s="28">
        <f t="shared" si="47"/>
        <v>0.1485210824417873</v>
      </c>
      <c r="W59" s="28">
        <f t="shared" si="48"/>
        <v>-3.761755485893417E-3</v>
      </c>
      <c r="X59" s="28">
        <f t="shared" si="49"/>
        <v>8.9853091902972332E-2</v>
      </c>
    </row>
    <row r="60" spans="1:24" x14ac:dyDescent="0.25">
      <c r="A60" s="5" t="s">
        <v>51</v>
      </c>
      <c r="B60" s="2">
        <v>444</v>
      </c>
      <c r="C60" s="2">
        <v>318</v>
      </c>
      <c r="D60" s="2">
        <v>2343</v>
      </c>
      <c r="E60" s="2">
        <v>1197</v>
      </c>
      <c r="F60" s="2">
        <v>7008</v>
      </c>
      <c r="G60" s="2">
        <v>0</v>
      </c>
      <c r="H60" s="2">
        <v>0</v>
      </c>
      <c r="I60" s="2">
        <v>0</v>
      </c>
      <c r="K60" s="28">
        <f t="shared" si="37"/>
        <v>1.6764206154427034E-2</v>
      </c>
      <c r="L60" s="28">
        <f t="shared" si="38"/>
        <v>1.2211043698640657E-2</v>
      </c>
      <c r="M60" s="28">
        <f t="shared" si="39"/>
        <v>8.9478709184647703E-2</v>
      </c>
      <c r="N60" s="28">
        <f t="shared" si="40"/>
        <v>4.7924090162949913E-2</v>
      </c>
      <c r="O60" s="28">
        <f t="shared" si="41"/>
        <v>0.26678848789401555</v>
      </c>
      <c r="P60" s="28">
        <f t="shared" si="42"/>
        <v>0</v>
      </c>
      <c r="R60" s="28" t="e">
        <f t="shared" si="43"/>
        <v>#NUM!</v>
      </c>
      <c r="S60" s="28" t="e">
        <f t="shared" si="44"/>
        <v>#DIV/0!</v>
      </c>
      <c r="T60" s="28">
        <f t="shared" si="45"/>
        <v>0.39622641509433965</v>
      </c>
      <c r="U60" s="28">
        <f t="shared" si="46"/>
        <v>-0.86427656850192058</v>
      </c>
      <c r="V60" s="28">
        <f t="shared" si="47"/>
        <v>0.95739348370927313</v>
      </c>
      <c r="W60" s="28">
        <f t="shared" si="48"/>
        <v>-0.82919520547945202</v>
      </c>
      <c r="X60" s="28" t="e">
        <f t="shared" si="49"/>
        <v>#DIV/0!</v>
      </c>
    </row>
    <row r="61" spans="1:24" x14ac:dyDescent="0.25">
      <c r="A61" s="5" t="s">
        <v>52</v>
      </c>
      <c r="B61" s="2">
        <v>469</v>
      </c>
      <c r="C61" s="2">
        <v>1316</v>
      </c>
      <c r="D61" s="2">
        <v>1056</v>
      </c>
      <c r="E61" s="2">
        <v>702</v>
      </c>
      <c r="F61" s="2">
        <v>8928</v>
      </c>
      <c r="G61" s="2">
        <v>49</v>
      </c>
      <c r="H61" s="2">
        <v>0</v>
      </c>
      <c r="I61" s="2">
        <v>0</v>
      </c>
      <c r="K61" s="30">
        <f t="shared" si="37"/>
        <v>1.7708136681140269E-2</v>
      </c>
      <c r="L61" s="30">
        <f t="shared" si="38"/>
        <v>5.0533753167959453E-2</v>
      </c>
      <c r="M61" s="30">
        <f t="shared" si="39"/>
        <v>4.0328432308573609E-2</v>
      </c>
      <c r="N61" s="30">
        <f t="shared" si="40"/>
        <v>2.8105857388797693E-2</v>
      </c>
      <c r="O61" s="30">
        <f t="shared" si="41"/>
        <v>0.33988122430333484</v>
      </c>
      <c r="P61" s="30">
        <f t="shared" si="42"/>
        <v>1.8791225648105538E-3</v>
      </c>
      <c r="Q61" s="31"/>
      <c r="R61" s="30">
        <f t="shared" si="43"/>
        <v>0.57106933729090092</v>
      </c>
      <c r="S61" s="30">
        <f t="shared" si="44"/>
        <v>36.077915853824031</v>
      </c>
      <c r="T61" s="30">
        <f t="shared" si="45"/>
        <v>-0.6436170212765957</v>
      </c>
      <c r="U61" s="30">
        <f t="shared" si="46"/>
        <v>0.24621212121212122</v>
      </c>
      <c r="V61" s="30">
        <f t="shared" si="47"/>
        <v>0.50427350427350426</v>
      </c>
      <c r="W61" s="30">
        <f t="shared" si="48"/>
        <v>-0.9213709677419355</v>
      </c>
      <c r="X61" s="30">
        <f t="shared" si="49"/>
        <v>181.20408163265307</v>
      </c>
    </row>
    <row r="62" spans="1:24" x14ac:dyDescent="0.25">
      <c r="A62" s="12" t="s">
        <v>53</v>
      </c>
      <c r="B62" s="10">
        <f>SUM(B59:B61)</f>
        <v>4488</v>
      </c>
      <c r="C62" s="10">
        <f t="shared" ref="C62:G62" si="51">SUM(C59:C61)</f>
        <v>5222</v>
      </c>
      <c r="D62" s="10">
        <f t="shared" si="51"/>
        <v>7049</v>
      </c>
      <c r="E62" s="10">
        <f t="shared" si="51"/>
        <v>5077</v>
      </c>
      <c r="F62" s="10">
        <f t="shared" si="51"/>
        <v>19126</v>
      </c>
      <c r="G62" s="10">
        <f t="shared" si="51"/>
        <v>2976</v>
      </c>
      <c r="H62" s="10">
        <f t="shared" ref="H62:I62" si="52">SUM(H59:H61)</f>
        <v>3444</v>
      </c>
      <c r="I62" s="10">
        <f t="shared" si="52"/>
        <v>3122</v>
      </c>
      <c r="K62" s="30">
        <f t="shared" si="37"/>
        <v>0.16945440815555976</v>
      </c>
      <c r="L62" s="30">
        <f t="shared" si="38"/>
        <v>0.20052223331541355</v>
      </c>
      <c r="M62" s="30">
        <f t="shared" si="39"/>
        <v>0.26919992362039336</v>
      </c>
      <c r="N62" s="30">
        <f t="shared" si="40"/>
        <v>0.20326700564519357</v>
      </c>
      <c r="O62" s="30">
        <f t="shared" si="41"/>
        <v>0.72811024821075077</v>
      </c>
      <c r="P62" s="30">
        <f t="shared" si="42"/>
        <v>0.11412793373216751</v>
      </c>
      <c r="Q62" s="31"/>
      <c r="R62" s="30">
        <f t="shared" si="43"/>
        <v>8.5635370196636043E-2</v>
      </c>
      <c r="S62" s="30">
        <f t="shared" si="44"/>
        <v>0.93617419376710242</v>
      </c>
      <c r="T62" s="30">
        <f t="shared" si="45"/>
        <v>-0.14055917273075449</v>
      </c>
      <c r="U62" s="30">
        <f t="shared" si="46"/>
        <v>-0.25918570009930486</v>
      </c>
      <c r="V62" s="30">
        <f t="shared" si="47"/>
        <v>0.3884183572976167</v>
      </c>
      <c r="W62" s="30">
        <f t="shared" si="48"/>
        <v>-0.73454982746000208</v>
      </c>
      <c r="X62" s="30">
        <f t="shared" si="49"/>
        <v>5.426747311827957</v>
      </c>
    </row>
    <row r="63" spans="1:24" x14ac:dyDescent="0.25">
      <c r="A63" s="2" t="s">
        <v>54</v>
      </c>
      <c r="B63" s="2">
        <f>+B58-B62</f>
        <v>3634</v>
      </c>
      <c r="C63" s="2">
        <f t="shared" ref="C63:G63" si="53">+C58-C62</f>
        <v>3460</v>
      </c>
      <c r="D63" s="2">
        <f t="shared" si="53"/>
        <v>2128</v>
      </c>
      <c r="E63" s="2">
        <f t="shared" si="53"/>
        <v>3070</v>
      </c>
      <c r="F63" s="2">
        <f t="shared" si="53"/>
        <v>-10205</v>
      </c>
      <c r="G63" s="2">
        <f t="shared" si="53"/>
        <v>6057</v>
      </c>
      <c r="H63" s="2">
        <f t="shared" ref="H63:I63" si="54">+H58-H62</f>
        <v>6142</v>
      </c>
      <c r="I63" s="2">
        <f t="shared" si="54"/>
        <v>2639</v>
      </c>
      <c r="K63" s="28">
        <f t="shared" si="37"/>
        <v>0.13720974136303568</v>
      </c>
      <c r="L63" s="28">
        <f t="shared" si="38"/>
        <v>0.13286229936256816</v>
      </c>
      <c r="M63" s="28">
        <f t="shared" si="39"/>
        <v>8.1267901470307422E-2</v>
      </c>
      <c r="N63" s="28">
        <f t="shared" si="40"/>
        <v>0.12291308003363094</v>
      </c>
      <c r="O63" s="28">
        <f t="shared" si="41"/>
        <v>-0.38849550784224152</v>
      </c>
      <c r="P63" s="28">
        <f t="shared" si="42"/>
        <v>0.23228255867464334</v>
      </c>
      <c r="R63" s="28">
        <f t="shared" si="43"/>
        <v>-9.7129486369166726E-2</v>
      </c>
      <c r="S63" s="28">
        <f t="shared" si="44"/>
        <v>-0.72325438425943411</v>
      </c>
      <c r="T63" s="28">
        <f t="shared" si="45"/>
        <v>5.0289017341040465E-2</v>
      </c>
      <c r="U63" s="28">
        <f t="shared" si="46"/>
        <v>0.62593984962406013</v>
      </c>
      <c r="V63" s="28">
        <f t="shared" si="47"/>
        <v>-0.30684039087947884</v>
      </c>
      <c r="W63" s="28">
        <f t="shared" si="48"/>
        <v>-1.3008329250367467</v>
      </c>
      <c r="X63" s="28">
        <f t="shared" si="49"/>
        <v>-2.6848274723460457</v>
      </c>
    </row>
    <row r="64" spans="1:24" x14ac:dyDescent="0.25">
      <c r="A64" s="5" t="s">
        <v>55</v>
      </c>
      <c r="B64" s="2">
        <v>921</v>
      </c>
      <c r="C64" s="2">
        <v>2047</v>
      </c>
      <c r="D64" s="2">
        <v>1394</v>
      </c>
      <c r="E64" s="2">
        <v>1361</v>
      </c>
      <c r="F64" s="2">
        <v>1284</v>
      </c>
      <c r="G64" s="2">
        <v>1234</v>
      </c>
      <c r="H64" s="2">
        <v>1134</v>
      </c>
      <c r="I64" s="2">
        <v>1321</v>
      </c>
      <c r="K64" s="28">
        <f t="shared" si="37"/>
        <v>3.4774400604115539E-2</v>
      </c>
      <c r="L64" s="28">
        <f t="shared" si="38"/>
        <v>7.860379387143844E-2</v>
      </c>
      <c r="M64" s="28">
        <f t="shared" si="39"/>
        <v>5.3236585831582965E-2</v>
      </c>
      <c r="N64" s="28">
        <f t="shared" si="40"/>
        <v>5.4490130920446814E-2</v>
      </c>
      <c r="O64" s="28">
        <f t="shared" si="41"/>
        <v>4.8880767473732295E-2</v>
      </c>
      <c r="P64" s="28">
        <f t="shared" si="42"/>
        <v>4.7323209081147413E-2</v>
      </c>
      <c r="R64" s="28">
        <f t="shared" si="43"/>
        <v>-5.6832354866180976E-2</v>
      </c>
      <c r="S64" s="28">
        <f t="shared" si="44"/>
        <v>8.6194480407803427E-3</v>
      </c>
      <c r="T64" s="28">
        <f t="shared" si="45"/>
        <v>-0.55007327796775773</v>
      </c>
      <c r="U64" s="28">
        <f t="shared" si="46"/>
        <v>0.4684361549497848</v>
      </c>
      <c r="V64" s="28">
        <f t="shared" si="47"/>
        <v>2.4246877296105803E-2</v>
      </c>
      <c r="W64" s="28">
        <f t="shared" si="48"/>
        <v>5.9968847352024922E-2</v>
      </c>
      <c r="X64" s="28">
        <f t="shared" si="49"/>
        <v>4.0518638573743923E-2</v>
      </c>
    </row>
    <row r="65" spans="1:24" x14ac:dyDescent="0.25">
      <c r="A65" s="5" t="s">
        <v>56</v>
      </c>
      <c r="B65" s="2">
        <v>-253</v>
      </c>
      <c r="C65" s="2">
        <v>-295</v>
      </c>
      <c r="D65" s="2">
        <v>-296</v>
      </c>
      <c r="E65" s="2">
        <v>-952</v>
      </c>
      <c r="F65" s="2">
        <v>-168</v>
      </c>
      <c r="G65" s="2">
        <v>-627</v>
      </c>
      <c r="H65" s="2">
        <v>-15</v>
      </c>
      <c r="I65" s="2">
        <v>305</v>
      </c>
      <c r="K65" s="30">
        <f t="shared" si="37"/>
        <v>-9.5525769303379266E-3</v>
      </c>
      <c r="L65" s="30">
        <f t="shared" si="38"/>
        <v>-1.1327855003455956E-2</v>
      </c>
      <c r="M65" s="30">
        <f t="shared" si="39"/>
        <v>-1.1304181783463815E-2</v>
      </c>
      <c r="N65" s="30">
        <f t="shared" si="40"/>
        <v>-3.8115065860591747E-2</v>
      </c>
      <c r="O65" s="30">
        <f t="shared" si="41"/>
        <v>-6.395614435815441E-3</v>
      </c>
      <c r="P65" s="30">
        <f t="shared" si="42"/>
        <v>-2.4045098941555453E-2</v>
      </c>
      <c r="Q65" s="31"/>
      <c r="R65" s="30">
        <f t="shared" si="43"/>
        <v>-0.16599127110650957</v>
      </c>
      <c r="S65" s="30">
        <f t="shared" si="44"/>
        <v>0.61995647208246263</v>
      </c>
      <c r="T65" s="30">
        <f t="shared" si="45"/>
        <v>-0.14237288135593221</v>
      </c>
      <c r="U65" s="30">
        <f t="shared" si="46"/>
        <v>-3.3783783783783786E-3</v>
      </c>
      <c r="V65" s="30">
        <f t="shared" si="47"/>
        <v>-0.68907563025210083</v>
      </c>
      <c r="W65" s="30">
        <f t="shared" si="48"/>
        <v>4.666666666666667</v>
      </c>
      <c r="X65" s="30">
        <f t="shared" si="49"/>
        <v>-0.73205741626794263</v>
      </c>
    </row>
    <row r="66" spans="1:24" x14ac:dyDescent="0.25">
      <c r="A66" s="2" t="s">
        <v>57</v>
      </c>
      <c r="B66" s="6">
        <f>+B63-B64-B65</f>
        <v>2966</v>
      </c>
      <c r="C66" s="6">
        <f t="shared" ref="C66:I66" si="55">+C63-C64-C65</f>
        <v>1708</v>
      </c>
      <c r="D66" s="6">
        <f t="shared" si="55"/>
        <v>1030</v>
      </c>
      <c r="E66" s="6">
        <f t="shared" si="55"/>
        <v>2661</v>
      </c>
      <c r="F66" s="6">
        <f t="shared" si="55"/>
        <v>-11321</v>
      </c>
      <c r="G66" s="6">
        <f t="shared" si="55"/>
        <v>5450</v>
      </c>
      <c r="H66" s="6">
        <f t="shared" si="55"/>
        <v>5023</v>
      </c>
      <c r="I66" s="6">
        <f t="shared" si="55"/>
        <v>1013</v>
      </c>
      <c r="K66" s="28">
        <f t="shared" si="37"/>
        <v>0.11198791768925807</v>
      </c>
      <c r="L66" s="28">
        <f t="shared" si="38"/>
        <v>6.5586360494585674E-2</v>
      </c>
      <c r="M66" s="28">
        <f t="shared" si="39"/>
        <v>3.9335497422188274E-2</v>
      </c>
      <c r="N66" s="28">
        <f t="shared" si="40"/>
        <v>0.10653801497377588</v>
      </c>
      <c r="O66" s="28">
        <f t="shared" si="41"/>
        <v>-0.43098066088015835</v>
      </c>
      <c r="P66" s="28">
        <f t="shared" si="42"/>
        <v>0.2090044485350514</v>
      </c>
      <c r="R66" s="28">
        <f t="shared" si="43"/>
        <v>-0.11456858041064177</v>
      </c>
      <c r="S66" s="28">
        <f t="shared" si="44"/>
        <v>-0.7060877399039478</v>
      </c>
      <c r="T66" s="28">
        <f t="shared" si="45"/>
        <v>0.7365339578454333</v>
      </c>
      <c r="U66" s="28">
        <f t="shared" si="46"/>
        <v>0.65825242718446597</v>
      </c>
      <c r="V66" s="28">
        <f t="shared" si="47"/>
        <v>-0.61292747087561072</v>
      </c>
      <c r="W66" s="28">
        <f t="shared" si="48"/>
        <v>-1.2350499072520096</v>
      </c>
      <c r="X66" s="28">
        <f t="shared" si="49"/>
        <v>-3.0772477064220185</v>
      </c>
    </row>
    <row r="67" spans="1:24" x14ac:dyDescent="0.25">
      <c r="A67" s="5" t="s">
        <v>58</v>
      </c>
      <c r="B67" s="2">
        <v>598</v>
      </c>
      <c r="C67" s="2">
        <v>684</v>
      </c>
      <c r="D67" s="2">
        <v>669</v>
      </c>
      <c r="E67" s="2">
        <v>728</v>
      </c>
      <c r="F67" s="2">
        <v>-1067</v>
      </c>
      <c r="G67" s="2">
        <v>-5482</v>
      </c>
      <c r="H67" s="2">
        <v>1381</v>
      </c>
      <c r="I67" s="2">
        <v>366</v>
      </c>
      <c r="K67" s="30">
        <f t="shared" si="37"/>
        <v>2.2578818198980555E-2</v>
      </c>
      <c r="L67" s="30">
        <f t="shared" si="38"/>
        <v>2.6265263804623303E-2</v>
      </c>
      <c r="M67" s="30">
        <f t="shared" si="39"/>
        <v>2.5548978422761121E-2</v>
      </c>
      <c r="N67" s="30">
        <f t="shared" si="40"/>
        <v>2.9146815069864274E-2</v>
      </c>
      <c r="O67" s="30">
        <f t="shared" si="41"/>
        <v>-4.0619765494137351E-2</v>
      </c>
      <c r="P67" s="30">
        <f t="shared" si="42"/>
        <v>-0.21023163061819297</v>
      </c>
      <c r="Q67" s="31"/>
      <c r="R67" s="30" t="e">
        <f t="shared" si="43"/>
        <v>#NUM!</v>
      </c>
      <c r="S67" s="30">
        <f t="shared" si="44"/>
        <v>-0.53440064342280214</v>
      </c>
      <c r="T67" s="30">
        <f t="shared" si="45"/>
        <v>-0.12573099415204678</v>
      </c>
      <c r="U67" s="30">
        <f t="shared" si="46"/>
        <v>2.2421524663677129E-2</v>
      </c>
      <c r="V67" s="30">
        <f t="shared" si="47"/>
        <v>-8.1043956043956047E-2</v>
      </c>
      <c r="W67" s="30">
        <f t="shared" si="48"/>
        <v>-1.6822867853795689</v>
      </c>
      <c r="X67" s="30">
        <f t="shared" si="49"/>
        <v>-0.80536300620211598</v>
      </c>
    </row>
    <row r="68" spans="1:24" x14ac:dyDescent="0.25">
      <c r="A68" s="2" t="s">
        <v>61</v>
      </c>
      <c r="B68" s="6">
        <f>+B66-B67</f>
        <v>2368</v>
      </c>
      <c r="C68" s="6">
        <f t="shared" ref="C68:G68" si="56">+C66-C67</f>
        <v>1024</v>
      </c>
      <c r="D68" s="6">
        <f t="shared" si="56"/>
        <v>361</v>
      </c>
      <c r="E68" s="6">
        <f t="shared" si="56"/>
        <v>1933</v>
      </c>
      <c r="F68" s="6">
        <f t="shared" si="56"/>
        <v>-10254</v>
      </c>
      <c r="G68" s="6">
        <f t="shared" si="56"/>
        <v>10932</v>
      </c>
      <c r="H68" s="6">
        <f t="shared" ref="H68:I68" si="57">+H66-H67</f>
        <v>3642</v>
      </c>
      <c r="I68" s="6">
        <f t="shared" si="57"/>
        <v>647</v>
      </c>
      <c r="K68" s="28">
        <f t="shared" si="37"/>
        <v>8.9409099490277519E-2</v>
      </c>
      <c r="L68" s="28">
        <f t="shared" si="38"/>
        <v>3.9321096689962372E-2</v>
      </c>
      <c r="M68" s="28">
        <f t="shared" si="39"/>
        <v>1.3786518999427153E-2</v>
      </c>
      <c r="N68" s="28">
        <f t="shared" si="40"/>
        <v>7.7391199903911592E-2</v>
      </c>
      <c r="O68" s="28">
        <f t="shared" si="41"/>
        <v>-0.39036089538602103</v>
      </c>
      <c r="P68" s="28">
        <f t="shared" si="42"/>
        <v>0.41923607915324435</v>
      </c>
      <c r="R68" s="28">
        <f t="shared" si="43"/>
        <v>-0.26356161826246205</v>
      </c>
      <c r="S68" s="28">
        <f t="shared" si="44"/>
        <v>-0.15813412150269723</v>
      </c>
      <c r="T68" s="28">
        <f t="shared" si="45"/>
        <v>1.3125</v>
      </c>
      <c r="U68" s="28">
        <f t="shared" si="46"/>
        <v>1.8365650969529086</v>
      </c>
      <c r="V68" s="28">
        <f t="shared" si="47"/>
        <v>-0.81324366270046555</v>
      </c>
      <c r="W68" s="28">
        <f t="shared" si="48"/>
        <v>-1.1885118002730641</v>
      </c>
      <c r="X68" s="28">
        <f t="shared" si="49"/>
        <v>-1.9379802414928651</v>
      </c>
    </row>
    <row r="69" spans="1:24" x14ac:dyDescent="0.25">
      <c r="A69" s="5" t="s">
        <v>38</v>
      </c>
      <c r="B69" s="2">
        <v>5</v>
      </c>
      <c r="C69" s="2">
        <v>12</v>
      </c>
      <c r="D69" s="2">
        <v>5</v>
      </c>
      <c r="E69" s="2">
        <v>-2</v>
      </c>
      <c r="F69" s="2">
        <v>-62</v>
      </c>
      <c r="G69" s="2">
        <v>-9</v>
      </c>
      <c r="H69" s="2">
        <v>10</v>
      </c>
      <c r="I69" s="2">
        <v>13</v>
      </c>
      <c r="K69" s="28">
        <f t="shared" si="37"/>
        <v>1.8878610534264677E-4</v>
      </c>
      <c r="L69" s="28">
        <f t="shared" si="38"/>
        <v>4.6079410183549652E-4</v>
      </c>
      <c r="M69" s="28">
        <f t="shared" si="39"/>
        <v>1.9094901661256445E-4</v>
      </c>
      <c r="N69" s="28">
        <f t="shared" si="40"/>
        <v>-8.0073667774352406E-5</v>
      </c>
      <c r="O69" s="28">
        <f t="shared" si="41"/>
        <v>-2.3602862798842699E-3</v>
      </c>
      <c r="P69" s="28">
        <f t="shared" si="42"/>
        <v>-3.4514496088357109E-4</v>
      </c>
      <c r="R69" s="28" t="e">
        <f t="shared" si="43"/>
        <v>#NUM!</v>
      </c>
      <c r="S69" s="28">
        <f t="shared" si="44"/>
        <v>0.44756272401433694</v>
      </c>
      <c r="T69" s="28">
        <f t="shared" si="45"/>
        <v>-0.58333333333333337</v>
      </c>
      <c r="U69" s="28">
        <f t="shared" si="46"/>
        <v>1.4</v>
      </c>
      <c r="V69" s="28">
        <f t="shared" si="47"/>
        <v>-3.5</v>
      </c>
      <c r="W69" s="28">
        <f t="shared" si="48"/>
        <v>-0.967741935483871</v>
      </c>
      <c r="X69" s="28">
        <f t="shared" si="49"/>
        <v>5.8888888888888893</v>
      </c>
    </row>
    <row r="70" spans="1:24" ht="15.75" thickBot="1" x14ac:dyDescent="0.3">
      <c r="A70" s="2" t="s">
        <v>60</v>
      </c>
      <c r="B70" s="9">
        <f>+B68-B69</f>
        <v>2363</v>
      </c>
      <c r="C70" s="9">
        <f t="shared" ref="C70:G70" si="58">+C68-C69</f>
        <v>1012</v>
      </c>
      <c r="D70" s="9">
        <f t="shared" si="58"/>
        <v>356</v>
      </c>
      <c r="E70" s="9">
        <f t="shared" si="58"/>
        <v>1935</v>
      </c>
      <c r="F70" s="9">
        <f t="shared" si="58"/>
        <v>-10192</v>
      </c>
      <c r="G70" s="9">
        <f t="shared" si="58"/>
        <v>10941</v>
      </c>
      <c r="H70" s="6">
        <f t="shared" ref="H70:I70" si="59">+H68-H69</f>
        <v>3632</v>
      </c>
      <c r="I70" s="6">
        <f t="shared" si="59"/>
        <v>634</v>
      </c>
      <c r="K70" s="32">
        <f t="shared" si="37"/>
        <v>8.9220313384934871E-2</v>
      </c>
      <c r="L70" s="32">
        <f t="shared" si="38"/>
        <v>3.8860302588126873E-2</v>
      </c>
      <c r="M70" s="32">
        <f t="shared" si="39"/>
        <v>1.3595569982814588E-2</v>
      </c>
      <c r="N70" s="32">
        <f t="shared" si="40"/>
        <v>7.7471273571685956E-2</v>
      </c>
      <c r="O70" s="32">
        <f t="shared" si="41"/>
        <v>-0.38800060910613676</v>
      </c>
      <c r="P70" s="32">
        <f t="shared" si="42"/>
        <v>0.41958122411412796</v>
      </c>
      <c r="Q70" s="11"/>
      <c r="R70" s="32">
        <f t="shared" si="43"/>
        <v>-0.26399402380581244</v>
      </c>
      <c r="S70" s="32">
        <f t="shared" si="44"/>
        <v>-0.15194810002519135</v>
      </c>
      <c r="T70" s="32">
        <f t="shared" si="45"/>
        <v>1.3349802371541502</v>
      </c>
      <c r="U70" s="32">
        <f t="shared" si="46"/>
        <v>1.8426966292134832</v>
      </c>
      <c r="V70" s="32">
        <f t="shared" si="47"/>
        <v>-0.81602067183462534</v>
      </c>
      <c r="W70" s="32">
        <f t="shared" si="48"/>
        <v>-1.1898547880690737</v>
      </c>
      <c r="X70" s="32">
        <f t="shared" si="49"/>
        <v>-1.9315419065898913</v>
      </c>
    </row>
    <row r="71" spans="1:24" ht="15.75" thickTop="1" x14ac:dyDescent="0.25">
      <c r="A71" s="2" t="s">
        <v>250</v>
      </c>
      <c r="B71" s="2">
        <v>0</v>
      </c>
      <c r="C71" s="2">
        <v>0</v>
      </c>
      <c r="D71" s="2">
        <v>0</v>
      </c>
      <c r="E71" s="2">
        <v>0</v>
      </c>
      <c r="F71" s="2">
        <v>0</v>
      </c>
      <c r="G71" s="2">
        <v>0</v>
      </c>
      <c r="H71" s="2">
        <v>180</v>
      </c>
      <c r="I71" s="2">
        <v>900</v>
      </c>
      <c r="K71" s="28"/>
      <c r="L71" s="28"/>
      <c r="M71" s="28"/>
      <c r="N71" s="28"/>
      <c r="O71" s="28"/>
      <c r="P71" s="28"/>
      <c r="R71" s="28"/>
      <c r="S71" s="28"/>
      <c r="T71" s="28"/>
      <c r="U71" s="28"/>
      <c r="V71" s="28"/>
      <c r="W71" s="28"/>
      <c r="X71" s="28"/>
    </row>
    <row r="72" spans="1:24" ht="15.75" thickBot="1" x14ac:dyDescent="0.3">
      <c r="A72" s="2" t="s">
        <v>251</v>
      </c>
      <c r="B72" s="9">
        <f>+B70-B71</f>
        <v>2363</v>
      </c>
      <c r="C72" s="9">
        <f t="shared" ref="C72:G72" si="60">+C70-C71</f>
        <v>1012</v>
      </c>
      <c r="D72" s="9">
        <f t="shared" si="60"/>
        <v>356</v>
      </c>
      <c r="E72" s="9">
        <f t="shared" si="60"/>
        <v>1935</v>
      </c>
      <c r="F72" s="9">
        <f t="shared" si="60"/>
        <v>-10192</v>
      </c>
      <c r="G72" s="9">
        <f t="shared" si="60"/>
        <v>10941</v>
      </c>
      <c r="H72" s="9">
        <f>+H70-H71</f>
        <v>3452</v>
      </c>
      <c r="I72" s="9">
        <f>+I70-I71</f>
        <v>-266</v>
      </c>
      <c r="K72" s="28"/>
      <c r="L72" s="28"/>
      <c r="M72" s="28"/>
      <c r="N72" s="28"/>
      <c r="O72" s="28"/>
      <c r="P72" s="28"/>
      <c r="R72" s="28"/>
      <c r="S72" s="28"/>
      <c r="T72" s="28"/>
      <c r="U72" s="28"/>
      <c r="V72" s="28"/>
      <c r="W72" s="28"/>
      <c r="X72" s="28"/>
    </row>
    <row r="73" spans="1:24" ht="15.75" thickTop="1" x14ac:dyDescent="0.25">
      <c r="K73" s="28"/>
      <c r="L73" s="28"/>
      <c r="M73" s="28"/>
      <c r="N73" s="28"/>
      <c r="O73" s="28"/>
      <c r="P73" s="28"/>
      <c r="R73" s="28"/>
      <c r="S73" s="28"/>
      <c r="T73" s="28"/>
      <c r="U73" s="28"/>
      <c r="V73" s="28"/>
      <c r="W73" s="28"/>
      <c r="X73" s="28"/>
    </row>
    <row r="74" spans="1:24" x14ac:dyDescent="0.25">
      <c r="A74" s="2" t="s">
        <v>62</v>
      </c>
      <c r="B74" s="21">
        <v>1235</v>
      </c>
      <c r="C74" s="21">
        <v>1236</v>
      </c>
      <c r="D74" s="21">
        <v>1228</v>
      </c>
      <c r="E74" s="21">
        <v>1224</v>
      </c>
      <c r="F74" s="21">
        <v>1219</v>
      </c>
      <c r="G74" s="21">
        <v>1228</v>
      </c>
      <c r="H74" s="21">
        <f>3452/2.81</f>
        <v>1228.4697508896797</v>
      </c>
      <c r="I74" s="21">
        <f>-266/-0.34</f>
        <v>782.35294117647049</v>
      </c>
      <c r="K74" s="28"/>
      <c r="L74" s="28"/>
      <c r="M74" s="28"/>
      <c r="N74" s="28"/>
      <c r="O74" s="28"/>
      <c r="P74" s="28"/>
      <c r="R74" s="28">
        <f>RATE(5,0,-G74,B74)</f>
        <v>1.1374745049678259E-3</v>
      </c>
      <c r="S74" s="28">
        <f t="shared" si="44"/>
        <v>1.1492605687045796E-3</v>
      </c>
      <c r="T74" s="28">
        <f t="shared" ref="T74:X76" si="61">(+B74-C74)/C74</f>
        <v>-8.090614886731392E-4</v>
      </c>
      <c r="U74" s="28">
        <f t="shared" si="61"/>
        <v>6.5146579804560263E-3</v>
      </c>
      <c r="V74" s="28">
        <f t="shared" si="61"/>
        <v>3.2679738562091504E-3</v>
      </c>
      <c r="W74" s="28">
        <f t="shared" si="61"/>
        <v>4.1017227235438884E-3</v>
      </c>
      <c r="X74" s="28">
        <f t="shared" si="61"/>
        <v>-7.3289902280130291E-3</v>
      </c>
    </row>
    <row r="75" spans="1:24" x14ac:dyDescent="0.25">
      <c r="A75" s="2" t="s">
        <v>63</v>
      </c>
      <c r="B75" s="7">
        <f>+B70/B74</f>
        <v>1.9133603238866397</v>
      </c>
      <c r="C75" s="7">
        <f t="shared" ref="C75:G75" si="62">+C70/C74</f>
        <v>0.81877022653721687</v>
      </c>
      <c r="D75" s="7">
        <f t="shared" si="62"/>
        <v>0.28990228013029318</v>
      </c>
      <c r="E75" s="7">
        <f t="shared" si="62"/>
        <v>1.5808823529411764</v>
      </c>
      <c r="F75" s="7">
        <f t="shared" si="62"/>
        <v>-8.3609515996718624</v>
      </c>
      <c r="G75" s="7">
        <f t="shared" si="62"/>
        <v>8.9096091205211732</v>
      </c>
      <c r="H75" s="7">
        <f>+H72/H74</f>
        <v>2.81</v>
      </c>
      <c r="I75" s="7">
        <f>+I72/I74</f>
        <v>-0.34</v>
      </c>
      <c r="K75" s="28"/>
      <c r="L75" s="28"/>
      <c r="M75" s="28"/>
      <c r="N75" s="28"/>
      <c r="O75" s="28"/>
      <c r="P75" s="28"/>
      <c r="R75" s="28">
        <f>RATE(5,0,-G75,B75)</f>
        <v>-0.26483026064109128</v>
      </c>
      <c r="S75" s="28">
        <f t="shared" si="44"/>
        <v>-0.15659011145761975</v>
      </c>
      <c r="T75" s="28">
        <f t="shared" si="61"/>
        <v>1.3368709094109552</v>
      </c>
      <c r="U75" s="28">
        <f t="shared" si="61"/>
        <v>1.8242972982800625</v>
      </c>
      <c r="V75" s="28">
        <f t="shared" si="61"/>
        <v>-0.81661995303386115</v>
      </c>
      <c r="W75" s="28">
        <f t="shared" si="61"/>
        <v>-1.1890792374642163</v>
      </c>
      <c r="X75" s="28">
        <f t="shared" si="61"/>
        <v>-1.9384195744810389</v>
      </c>
    </row>
    <row r="76" spans="1:24" x14ac:dyDescent="0.25">
      <c r="A76" s="2" t="s">
        <v>120</v>
      </c>
      <c r="B76" s="27">
        <v>1.6</v>
      </c>
      <c r="C76" s="27">
        <v>1.6</v>
      </c>
      <c r="D76" s="27">
        <v>1.6</v>
      </c>
      <c r="E76" s="27">
        <v>1.6</v>
      </c>
      <c r="F76" s="27">
        <v>2.5</v>
      </c>
      <c r="G76" s="27">
        <v>2.4500000000000002</v>
      </c>
      <c r="H76" s="27">
        <v>2.35</v>
      </c>
      <c r="I76" s="27">
        <v>1.7</v>
      </c>
      <c r="K76" s="28"/>
      <c r="L76" s="28"/>
      <c r="M76" s="28"/>
      <c r="N76" s="28"/>
      <c r="O76" s="28"/>
      <c r="P76" s="28"/>
      <c r="R76" s="28">
        <f>RATE(5,0,-G76,B76)</f>
        <v>-8.1686900081131844E-2</v>
      </c>
      <c r="S76" s="28">
        <f t="shared" si="44"/>
        <v>-6.7918367346938791E-2</v>
      </c>
      <c r="T76" s="28">
        <f t="shared" si="61"/>
        <v>0</v>
      </c>
      <c r="U76" s="28">
        <f t="shared" si="61"/>
        <v>0</v>
      </c>
      <c r="V76" s="28">
        <f t="shared" si="61"/>
        <v>0</v>
      </c>
      <c r="W76" s="28">
        <f t="shared" si="61"/>
        <v>-0.36</v>
      </c>
      <c r="X76" s="28">
        <f t="shared" si="61"/>
        <v>2.0408163265306048E-2</v>
      </c>
    </row>
    <row r="77" spans="1:24" x14ac:dyDescent="0.25">
      <c r="B77" s="7"/>
      <c r="C77" s="7"/>
      <c r="D77" s="7"/>
      <c r="E77" s="7"/>
      <c r="F77" s="7"/>
      <c r="G77" s="7"/>
      <c r="H77" s="7"/>
      <c r="I77" s="7"/>
      <c r="K77" s="28"/>
      <c r="L77" s="28"/>
      <c r="M77" s="28"/>
      <c r="N77" s="28"/>
      <c r="O77" s="28"/>
      <c r="P77" s="28"/>
      <c r="R77" s="28"/>
      <c r="S77" s="28"/>
      <c r="T77" s="28"/>
      <c r="U77" s="28"/>
      <c r="V77" s="28"/>
      <c r="W77" s="28"/>
      <c r="X77" s="28"/>
    </row>
    <row r="78" spans="1:24" x14ac:dyDescent="0.25">
      <c r="K78" s="28"/>
      <c r="L78" s="28"/>
      <c r="M78" s="28"/>
      <c r="N78" s="28"/>
      <c r="O78" s="28"/>
      <c r="P78" s="28"/>
      <c r="R78" s="28"/>
      <c r="S78" s="28"/>
      <c r="T78" s="28"/>
      <c r="U78" s="28"/>
      <c r="V78" s="28"/>
      <c r="W78" s="28"/>
      <c r="X78" s="28"/>
    </row>
    <row r="79" spans="1:24" s="15" customFormat="1" x14ac:dyDescent="0.25">
      <c r="A79" s="15" t="str">
        <f>+A1</f>
        <v>Kraft Heinz Company</v>
      </c>
      <c r="B79" s="15" t="str">
        <f>+B1</f>
        <v>As reported</v>
      </c>
      <c r="K79" s="15" t="str">
        <f>+B79</f>
        <v>As reported</v>
      </c>
      <c r="R79" s="15" t="str">
        <f>+B79</f>
        <v>As reported</v>
      </c>
    </row>
    <row r="80" spans="1:24" s="15" customFormat="1" x14ac:dyDescent="0.25">
      <c r="A80" s="15" t="s">
        <v>64</v>
      </c>
      <c r="K80" s="15" t="s">
        <v>138</v>
      </c>
      <c r="R80" s="15" t="s">
        <v>131</v>
      </c>
    </row>
    <row r="81" spans="1:24" s="15" customFormat="1" x14ac:dyDescent="0.25">
      <c r="A81" s="15" t="str">
        <f>+A3</f>
        <v>in millions except per share data</v>
      </c>
      <c r="F81" s="15" t="s">
        <v>149</v>
      </c>
      <c r="G81" s="16" t="s">
        <v>125</v>
      </c>
      <c r="H81" s="16"/>
      <c r="I81" s="16" t="s">
        <v>280</v>
      </c>
      <c r="P81" s="16" t="s">
        <v>125</v>
      </c>
      <c r="R81" s="15" t="s">
        <v>127</v>
      </c>
      <c r="S81" s="15" t="s">
        <v>129</v>
      </c>
      <c r="T81" s="15" t="s">
        <v>132</v>
      </c>
      <c r="U81" s="15" t="s">
        <v>133</v>
      </c>
      <c r="V81" s="15" t="s">
        <v>134</v>
      </c>
      <c r="W81" s="15" t="s">
        <v>135</v>
      </c>
      <c r="X81" s="15" t="s">
        <v>136</v>
      </c>
    </row>
    <row r="82" spans="1:24" s="15" customFormat="1" ht="15.75" thickBot="1" x14ac:dyDescent="0.3">
      <c r="A82" s="16" t="str">
        <f>+A4</f>
        <v>Year ended near 12/31:</v>
      </c>
      <c r="B82" s="17">
        <v>2022</v>
      </c>
      <c r="C82" s="17">
        <v>2021</v>
      </c>
      <c r="D82" s="17">
        <v>2020</v>
      </c>
      <c r="E82" s="17">
        <v>2019</v>
      </c>
      <c r="F82" s="17">
        <v>2018</v>
      </c>
      <c r="G82" s="17">
        <v>2017</v>
      </c>
      <c r="H82" s="17">
        <v>2016</v>
      </c>
      <c r="I82" s="17">
        <v>2015</v>
      </c>
      <c r="K82" s="17">
        <v>2022</v>
      </c>
      <c r="L82" s="17">
        <v>2021</v>
      </c>
      <c r="M82" s="17">
        <v>2020</v>
      </c>
      <c r="N82" s="17">
        <v>2019</v>
      </c>
      <c r="O82" s="17">
        <v>2018</v>
      </c>
      <c r="P82" s="17">
        <v>2017</v>
      </c>
      <c r="R82" s="29" t="s">
        <v>128</v>
      </c>
      <c r="S82" s="29" t="s">
        <v>130</v>
      </c>
      <c r="T82" s="17">
        <v>2022</v>
      </c>
      <c r="U82" s="17">
        <v>2021</v>
      </c>
      <c r="V82" s="17">
        <v>2020</v>
      </c>
      <c r="W82" s="17">
        <v>2019</v>
      </c>
      <c r="X82" s="17">
        <v>2018</v>
      </c>
    </row>
    <row r="83" spans="1:24" x14ac:dyDescent="0.25">
      <c r="A83" s="2" t="s">
        <v>65</v>
      </c>
      <c r="B83" s="8">
        <f>+B68</f>
        <v>2368</v>
      </c>
      <c r="C83" s="8">
        <f t="shared" ref="C83:G83" si="63">+C68</f>
        <v>1024</v>
      </c>
      <c r="D83" s="8">
        <f t="shared" si="63"/>
        <v>361</v>
      </c>
      <c r="E83" s="8">
        <f t="shared" si="63"/>
        <v>1933</v>
      </c>
      <c r="F83" s="8">
        <f t="shared" si="63"/>
        <v>-10254</v>
      </c>
      <c r="G83" s="8">
        <f t="shared" si="63"/>
        <v>10932</v>
      </c>
      <c r="H83" s="8">
        <f>+H68</f>
        <v>3642</v>
      </c>
      <c r="I83" s="8">
        <f>+I68</f>
        <v>647</v>
      </c>
      <c r="K83" s="28"/>
      <c r="L83" s="28"/>
      <c r="M83" s="28"/>
      <c r="N83" s="28"/>
      <c r="O83" s="28"/>
      <c r="P83" s="28"/>
      <c r="R83" s="28">
        <f>RATE(5,0,-G83,B83)</f>
        <v>-0.26356161826246205</v>
      </c>
      <c r="S83" s="28">
        <f t="shared" si="44"/>
        <v>-0.15813412150269723</v>
      </c>
      <c r="T83" s="28">
        <f t="shared" ref="T83:X85" si="64">(+B83-C83)/C83</f>
        <v>1.3125</v>
      </c>
      <c r="U83" s="28">
        <f t="shared" si="64"/>
        <v>1.8365650969529086</v>
      </c>
      <c r="V83" s="28">
        <f t="shared" si="64"/>
        <v>-0.81324366270046555</v>
      </c>
      <c r="W83" s="28">
        <f t="shared" si="64"/>
        <v>-1.1885118002730641</v>
      </c>
      <c r="X83" s="28">
        <f t="shared" si="64"/>
        <v>-1.9379802414928651</v>
      </c>
    </row>
    <row r="84" spans="1:24" x14ac:dyDescent="0.25">
      <c r="A84" s="5" t="s">
        <v>66</v>
      </c>
      <c r="B84" s="2">
        <v>933</v>
      </c>
      <c r="C84" s="2">
        <v>910</v>
      </c>
      <c r="D84" s="2">
        <v>969</v>
      </c>
      <c r="E84" s="2">
        <v>994</v>
      </c>
      <c r="F84" s="2">
        <v>983</v>
      </c>
      <c r="G84" s="2">
        <v>1031</v>
      </c>
      <c r="H84" s="2">
        <v>1337</v>
      </c>
      <c r="I84" s="2">
        <v>740</v>
      </c>
      <c r="K84" s="28"/>
      <c r="L84" s="28"/>
      <c r="M84" s="28"/>
      <c r="N84" s="28"/>
      <c r="O84" s="28"/>
      <c r="P84" s="28"/>
      <c r="R84" s="28">
        <f>RATE(5,0,-G84,B84)</f>
        <v>-1.9777661112159107E-2</v>
      </c>
      <c r="S84" s="28">
        <f t="shared" si="44"/>
        <v>-1.9226040021655122E-2</v>
      </c>
      <c r="T84" s="28">
        <f t="shared" si="64"/>
        <v>2.5274725274725275E-2</v>
      </c>
      <c r="U84" s="28">
        <f t="shared" si="64"/>
        <v>-6.0887512899896801E-2</v>
      </c>
      <c r="V84" s="28">
        <f t="shared" si="64"/>
        <v>-2.5150905432595575E-2</v>
      </c>
      <c r="W84" s="28">
        <f t="shared" si="64"/>
        <v>1.1190233977619531E-2</v>
      </c>
      <c r="X84" s="28">
        <f t="shared" si="64"/>
        <v>-4.6556741028128033E-2</v>
      </c>
    </row>
    <row r="85" spans="1:24" x14ac:dyDescent="0.25">
      <c r="A85" s="5" t="s">
        <v>67</v>
      </c>
      <c r="B85" s="2">
        <v>-14</v>
      </c>
      <c r="C85" s="2">
        <v>-7</v>
      </c>
      <c r="D85" s="2">
        <v>-122</v>
      </c>
      <c r="E85" s="2">
        <v>-306</v>
      </c>
      <c r="F85" s="2">
        <v>-339</v>
      </c>
      <c r="G85" s="2">
        <v>-328</v>
      </c>
      <c r="H85" s="2">
        <v>-333</v>
      </c>
      <c r="I85" s="2">
        <v>-112</v>
      </c>
      <c r="K85" s="28"/>
      <c r="L85" s="28"/>
      <c r="M85" s="28"/>
      <c r="N85" s="28"/>
      <c r="O85" s="28"/>
      <c r="P85" s="28"/>
      <c r="R85" s="28">
        <f>RATE(5,0,-G85,B85)</f>
        <v>-0.46782944863591575</v>
      </c>
      <c r="S85" s="28">
        <f t="shared" si="44"/>
        <v>-0.12154773754793299</v>
      </c>
      <c r="T85" s="28">
        <f t="shared" si="64"/>
        <v>1</v>
      </c>
      <c r="U85" s="28">
        <f t="shared" si="64"/>
        <v>-0.94262295081967218</v>
      </c>
      <c r="V85" s="28">
        <f t="shared" si="64"/>
        <v>-0.60130718954248363</v>
      </c>
      <c r="W85" s="28">
        <f t="shared" si="64"/>
        <v>-9.7345132743362831E-2</v>
      </c>
      <c r="X85" s="28">
        <f t="shared" si="64"/>
        <v>3.3536585365853661E-2</v>
      </c>
    </row>
    <row r="86" spans="1:24" x14ac:dyDescent="0.25">
      <c r="A86" s="5" t="s">
        <v>252</v>
      </c>
      <c r="B86" s="2">
        <v>0</v>
      </c>
      <c r="C86" s="2">
        <v>0</v>
      </c>
      <c r="D86" s="2">
        <v>0</v>
      </c>
      <c r="E86" s="2">
        <v>0</v>
      </c>
      <c r="F86" s="2">
        <v>0</v>
      </c>
      <c r="G86" s="2">
        <v>0</v>
      </c>
      <c r="H86" s="2">
        <v>0</v>
      </c>
      <c r="I86" s="2">
        <v>347</v>
      </c>
      <c r="K86" s="28"/>
      <c r="L86" s="28"/>
      <c r="M86" s="28"/>
      <c r="N86" s="28"/>
      <c r="O86" s="28"/>
      <c r="P86" s="28"/>
      <c r="R86" s="28"/>
      <c r="S86" s="28"/>
      <c r="T86" s="28"/>
      <c r="U86" s="28"/>
      <c r="V86" s="28"/>
      <c r="W86" s="28"/>
      <c r="X86" s="28"/>
    </row>
    <row r="87" spans="1:24" x14ac:dyDescent="0.25">
      <c r="A87" s="5" t="s">
        <v>80</v>
      </c>
      <c r="B87" s="2">
        <v>-56</v>
      </c>
      <c r="C87" s="2">
        <v>-4</v>
      </c>
      <c r="D87" s="2">
        <v>0</v>
      </c>
      <c r="E87" s="2">
        <v>0</v>
      </c>
      <c r="F87" s="2">
        <v>0</v>
      </c>
      <c r="G87" s="2">
        <v>0</v>
      </c>
      <c r="H87" s="2">
        <v>0</v>
      </c>
      <c r="I87" s="2">
        <v>0</v>
      </c>
      <c r="K87" s="28"/>
      <c r="L87" s="28"/>
      <c r="M87" s="28"/>
      <c r="N87" s="28"/>
      <c r="O87" s="28"/>
      <c r="P87" s="28"/>
      <c r="R87" s="28" t="e">
        <f t="shared" ref="R87:R106" si="65">RATE(5,0,-G87,B87)</f>
        <v>#NUM!</v>
      </c>
      <c r="S87" s="28" t="e">
        <f t="shared" si="44"/>
        <v>#DIV/0!</v>
      </c>
      <c r="T87" s="28">
        <f t="shared" ref="T87:T106" si="66">(+B87-C87)/C87</f>
        <v>13</v>
      </c>
      <c r="U87" s="28" t="e">
        <f t="shared" ref="U87:U106" si="67">(+C87-D87)/D87</f>
        <v>#DIV/0!</v>
      </c>
      <c r="V87" s="28" t="e">
        <f t="shared" ref="V87:V106" si="68">(+D87-E87)/E87</f>
        <v>#DIV/0!</v>
      </c>
      <c r="W87" s="28" t="e">
        <f t="shared" ref="W87:W106" si="69">(+E87-F87)/F87</f>
        <v>#DIV/0!</v>
      </c>
      <c r="X87" s="28" t="e">
        <f t="shared" ref="X87:X106" si="70">(+F87-G87)/G87</f>
        <v>#DIV/0!</v>
      </c>
    </row>
    <row r="88" spans="1:24" x14ac:dyDescent="0.25">
      <c r="A88" s="5" t="s">
        <v>253</v>
      </c>
      <c r="B88" s="2">
        <v>0</v>
      </c>
      <c r="C88" s="2">
        <v>0</v>
      </c>
      <c r="D88" s="2">
        <v>0</v>
      </c>
      <c r="E88" s="2">
        <v>0</v>
      </c>
      <c r="F88" s="2">
        <v>0</v>
      </c>
      <c r="G88" s="2">
        <v>0</v>
      </c>
      <c r="H88" s="2">
        <v>0</v>
      </c>
      <c r="I88" s="2">
        <v>58</v>
      </c>
      <c r="K88" s="28"/>
      <c r="L88" s="28"/>
      <c r="M88" s="28"/>
      <c r="N88" s="28"/>
      <c r="O88" s="28"/>
      <c r="P88" s="28"/>
      <c r="R88" s="28" t="e">
        <f t="shared" si="65"/>
        <v>#NUM!</v>
      </c>
      <c r="S88" s="28" t="e">
        <f t="shared" si="44"/>
        <v>#DIV/0!</v>
      </c>
      <c r="T88" s="28" t="e">
        <f t="shared" si="66"/>
        <v>#DIV/0!</v>
      </c>
      <c r="U88" s="28" t="e">
        <f t="shared" si="67"/>
        <v>#DIV/0!</v>
      </c>
      <c r="V88" s="28" t="e">
        <f t="shared" si="68"/>
        <v>#DIV/0!</v>
      </c>
      <c r="W88" s="28" t="e">
        <f t="shared" si="69"/>
        <v>#DIV/0!</v>
      </c>
      <c r="X88" s="28" t="e">
        <f t="shared" si="70"/>
        <v>#DIV/0!</v>
      </c>
    </row>
    <row r="89" spans="1:24" x14ac:dyDescent="0.25">
      <c r="A89" s="5" t="s">
        <v>68</v>
      </c>
      <c r="B89" s="2">
        <v>148</v>
      </c>
      <c r="C89" s="2">
        <v>197</v>
      </c>
      <c r="D89" s="2">
        <v>156</v>
      </c>
      <c r="E89" s="2">
        <v>46</v>
      </c>
      <c r="F89" s="2">
        <v>33</v>
      </c>
      <c r="G89" s="2">
        <v>46</v>
      </c>
      <c r="H89" s="2">
        <v>46</v>
      </c>
      <c r="I89" s="2">
        <v>133</v>
      </c>
      <c r="K89" s="28"/>
      <c r="L89" s="28"/>
      <c r="M89" s="28"/>
      <c r="N89" s="28"/>
      <c r="O89" s="28"/>
      <c r="P89" s="28"/>
      <c r="R89" s="28">
        <f t="shared" si="65"/>
        <v>0.2632833632037212</v>
      </c>
      <c r="S89" s="28">
        <f t="shared" si="44"/>
        <v>0.50334491889336297</v>
      </c>
      <c r="T89" s="28">
        <f t="shared" si="66"/>
        <v>-0.24873096446700507</v>
      </c>
      <c r="U89" s="28">
        <f t="shared" si="67"/>
        <v>0.26282051282051283</v>
      </c>
      <c r="V89" s="28">
        <f t="shared" si="68"/>
        <v>2.3913043478260869</v>
      </c>
      <c r="W89" s="28">
        <f t="shared" si="69"/>
        <v>0.39393939393939392</v>
      </c>
      <c r="X89" s="28">
        <f t="shared" si="70"/>
        <v>-0.28260869565217389</v>
      </c>
    </row>
    <row r="90" spans="1:24" x14ac:dyDescent="0.25">
      <c r="A90" s="5" t="s">
        <v>28</v>
      </c>
      <c r="B90" s="2">
        <v>-278</v>
      </c>
      <c r="C90" s="2">
        <v>-1042</v>
      </c>
      <c r="D90" s="2">
        <v>-343</v>
      </c>
      <c r="E90" s="2">
        <v>-293</v>
      </c>
      <c r="F90" s="2">
        <v>-1967</v>
      </c>
      <c r="G90" s="2">
        <v>-6495</v>
      </c>
      <c r="H90" s="2">
        <v>-29</v>
      </c>
      <c r="I90" s="2">
        <v>-317</v>
      </c>
      <c r="K90" s="28"/>
      <c r="L90" s="28"/>
      <c r="M90" s="28"/>
      <c r="N90" s="28"/>
      <c r="O90" s="28"/>
      <c r="P90" s="28"/>
      <c r="R90" s="28">
        <f t="shared" si="65"/>
        <v>-0.46753247175287116</v>
      </c>
      <c r="S90" s="28">
        <f t="shared" si="44"/>
        <v>-1.4569977367617493E-2</v>
      </c>
      <c r="T90" s="28">
        <f t="shared" si="66"/>
        <v>-0.73320537428023036</v>
      </c>
      <c r="U90" s="28">
        <f t="shared" si="67"/>
        <v>2.0379008746355685</v>
      </c>
      <c r="V90" s="28">
        <f t="shared" si="68"/>
        <v>0.17064846416382254</v>
      </c>
      <c r="W90" s="28">
        <f t="shared" si="69"/>
        <v>-0.85104219623792576</v>
      </c>
      <c r="X90" s="28">
        <f t="shared" si="70"/>
        <v>-0.69715165511932253</v>
      </c>
    </row>
    <row r="91" spans="1:24" x14ac:dyDescent="0.25">
      <c r="A91" s="5" t="s">
        <v>69</v>
      </c>
      <c r="B91" s="2">
        <v>-23</v>
      </c>
      <c r="C91" s="2">
        <v>-27</v>
      </c>
      <c r="D91" s="2">
        <v>-27</v>
      </c>
      <c r="E91" s="2">
        <v>-32</v>
      </c>
      <c r="F91" s="2">
        <v>-76</v>
      </c>
      <c r="G91" s="2">
        <v>-1659</v>
      </c>
      <c r="H91" s="2">
        <v>-344</v>
      </c>
      <c r="I91" s="2">
        <v>-286</v>
      </c>
      <c r="K91" s="28"/>
      <c r="L91" s="28"/>
      <c r="M91" s="28"/>
      <c r="N91" s="28"/>
      <c r="O91" s="28"/>
      <c r="P91" s="28"/>
      <c r="R91" s="28">
        <f t="shared" si="65"/>
        <v>-0.57501236935767197</v>
      </c>
      <c r="S91" s="28">
        <f t="shared" si="44"/>
        <v>-0.36750695744283352</v>
      </c>
      <c r="T91" s="28">
        <f t="shared" si="66"/>
        <v>-0.14814814814814814</v>
      </c>
      <c r="U91" s="28">
        <f t="shared" si="67"/>
        <v>0</v>
      </c>
      <c r="V91" s="28">
        <f t="shared" si="68"/>
        <v>-0.15625</v>
      </c>
      <c r="W91" s="28">
        <f t="shared" si="69"/>
        <v>-0.57894736842105265</v>
      </c>
      <c r="X91" s="28">
        <f t="shared" si="70"/>
        <v>-0.95418927064496684</v>
      </c>
    </row>
    <row r="92" spans="1:24" x14ac:dyDescent="0.25">
      <c r="A92" s="5" t="s">
        <v>70</v>
      </c>
      <c r="B92" s="2">
        <v>913</v>
      </c>
      <c r="C92" s="2">
        <v>1634</v>
      </c>
      <c r="D92" s="2">
        <v>3399</v>
      </c>
      <c r="E92" s="2">
        <v>1899</v>
      </c>
      <c r="F92" s="2">
        <v>15936</v>
      </c>
      <c r="G92" s="2">
        <v>49</v>
      </c>
      <c r="H92" s="2">
        <v>0</v>
      </c>
      <c r="I92" s="2">
        <v>0</v>
      </c>
      <c r="K92" s="28"/>
      <c r="L92" s="28"/>
      <c r="M92" s="28"/>
      <c r="N92" s="28"/>
      <c r="O92" s="28"/>
      <c r="P92" s="28"/>
      <c r="R92" s="28">
        <f t="shared" si="65"/>
        <v>0.79496068015980603</v>
      </c>
      <c r="S92" s="28">
        <f t="shared" si="44"/>
        <v>64.634604904875033</v>
      </c>
      <c r="T92" s="28">
        <f t="shared" si="66"/>
        <v>-0.44124847001223988</v>
      </c>
      <c r="U92" s="28">
        <f t="shared" si="67"/>
        <v>-0.51927037363930573</v>
      </c>
      <c r="V92" s="28">
        <f t="shared" si="68"/>
        <v>0.78988941548183256</v>
      </c>
      <c r="W92" s="28">
        <f t="shared" si="69"/>
        <v>-0.88083584337349397</v>
      </c>
      <c r="X92" s="28">
        <f t="shared" si="70"/>
        <v>324.22448979591837</v>
      </c>
    </row>
    <row r="93" spans="1:24" x14ac:dyDescent="0.25">
      <c r="A93" s="5" t="s">
        <v>71</v>
      </c>
      <c r="B93" s="2">
        <v>17</v>
      </c>
      <c r="C93" s="2">
        <v>0</v>
      </c>
      <c r="D93" s="2">
        <v>6</v>
      </c>
      <c r="E93" s="2">
        <v>10</v>
      </c>
      <c r="F93" s="2">
        <v>146</v>
      </c>
      <c r="G93" s="2">
        <v>36</v>
      </c>
      <c r="H93" s="2">
        <v>24</v>
      </c>
      <c r="I93" s="2">
        <v>234</v>
      </c>
      <c r="K93" s="28"/>
      <c r="L93" s="28"/>
      <c r="M93" s="28"/>
      <c r="N93" s="28"/>
      <c r="O93" s="28"/>
      <c r="P93" s="28"/>
      <c r="R93" s="28">
        <f t="shared" si="65"/>
        <v>-0.13934462747481444</v>
      </c>
      <c r="S93" s="28" t="e">
        <f t="shared" si="44"/>
        <v>#DIV/0!</v>
      </c>
      <c r="T93" s="28" t="e">
        <f t="shared" si="66"/>
        <v>#DIV/0!</v>
      </c>
      <c r="U93" s="28">
        <f t="shared" si="67"/>
        <v>-1</v>
      </c>
      <c r="V93" s="28">
        <f t="shared" si="68"/>
        <v>-0.4</v>
      </c>
      <c r="W93" s="28">
        <f t="shared" si="69"/>
        <v>-0.93150684931506844</v>
      </c>
      <c r="X93" s="28">
        <f t="shared" si="70"/>
        <v>3.0555555555555554</v>
      </c>
    </row>
    <row r="94" spans="1:24" x14ac:dyDescent="0.25">
      <c r="A94" s="5" t="s">
        <v>254</v>
      </c>
      <c r="B94" s="2">
        <v>0</v>
      </c>
      <c r="C94" s="2">
        <v>0</v>
      </c>
      <c r="D94" s="2">
        <v>0</v>
      </c>
      <c r="E94" s="2">
        <v>0</v>
      </c>
      <c r="F94" s="2">
        <v>0</v>
      </c>
      <c r="G94" s="2">
        <v>0</v>
      </c>
      <c r="H94" s="2">
        <v>0</v>
      </c>
      <c r="I94" s="2">
        <v>236</v>
      </c>
      <c r="K94" s="28"/>
      <c r="L94" s="28"/>
      <c r="M94" s="28"/>
      <c r="N94" s="28"/>
      <c r="O94" s="28"/>
      <c r="P94" s="28"/>
      <c r="R94" s="28" t="e">
        <f t="shared" si="65"/>
        <v>#NUM!</v>
      </c>
      <c r="S94" s="28" t="e">
        <f t="shared" si="44"/>
        <v>#DIV/0!</v>
      </c>
      <c r="T94" s="28" t="e">
        <f t="shared" si="66"/>
        <v>#DIV/0!</v>
      </c>
      <c r="U94" s="28" t="e">
        <f t="shared" si="67"/>
        <v>#DIV/0!</v>
      </c>
      <c r="V94" s="28" t="e">
        <f t="shared" si="68"/>
        <v>#DIV/0!</v>
      </c>
      <c r="W94" s="28" t="e">
        <f t="shared" si="69"/>
        <v>#DIV/0!</v>
      </c>
      <c r="X94" s="28" t="e">
        <f t="shared" si="70"/>
        <v>#DIV/0!</v>
      </c>
    </row>
    <row r="95" spans="1:24" x14ac:dyDescent="0.25">
      <c r="A95" s="5" t="s">
        <v>72</v>
      </c>
      <c r="B95" s="2">
        <v>-25</v>
      </c>
      <c r="C95" s="2">
        <v>-44</v>
      </c>
      <c r="D95" s="2">
        <v>2</v>
      </c>
      <c r="E95" s="2">
        <v>-420</v>
      </c>
      <c r="F95" s="2">
        <v>15</v>
      </c>
      <c r="G95" s="2">
        <v>0</v>
      </c>
      <c r="H95" s="2">
        <v>0</v>
      </c>
      <c r="I95" s="2">
        <v>0</v>
      </c>
      <c r="K95" s="28"/>
      <c r="L95" s="28"/>
      <c r="M95" s="28"/>
      <c r="N95" s="28"/>
      <c r="O95" s="28"/>
      <c r="P95" s="28"/>
      <c r="R95" s="28" t="e">
        <f t="shared" si="65"/>
        <v>#NUM!</v>
      </c>
      <c r="S95" s="28" t="e">
        <f t="shared" si="44"/>
        <v>#DIV/0!</v>
      </c>
      <c r="T95" s="28">
        <f t="shared" si="66"/>
        <v>-0.43181818181818182</v>
      </c>
      <c r="U95" s="28">
        <f t="shared" si="67"/>
        <v>-23</v>
      </c>
      <c r="V95" s="28">
        <f t="shared" si="68"/>
        <v>-1.0047619047619047</v>
      </c>
      <c r="W95" s="28">
        <f t="shared" si="69"/>
        <v>-29</v>
      </c>
      <c r="X95" s="28" t="e">
        <f t="shared" si="70"/>
        <v>#DIV/0!</v>
      </c>
    </row>
    <row r="96" spans="1:24" x14ac:dyDescent="0.25">
      <c r="A96" s="5" t="s">
        <v>73</v>
      </c>
      <c r="B96" s="2">
        <v>0</v>
      </c>
      <c r="C96" s="2">
        <v>1587</v>
      </c>
      <c r="D96" s="2">
        <v>0</v>
      </c>
      <c r="E96" s="2">
        <v>0</v>
      </c>
      <c r="F96" s="2">
        <v>0</v>
      </c>
      <c r="G96" s="2">
        <v>0</v>
      </c>
      <c r="H96" s="2">
        <v>0</v>
      </c>
      <c r="I96" s="2">
        <v>0</v>
      </c>
      <c r="K96" s="28"/>
      <c r="L96" s="28"/>
      <c r="M96" s="28"/>
      <c r="N96" s="28"/>
      <c r="O96" s="28"/>
      <c r="P96" s="28"/>
      <c r="R96" s="28" t="e">
        <f t="shared" si="65"/>
        <v>#NUM!</v>
      </c>
      <c r="S96" s="28" t="e">
        <f t="shared" si="44"/>
        <v>#DIV/0!</v>
      </c>
      <c r="T96" s="28">
        <f t="shared" si="66"/>
        <v>-1</v>
      </c>
      <c r="U96" s="28" t="e">
        <f t="shared" si="67"/>
        <v>#DIV/0!</v>
      </c>
      <c r="V96" s="28" t="e">
        <f t="shared" si="68"/>
        <v>#DIV/0!</v>
      </c>
      <c r="W96" s="28" t="e">
        <f t="shared" si="69"/>
        <v>#DIV/0!</v>
      </c>
      <c r="X96" s="28" t="e">
        <f t="shared" si="70"/>
        <v>#DIV/0!</v>
      </c>
    </row>
    <row r="97" spans="1:24" x14ac:dyDescent="0.25">
      <c r="A97" s="5" t="s">
        <v>74</v>
      </c>
      <c r="B97" s="2">
        <v>-38</v>
      </c>
      <c r="C97" s="2">
        <v>917</v>
      </c>
      <c r="D97" s="2">
        <v>124</v>
      </c>
      <c r="E97" s="2">
        <v>0</v>
      </c>
      <c r="F97" s="2">
        <v>0</v>
      </c>
      <c r="G97" s="2">
        <v>0</v>
      </c>
      <c r="H97" s="2">
        <v>0</v>
      </c>
      <c r="I97" s="2">
        <v>0</v>
      </c>
      <c r="K97" s="28"/>
      <c r="L97" s="28"/>
      <c r="M97" s="28"/>
      <c r="N97" s="28"/>
      <c r="O97" s="28"/>
      <c r="P97" s="28"/>
      <c r="R97" s="28" t="e">
        <f t="shared" si="65"/>
        <v>#NUM!</v>
      </c>
      <c r="S97" s="28" t="e">
        <f t="shared" si="44"/>
        <v>#DIV/0!</v>
      </c>
      <c r="T97" s="28">
        <f t="shared" si="66"/>
        <v>-1.0414394765539803</v>
      </c>
      <c r="U97" s="28">
        <f t="shared" si="67"/>
        <v>6.395161290322581</v>
      </c>
      <c r="V97" s="28" t="e">
        <f t="shared" si="68"/>
        <v>#DIV/0!</v>
      </c>
      <c r="W97" s="28" t="e">
        <f t="shared" si="69"/>
        <v>#DIV/0!</v>
      </c>
      <c r="X97" s="28" t="e">
        <f t="shared" si="70"/>
        <v>#DIV/0!</v>
      </c>
    </row>
    <row r="98" spans="1:24" x14ac:dyDescent="0.25">
      <c r="A98" s="5" t="s">
        <v>75</v>
      </c>
      <c r="B98" s="2">
        <v>7</v>
      </c>
      <c r="C98" s="2">
        <v>-187</v>
      </c>
      <c r="D98" s="2">
        <v>-54</v>
      </c>
      <c r="E98" s="2">
        <v>-46</v>
      </c>
      <c r="F98" s="2">
        <v>160</v>
      </c>
      <c r="G98" s="2">
        <v>253</v>
      </c>
      <c r="H98" s="2">
        <v>-134</v>
      </c>
      <c r="I98" s="2">
        <v>120</v>
      </c>
      <c r="K98" s="28"/>
      <c r="L98" s="28"/>
      <c r="M98" s="28"/>
      <c r="N98" s="28"/>
      <c r="O98" s="28"/>
      <c r="P98" s="28"/>
      <c r="R98" s="30">
        <f t="shared" si="65"/>
        <v>-0.51202732470001944</v>
      </c>
      <c r="S98" s="30">
        <f t="shared" si="44"/>
        <v>-1.1129216289062849E-2</v>
      </c>
      <c r="T98" s="30">
        <f t="shared" si="66"/>
        <v>-1.0374331550802138</v>
      </c>
      <c r="U98" s="30">
        <f t="shared" si="67"/>
        <v>2.4629629629629628</v>
      </c>
      <c r="V98" s="30">
        <f t="shared" si="68"/>
        <v>0.17391304347826086</v>
      </c>
      <c r="W98" s="30">
        <f t="shared" si="69"/>
        <v>-1.2875000000000001</v>
      </c>
      <c r="X98" s="30">
        <f t="shared" si="70"/>
        <v>-0.3675889328063241</v>
      </c>
    </row>
    <row r="99" spans="1:24" x14ac:dyDescent="0.25">
      <c r="A99" s="19" t="s">
        <v>76</v>
      </c>
      <c r="B99" s="20">
        <f>SUM(B83:B98)</f>
        <v>3952</v>
      </c>
      <c r="C99" s="20">
        <f t="shared" ref="C99:I99" si="71">SUM(C83:C98)</f>
        <v>4958</v>
      </c>
      <c r="D99" s="20">
        <f t="shared" si="71"/>
        <v>4471</v>
      </c>
      <c r="E99" s="20">
        <f t="shared" si="71"/>
        <v>3785</v>
      </c>
      <c r="F99" s="20">
        <f t="shared" si="71"/>
        <v>4637</v>
      </c>
      <c r="G99" s="20">
        <f t="shared" si="71"/>
        <v>3865</v>
      </c>
      <c r="H99" s="20">
        <f t="shared" si="71"/>
        <v>4209</v>
      </c>
      <c r="I99" s="20">
        <f t="shared" si="71"/>
        <v>1800</v>
      </c>
      <c r="K99" s="28"/>
      <c r="L99" s="28"/>
      <c r="M99" s="28"/>
      <c r="N99" s="28"/>
      <c r="O99" s="28"/>
      <c r="P99" s="28"/>
      <c r="R99" s="28">
        <f t="shared" si="65"/>
        <v>4.461944531612725E-3</v>
      </c>
      <c r="S99" s="28">
        <f t="shared" si="44"/>
        <v>2.0652661175588411E-2</v>
      </c>
      <c r="T99" s="28">
        <f t="shared" si="66"/>
        <v>-0.20290439693424769</v>
      </c>
      <c r="U99" s="28">
        <f t="shared" si="67"/>
        <v>0.1089241780362335</v>
      </c>
      <c r="V99" s="28">
        <f t="shared" si="68"/>
        <v>0.18124174372523116</v>
      </c>
      <c r="W99" s="28">
        <f t="shared" si="69"/>
        <v>-0.18373948673711452</v>
      </c>
      <c r="X99" s="28">
        <f t="shared" si="70"/>
        <v>0.1997412677878396</v>
      </c>
    </row>
    <row r="100" spans="1:24" x14ac:dyDescent="0.25">
      <c r="A100" s="2" t="s">
        <v>77</v>
      </c>
      <c r="K100" s="28"/>
      <c r="L100" s="28"/>
      <c r="M100" s="28"/>
      <c r="N100" s="28"/>
      <c r="O100" s="28"/>
      <c r="P100" s="28"/>
      <c r="R100" s="28" t="e">
        <f t="shared" si="65"/>
        <v>#NUM!</v>
      </c>
      <c r="S100" s="28" t="e">
        <f t="shared" si="44"/>
        <v>#DIV/0!</v>
      </c>
      <c r="T100" s="28" t="e">
        <f t="shared" si="66"/>
        <v>#DIV/0!</v>
      </c>
      <c r="U100" s="28" t="e">
        <f t="shared" si="67"/>
        <v>#DIV/0!</v>
      </c>
      <c r="V100" s="28" t="e">
        <f t="shared" si="68"/>
        <v>#DIV/0!</v>
      </c>
      <c r="W100" s="28" t="e">
        <f t="shared" si="69"/>
        <v>#DIV/0!</v>
      </c>
      <c r="X100" s="28" t="e">
        <f t="shared" si="70"/>
        <v>#DIV/0!</v>
      </c>
    </row>
    <row r="101" spans="1:24" x14ac:dyDescent="0.25">
      <c r="A101" s="5" t="s">
        <v>7</v>
      </c>
      <c r="B101" s="2">
        <v>-228</v>
      </c>
      <c r="C101" s="2">
        <v>87</v>
      </c>
      <c r="D101" s="2">
        <v>-26</v>
      </c>
      <c r="E101" s="2">
        <v>140</v>
      </c>
      <c r="F101" s="2">
        <v>-2280</v>
      </c>
      <c r="G101" s="2">
        <v>-2629</v>
      </c>
      <c r="H101" s="2">
        <v>80</v>
      </c>
      <c r="I101" s="2">
        <v>838</v>
      </c>
      <c r="K101" s="28"/>
      <c r="L101" s="28"/>
      <c r="M101" s="28"/>
      <c r="N101" s="28"/>
      <c r="O101" s="28"/>
      <c r="P101" s="28"/>
      <c r="R101" s="28">
        <f t="shared" si="65"/>
        <v>-0.38676229142799318</v>
      </c>
      <c r="S101" s="28">
        <f t="shared" si="44"/>
        <v>-2.069342278181133</v>
      </c>
      <c r="T101" s="28">
        <f t="shared" si="66"/>
        <v>-3.6206896551724137</v>
      </c>
      <c r="U101" s="28">
        <f t="shared" si="67"/>
        <v>-4.3461538461538458</v>
      </c>
      <c r="V101" s="28">
        <f t="shared" si="68"/>
        <v>-1.1857142857142857</v>
      </c>
      <c r="W101" s="28">
        <f t="shared" si="69"/>
        <v>-1.0614035087719298</v>
      </c>
      <c r="X101" s="28">
        <f t="shared" si="70"/>
        <v>-0.13275009509319133</v>
      </c>
    </row>
    <row r="102" spans="1:24" x14ac:dyDescent="0.25">
      <c r="A102" s="5" t="s">
        <v>8</v>
      </c>
      <c r="B102" s="2">
        <v>-1121</v>
      </c>
      <c r="C102" s="2">
        <v>-144</v>
      </c>
      <c r="D102" s="2">
        <v>-249</v>
      </c>
      <c r="E102" s="2">
        <v>-277</v>
      </c>
      <c r="F102" s="2">
        <v>-251</v>
      </c>
      <c r="G102" s="2">
        <v>-236</v>
      </c>
      <c r="H102" s="2">
        <v>-130</v>
      </c>
      <c r="I102" s="2">
        <v>25</v>
      </c>
      <c r="K102" s="28"/>
      <c r="L102" s="28"/>
      <c r="M102" s="28"/>
      <c r="N102" s="28"/>
      <c r="O102" s="28"/>
      <c r="P102" s="28"/>
      <c r="R102" s="28">
        <f t="shared" si="65"/>
        <v>0.36564783932642692</v>
      </c>
      <c r="S102" s="28">
        <f t="shared" si="44"/>
        <v>1.2858194844295423</v>
      </c>
      <c r="T102" s="28">
        <f t="shared" si="66"/>
        <v>6.7847222222222223</v>
      </c>
      <c r="U102" s="28">
        <f t="shared" si="67"/>
        <v>-0.42168674698795183</v>
      </c>
      <c r="V102" s="28">
        <f t="shared" si="68"/>
        <v>-0.10108303249097472</v>
      </c>
      <c r="W102" s="28">
        <f t="shared" si="69"/>
        <v>0.10358565737051793</v>
      </c>
      <c r="X102" s="28">
        <f t="shared" si="70"/>
        <v>6.3559322033898302E-2</v>
      </c>
    </row>
    <row r="103" spans="1:24" x14ac:dyDescent="0.25">
      <c r="A103" s="5" t="s">
        <v>78</v>
      </c>
      <c r="B103" s="2">
        <v>152</v>
      </c>
      <c r="C103" s="2">
        <v>408</v>
      </c>
      <c r="D103" s="2">
        <v>207</v>
      </c>
      <c r="E103" s="2">
        <v>-58</v>
      </c>
      <c r="F103" s="2">
        <v>-23</v>
      </c>
      <c r="G103" s="2">
        <v>441</v>
      </c>
      <c r="H103" s="2">
        <v>943</v>
      </c>
      <c r="I103" s="2">
        <v>-119</v>
      </c>
      <c r="K103" s="28"/>
      <c r="L103" s="28"/>
      <c r="M103" s="28"/>
      <c r="N103" s="28"/>
      <c r="O103" s="28"/>
      <c r="P103" s="28"/>
      <c r="R103" s="28">
        <f t="shared" si="65"/>
        <v>-0.19187042718273711</v>
      </c>
      <c r="S103" s="28">
        <f t="shared" si="44"/>
        <v>-0.75116341389129349</v>
      </c>
      <c r="T103" s="28">
        <f t="shared" si="66"/>
        <v>-0.62745098039215685</v>
      </c>
      <c r="U103" s="28">
        <f t="shared" si="67"/>
        <v>0.97101449275362317</v>
      </c>
      <c r="V103" s="28">
        <f t="shared" si="68"/>
        <v>-4.568965517241379</v>
      </c>
      <c r="W103" s="28">
        <f t="shared" si="69"/>
        <v>1.5217391304347827</v>
      </c>
      <c r="X103" s="28">
        <f t="shared" si="70"/>
        <v>-1.0521541950113378</v>
      </c>
    </row>
    <row r="104" spans="1:24" x14ac:dyDescent="0.25">
      <c r="A104" s="5" t="s">
        <v>10</v>
      </c>
      <c r="B104" s="2">
        <v>-314</v>
      </c>
      <c r="C104" s="2">
        <v>-32</v>
      </c>
      <c r="D104" s="2">
        <v>40</v>
      </c>
      <c r="E104" s="2">
        <v>52</v>
      </c>
      <c r="F104" s="2">
        <v>-146</v>
      </c>
      <c r="G104" s="2">
        <v>-64</v>
      </c>
      <c r="H104" s="2">
        <f>454-42</f>
        <v>412</v>
      </c>
      <c r="I104" s="2">
        <f>-422+114</f>
        <v>-308</v>
      </c>
      <c r="K104" s="28"/>
      <c r="L104" s="28"/>
      <c r="M104" s="28"/>
      <c r="N104" s="28"/>
      <c r="O104" s="28"/>
      <c r="P104" s="28"/>
      <c r="R104" s="28">
        <f t="shared" si="65"/>
        <v>0.37451642796623941</v>
      </c>
      <c r="S104" s="28">
        <f t="shared" si="44"/>
        <v>1.3413632771338251</v>
      </c>
      <c r="T104" s="28">
        <f t="shared" si="66"/>
        <v>8.8125</v>
      </c>
      <c r="U104" s="28">
        <f t="shared" si="67"/>
        <v>-1.8</v>
      </c>
      <c r="V104" s="28">
        <f t="shared" si="68"/>
        <v>-0.23076923076923078</v>
      </c>
      <c r="W104" s="28">
        <f t="shared" si="69"/>
        <v>-1.3561643835616439</v>
      </c>
      <c r="X104" s="28">
        <f t="shared" si="70"/>
        <v>1.28125</v>
      </c>
    </row>
    <row r="105" spans="1:24" x14ac:dyDescent="0.25">
      <c r="A105" s="5" t="s">
        <v>24</v>
      </c>
      <c r="B105" s="2">
        <v>28</v>
      </c>
      <c r="C105" s="2">
        <v>87</v>
      </c>
      <c r="D105" s="2">
        <v>486</v>
      </c>
      <c r="E105" s="2">
        <v>-90</v>
      </c>
      <c r="F105" s="2">
        <v>637</v>
      </c>
      <c r="G105" s="2">
        <v>-876</v>
      </c>
      <c r="H105" s="2">
        <v>-276</v>
      </c>
      <c r="I105" s="2">
        <v>231</v>
      </c>
      <c r="K105" s="28"/>
      <c r="L105" s="28"/>
      <c r="M105" s="28"/>
      <c r="N105" s="28"/>
      <c r="O105" s="28"/>
      <c r="P105" s="28"/>
      <c r="R105" s="28" t="e">
        <f t="shared" si="65"/>
        <v>#NUM!</v>
      </c>
      <c r="S105" s="28">
        <f t="shared" si="44"/>
        <v>-2.1535209615554671</v>
      </c>
      <c r="T105" s="28">
        <f t="shared" si="66"/>
        <v>-0.67816091954022983</v>
      </c>
      <c r="U105" s="28">
        <f t="shared" si="67"/>
        <v>-0.82098765432098764</v>
      </c>
      <c r="V105" s="28">
        <f t="shared" si="68"/>
        <v>-6.4</v>
      </c>
      <c r="W105" s="28">
        <f t="shared" si="69"/>
        <v>-1.141287284144427</v>
      </c>
      <c r="X105" s="28">
        <f t="shared" si="70"/>
        <v>-1.7271689497716896</v>
      </c>
    </row>
    <row r="106" spans="1:24" x14ac:dyDescent="0.25">
      <c r="A106" s="2" t="s">
        <v>79</v>
      </c>
      <c r="B106" s="10">
        <f>SUM(B99:B105)</f>
        <v>2469</v>
      </c>
      <c r="C106" s="10">
        <f t="shared" ref="C106:I106" si="72">SUM(C99:C105)</f>
        <v>5364</v>
      </c>
      <c r="D106" s="10">
        <f t="shared" si="72"/>
        <v>4929</v>
      </c>
      <c r="E106" s="10">
        <f t="shared" si="72"/>
        <v>3552</v>
      </c>
      <c r="F106" s="10">
        <f t="shared" si="72"/>
        <v>2574</v>
      </c>
      <c r="G106" s="10">
        <f t="shared" si="72"/>
        <v>501</v>
      </c>
      <c r="H106" s="10">
        <f t="shared" si="72"/>
        <v>5238</v>
      </c>
      <c r="I106" s="10">
        <f t="shared" si="72"/>
        <v>2467</v>
      </c>
      <c r="K106" s="33">
        <f t="shared" ref="K106:P106" si="73">+B106/B$106</f>
        <v>1</v>
      </c>
      <c r="L106" s="33">
        <f t="shared" si="73"/>
        <v>1</v>
      </c>
      <c r="M106" s="33">
        <f t="shared" si="73"/>
        <v>1</v>
      </c>
      <c r="N106" s="33">
        <f t="shared" si="73"/>
        <v>1</v>
      </c>
      <c r="O106" s="33">
        <f t="shared" si="73"/>
        <v>1</v>
      </c>
      <c r="P106" s="33">
        <f t="shared" si="73"/>
        <v>1</v>
      </c>
      <c r="Q106" s="10"/>
      <c r="R106" s="33">
        <f t="shared" si="65"/>
        <v>0.37574097606482232</v>
      </c>
      <c r="S106" s="33">
        <f t="shared" si="44"/>
        <v>0.89077817457706199</v>
      </c>
      <c r="T106" s="33">
        <f t="shared" si="66"/>
        <v>-0.53970917225950787</v>
      </c>
      <c r="U106" s="33">
        <f t="shared" si="67"/>
        <v>8.825319537431528E-2</v>
      </c>
      <c r="V106" s="33">
        <f t="shared" si="68"/>
        <v>0.38766891891891891</v>
      </c>
      <c r="W106" s="33">
        <f t="shared" si="69"/>
        <v>0.37995337995337997</v>
      </c>
      <c r="X106" s="33">
        <f t="shared" si="70"/>
        <v>4.1377245508982039</v>
      </c>
    </row>
    <row r="107" spans="1:24" x14ac:dyDescent="0.25">
      <c r="A107" s="2" t="s">
        <v>81</v>
      </c>
      <c r="K107" s="28"/>
      <c r="L107" s="28"/>
      <c r="M107" s="28"/>
      <c r="N107" s="28"/>
      <c r="O107" s="28"/>
      <c r="P107" s="28"/>
      <c r="R107" s="28"/>
      <c r="S107" s="28"/>
      <c r="T107" s="28"/>
      <c r="U107" s="28"/>
      <c r="V107" s="28"/>
      <c r="W107" s="28"/>
      <c r="X107" s="28"/>
    </row>
    <row r="108" spans="1:24" x14ac:dyDescent="0.25">
      <c r="A108" s="5" t="s">
        <v>82</v>
      </c>
      <c r="B108" s="2">
        <v>-916</v>
      </c>
      <c r="C108" s="2">
        <v>-905</v>
      </c>
      <c r="D108" s="2">
        <v>-596</v>
      </c>
      <c r="E108" s="2">
        <v>-768</v>
      </c>
      <c r="F108" s="2">
        <v>-826</v>
      </c>
      <c r="G108" s="2">
        <v>-1194</v>
      </c>
      <c r="H108" s="2">
        <v>-1247</v>
      </c>
      <c r="I108" s="2">
        <v>-648</v>
      </c>
      <c r="K108" s="28">
        <f t="shared" ref="K108:P114" si="74">+B108/B$106</f>
        <v>-0.37100040502227621</v>
      </c>
      <c r="L108" s="28">
        <f t="shared" si="74"/>
        <v>-0.16871737509321402</v>
      </c>
      <c r="M108" s="28">
        <f t="shared" si="74"/>
        <v>-0.12091702170825726</v>
      </c>
      <c r="N108" s="28">
        <f t="shared" si="74"/>
        <v>-0.21621621621621623</v>
      </c>
      <c r="O108" s="28">
        <f t="shared" si="74"/>
        <v>-0.3209013209013209</v>
      </c>
      <c r="P108" s="28">
        <f t="shared" si="74"/>
        <v>-2.3832335329341316</v>
      </c>
      <c r="R108" s="28">
        <f t="shared" ref="R108:R114" si="75">RATE(5,0,-G108,B108)</f>
        <v>-5.1629078507473856E-2</v>
      </c>
      <c r="S108" s="28">
        <f t="shared" si="44"/>
        <v>-1.4354576845997035E-2</v>
      </c>
      <c r="T108" s="28">
        <f t="shared" ref="T108:X114" si="76">(+B108-C108)/C108</f>
        <v>1.2154696132596685E-2</v>
      </c>
      <c r="U108" s="28">
        <f t="shared" si="76"/>
        <v>0.51845637583892612</v>
      </c>
      <c r="V108" s="28">
        <f t="shared" si="76"/>
        <v>-0.22395833333333334</v>
      </c>
      <c r="W108" s="28">
        <f t="shared" si="76"/>
        <v>-7.0217917675544791E-2</v>
      </c>
      <c r="X108" s="28">
        <f t="shared" si="76"/>
        <v>-0.3082077051926298</v>
      </c>
    </row>
    <row r="109" spans="1:24" x14ac:dyDescent="0.25">
      <c r="A109" s="5" t="s">
        <v>121</v>
      </c>
      <c r="B109" s="2">
        <v>0</v>
      </c>
      <c r="C109" s="2">
        <v>0</v>
      </c>
      <c r="D109" s="2">
        <v>0</v>
      </c>
      <c r="E109" s="2">
        <v>0</v>
      </c>
      <c r="F109" s="2">
        <v>1296</v>
      </c>
      <c r="G109" s="2">
        <v>2286</v>
      </c>
      <c r="H109" s="2">
        <v>0</v>
      </c>
      <c r="I109" s="2">
        <v>0</v>
      </c>
      <c r="K109" s="28">
        <f t="shared" si="74"/>
        <v>0</v>
      </c>
      <c r="L109" s="28">
        <f t="shared" si="74"/>
        <v>0</v>
      </c>
      <c r="M109" s="28">
        <f t="shared" si="74"/>
        <v>0</v>
      </c>
      <c r="N109" s="28">
        <f t="shared" si="74"/>
        <v>0</v>
      </c>
      <c r="O109" s="28">
        <f t="shared" si="74"/>
        <v>0.50349650349650354</v>
      </c>
      <c r="P109" s="28">
        <f t="shared" si="74"/>
        <v>4.5628742514970062</v>
      </c>
      <c r="R109" s="28">
        <f t="shared" si="75"/>
        <v>-0.99999940914518248</v>
      </c>
      <c r="S109" s="28" t="e">
        <f t="shared" si="44"/>
        <v>#DIV/0!</v>
      </c>
      <c r="T109" s="28" t="e">
        <f t="shared" si="76"/>
        <v>#DIV/0!</v>
      </c>
      <c r="U109" s="28" t="e">
        <f t="shared" si="76"/>
        <v>#DIV/0!</v>
      </c>
      <c r="V109" s="28" t="e">
        <f t="shared" si="76"/>
        <v>#DIV/0!</v>
      </c>
      <c r="W109" s="28">
        <f t="shared" si="76"/>
        <v>-1</v>
      </c>
      <c r="X109" s="28">
        <f t="shared" si="76"/>
        <v>-0.43307086614173229</v>
      </c>
    </row>
    <row r="110" spans="1:24" x14ac:dyDescent="0.25">
      <c r="A110" s="5" t="s">
        <v>255</v>
      </c>
      <c r="B110" s="2">
        <v>-481</v>
      </c>
      <c r="C110" s="2">
        <v>-74</v>
      </c>
      <c r="D110" s="2">
        <v>0</v>
      </c>
      <c r="E110" s="2">
        <v>-199</v>
      </c>
      <c r="F110" s="2">
        <v>-248</v>
      </c>
      <c r="G110" s="2">
        <v>0</v>
      </c>
      <c r="H110" s="2">
        <v>0</v>
      </c>
      <c r="I110" s="2">
        <v>-9468</v>
      </c>
      <c r="K110" s="28">
        <f t="shared" si="74"/>
        <v>-0.19481571486431754</v>
      </c>
      <c r="L110" s="28">
        <f t="shared" si="74"/>
        <v>-1.3795674869500374E-2</v>
      </c>
      <c r="M110" s="28">
        <f t="shared" si="74"/>
        <v>0</v>
      </c>
      <c r="N110" s="28">
        <f t="shared" si="74"/>
        <v>-5.6024774774774772E-2</v>
      </c>
      <c r="O110" s="28">
        <f t="shared" si="74"/>
        <v>-9.6348096348096351E-2</v>
      </c>
      <c r="P110" s="28">
        <f t="shared" si="74"/>
        <v>0</v>
      </c>
      <c r="R110" s="28" t="e">
        <f t="shared" si="75"/>
        <v>#NUM!</v>
      </c>
      <c r="S110" s="28" t="e">
        <f t="shared" si="44"/>
        <v>#DIV/0!</v>
      </c>
      <c r="T110" s="28">
        <f t="shared" si="76"/>
        <v>5.5</v>
      </c>
      <c r="U110" s="28" t="e">
        <f t="shared" si="76"/>
        <v>#DIV/0!</v>
      </c>
      <c r="V110" s="28">
        <f t="shared" si="76"/>
        <v>-1</v>
      </c>
      <c r="W110" s="28">
        <f t="shared" si="76"/>
        <v>-0.19758064516129031</v>
      </c>
      <c r="X110" s="28" t="e">
        <f t="shared" si="76"/>
        <v>#DIV/0!</v>
      </c>
    </row>
    <row r="111" spans="1:24" x14ac:dyDescent="0.25">
      <c r="A111" s="5" t="s">
        <v>84</v>
      </c>
      <c r="B111" s="2">
        <v>208</v>
      </c>
      <c r="C111" s="2">
        <v>-28</v>
      </c>
      <c r="D111" s="2">
        <v>25</v>
      </c>
      <c r="E111" s="2">
        <v>590</v>
      </c>
      <c r="F111" s="2">
        <v>24</v>
      </c>
      <c r="G111" s="2">
        <v>0</v>
      </c>
      <c r="H111" s="2">
        <v>91</v>
      </c>
      <c r="I111" s="2">
        <v>488</v>
      </c>
      <c r="K111" s="28">
        <f t="shared" si="74"/>
        <v>8.4244633454840012E-2</v>
      </c>
      <c r="L111" s="28">
        <f t="shared" si="74"/>
        <v>-5.219985085756898E-3</v>
      </c>
      <c r="M111" s="28">
        <f t="shared" si="74"/>
        <v>5.0720227226617974E-3</v>
      </c>
      <c r="N111" s="28">
        <f t="shared" si="74"/>
        <v>0.1661036036036036</v>
      </c>
      <c r="O111" s="28">
        <f t="shared" si="74"/>
        <v>9.324009324009324E-3</v>
      </c>
      <c r="P111" s="28">
        <f t="shared" si="74"/>
        <v>0</v>
      </c>
      <c r="R111" s="28" t="e">
        <f t="shared" si="75"/>
        <v>#NUM!</v>
      </c>
      <c r="S111" s="28" t="e">
        <f t="shared" si="44"/>
        <v>#DIV/0!</v>
      </c>
      <c r="T111" s="28">
        <f t="shared" si="76"/>
        <v>-8.4285714285714288</v>
      </c>
      <c r="U111" s="28">
        <f t="shared" si="76"/>
        <v>-2.12</v>
      </c>
      <c r="V111" s="28">
        <f t="shared" si="76"/>
        <v>-0.9576271186440678</v>
      </c>
      <c r="W111" s="28">
        <f t="shared" si="76"/>
        <v>23.583333333333332</v>
      </c>
      <c r="X111" s="28" t="e">
        <f t="shared" si="76"/>
        <v>#DIV/0!</v>
      </c>
    </row>
    <row r="112" spans="1:24" x14ac:dyDescent="0.25">
      <c r="A112" s="5" t="s">
        <v>85</v>
      </c>
      <c r="B112" s="2">
        <v>88</v>
      </c>
      <c r="C112" s="2">
        <v>5014</v>
      </c>
      <c r="D112" s="2">
        <v>0</v>
      </c>
      <c r="E112" s="2">
        <v>1875</v>
      </c>
      <c r="F112" s="2">
        <v>18</v>
      </c>
      <c r="G112" s="2">
        <v>0</v>
      </c>
      <c r="H112" s="2">
        <v>0</v>
      </c>
      <c r="I112" s="2">
        <v>0</v>
      </c>
      <c r="K112" s="28">
        <f t="shared" si="74"/>
        <v>3.5641960307816932E-2</v>
      </c>
      <c r="L112" s="28">
        <f t="shared" si="74"/>
        <v>0.93475018642803875</v>
      </c>
      <c r="M112" s="28">
        <f t="shared" si="74"/>
        <v>0</v>
      </c>
      <c r="N112" s="28">
        <f t="shared" si="74"/>
        <v>0.5278716216216216</v>
      </c>
      <c r="O112" s="28">
        <f t="shared" si="74"/>
        <v>6.993006993006993E-3</v>
      </c>
      <c r="P112" s="28">
        <f t="shared" si="74"/>
        <v>0</v>
      </c>
      <c r="R112" s="28" t="e">
        <f t="shared" si="75"/>
        <v>#NUM!</v>
      </c>
      <c r="S112" s="28" t="e">
        <f t="shared" si="44"/>
        <v>#DIV/0!</v>
      </c>
      <c r="T112" s="28">
        <f t="shared" si="76"/>
        <v>-0.98244914240127645</v>
      </c>
      <c r="U112" s="28" t="e">
        <f t="shared" si="76"/>
        <v>#DIV/0!</v>
      </c>
      <c r="V112" s="28">
        <f t="shared" si="76"/>
        <v>-1</v>
      </c>
      <c r="W112" s="28">
        <f t="shared" si="76"/>
        <v>103.16666666666667</v>
      </c>
      <c r="X112" s="28" t="e">
        <f t="shared" si="76"/>
        <v>#DIV/0!</v>
      </c>
    </row>
    <row r="113" spans="1:24" x14ac:dyDescent="0.25">
      <c r="A113" s="5" t="s">
        <v>86</v>
      </c>
      <c r="B113" s="2">
        <v>10</v>
      </c>
      <c r="C113" s="2">
        <v>31</v>
      </c>
      <c r="D113" s="2">
        <v>49</v>
      </c>
      <c r="E113" s="2">
        <v>13</v>
      </c>
      <c r="F113" s="2">
        <v>24</v>
      </c>
      <c r="G113" s="2">
        <v>85</v>
      </c>
      <c r="H113" s="2">
        <v>43</v>
      </c>
      <c r="I113" s="2">
        <v>-76</v>
      </c>
      <c r="K113" s="28">
        <f t="shared" si="74"/>
        <v>4.0502227622519239E-3</v>
      </c>
      <c r="L113" s="28">
        <f t="shared" si="74"/>
        <v>5.779269202087994E-3</v>
      </c>
      <c r="M113" s="28">
        <f t="shared" si="74"/>
        <v>9.9411645364171231E-3</v>
      </c>
      <c r="N113" s="28">
        <f t="shared" si="74"/>
        <v>3.6599099099099098E-3</v>
      </c>
      <c r="O113" s="28">
        <f t="shared" si="74"/>
        <v>9.324009324009324E-3</v>
      </c>
      <c r="P113" s="28">
        <f t="shared" si="74"/>
        <v>0.16966067864271456</v>
      </c>
      <c r="R113" s="28">
        <f t="shared" si="75"/>
        <v>-0.34819721036856505</v>
      </c>
      <c r="S113" s="28">
        <f t="shared" si="44"/>
        <v>0.10969681669193732</v>
      </c>
      <c r="T113" s="28">
        <f t="shared" si="76"/>
        <v>-0.67741935483870963</v>
      </c>
      <c r="U113" s="28">
        <f t="shared" si="76"/>
        <v>-0.36734693877551022</v>
      </c>
      <c r="V113" s="28">
        <f t="shared" si="76"/>
        <v>2.7692307692307692</v>
      </c>
      <c r="W113" s="28">
        <f t="shared" si="76"/>
        <v>-0.45833333333333331</v>
      </c>
      <c r="X113" s="28">
        <f t="shared" si="76"/>
        <v>-0.71764705882352942</v>
      </c>
    </row>
    <row r="114" spans="1:24" x14ac:dyDescent="0.25">
      <c r="A114" s="2" t="s">
        <v>87</v>
      </c>
      <c r="B114" s="10">
        <f>SUM(B108:B113)</f>
        <v>-1091</v>
      </c>
      <c r="C114" s="10">
        <f t="shared" ref="C114:I114" si="77">SUM(C108:C113)</f>
        <v>4038</v>
      </c>
      <c r="D114" s="10">
        <f t="shared" si="77"/>
        <v>-522</v>
      </c>
      <c r="E114" s="10">
        <f t="shared" si="77"/>
        <v>1511</v>
      </c>
      <c r="F114" s="10">
        <f t="shared" si="77"/>
        <v>288</v>
      </c>
      <c r="G114" s="10">
        <f t="shared" si="77"/>
        <v>1177</v>
      </c>
      <c r="H114" s="10">
        <f t="shared" si="77"/>
        <v>-1113</v>
      </c>
      <c r="I114" s="10">
        <f t="shared" si="77"/>
        <v>-9704</v>
      </c>
      <c r="K114" s="33">
        <f t="shared" si="74"/>
        <v>-0.44187930336168491</v>
      </c>
      <c r="L114" s="33">
        <f t="shared" si="74"/>
        <v>0.75279642058165552</v>
      </c>
      <c r="M114" s="33">
        <f t="shared" si="74"/>
        <v>-0.10590383444917834</v>
      </c>
      <c r="N114" s="33">
        <f t="shared" si="74"/>
        <v>0.42539414414414417</v>
      </c>
      <c r="O114" s="33">
        <f t="shared" si="74"/>
        <v>0.11188811188811189</v>
      </c>
      <c r="P114" s="33">
        <f t="shared" si="74"/>
        <v>2.3493013972055889</v>
      </c>
      <c r="Q114" s="10"/>
      <c r="R114" s="33" t="e">
        <f t="shared" si="75"/>
        <v>#NUM!</v>
      </c>
      <c r="S114" s="33">
        <f t="shared" si="44"/>
        <v>-1.5720128708089158</v>
      </c>
      <c r="T114" s="33">
        <f t="shared" si="76"/>
        <v>-1.2701832590391282</v>
      </c>
      <c r="U114" s="33">
        <f t="shared" si="76"/>
        <v>-8.7356321839080469</v>
      </c>
      <c r="V114" s="33">
        <f t="shared" si="76"/>
        <v>-1.3454665784248843</v>
      </c>
      <c r="W114" s="33">
        <f t="shared" si="76"/>
        <v>4.2465277777777777</v>
      </c>
      <c r="X114" s="33">
        <f t="shared" si="76"/>
        <v>-0.75531011045029739</v>
      </c>
    </row>
    <row r="115" spans="1:24" x14ac:dyDescent="0.25">
      <c r="A115" s="2" t="s">
        <v>88</v>
      </c>
      <c r="K115" s="28"/>
      <c r="L115" s="28"/>
      <c r="M115" s="28"/>
      <c r="N115" s="28"/>
      <c r="O115" s="28"/>
      <c r="P115" s="28"/>
      <c r="R115" s="28"/>
      <c r="S115" s="28"/>
      <c r="T115" s="28"/>
      <c r="U115" s="28"/>
      <c r="V115" s="28"/>
      <c r="W115" s="28"/>
      <c r="X115" s="28"/>
    </row>
    <row r="116" spans="1:24" x14ac:dyDescent="0.25">
      <c r="A116" s="5" t="s">
        <v>89</v>
      </c>
      <c r="B116" s="2">
        <v>-1465</v>
      </c>
      <c r="C116" s="2">
        <v>-6202</v>
      </c>
      <c r="D116" s="2">
        <v>-4697</v>
      </c>
      <c r="E116" s="2">
        <v>-4795</v>
      </c>
      <c r="F116" s="2">
        <v>-2713</v>
      </c>
      <c r="G116" s="2">
        <v>-2641</v>
      </c>
      <c r="H116" s="2">
        <v>-86</v>
      </c>
      <c r="I116" s="2">
        <v>-12314</v>
      </c>
      <c r="K116" s="28">
        <f t="shared" ref="K116:K132" si="78">+B116/B$106</f>
        <v>-0.59335763466990687</v>
      </c>
      <c r="L116" s="28">
        <f t="shared" ref="L116:L132" si="79">+C116/C$106</f>
        <v>-1.1562266964951529</v>
      </c>
      <c r="M116" s="28">
        <f t="shared" ref="M116:M132" si="80">+D116/D$106</f>
        <v>-0.95293162913369855</v>
      </c>
      <c r="N116" s="28">
        <f t="shared" ref="N116:N132" si="81">+E116/E$106</f>
        <v>-1.3499436936936937</v>
      </c>
      <c r="O116" s="28">
        <f t="shared" ref="O116:O132" si="82">+F116/F$106</f>
        <v>-1.0540015540015539</v>
      </c>
      <c r="P116" s="28">
        <f t="shared" ref="P116:P132" si="83">+G116/G$106</f>
        <v>-5.2714570858283434</v>
      </c>
      <c r="R116" s="28">
        <f t="shared" ref="R116:R132" si="84">RATE(5,0,-G116,B116)</f>
        <v>-0.11117994623485696</v>
      </c>
      <c r="S116" s="28">
        <f t="shared" si="44"/>
        <v>6.6174400199464883E-2</v>
      </c>
      <c r="T116" s="28">
        <f t="shared" ref="T116:T127" si="85">(+B116-C116)/C116</f>
        <v>-0.76378587552402455</v>
      </c>
      <c r="U116" s="28">
        <f t="shared" ref="U116:U127" si="86">(+C116-D116)/D116</f>
        <v>0.32041728763040239</v>
      </c>
      <c r="V116" s="28">
        <f t="shared" ref="V116:V127" si="87">(+D116-E116)/E116</f>
        <v>-2.0437956204379562E-2</v>
      </c>
      <c r="W116" s="28">
        <f t="shared" ref="W116:W127" si="88">(+E116-F116)/F116</f>
        <v>0.76741614448949502</v>
      </c>
      <c r="X116" s="28">
        <f t="shared" ref="X116:X127" si="89">(+F116-G116)/G116</f>
        <v>2.7262400605831124E-2</v>
      </c>
    </row>
    <row r="117" spans="1:24" x14ac:dyDescent="0.25">
      <c r="A117" s="5" t="s">
        <v>90</v>
      </c>
      <c r="B117" s="2">
        <v>0</v>
      </c>
      <c r="C117" s="2">
        <v>0</v>
      </c>
      <c r="D117" s="2">
        <v>3500</v>
      </c>
      <c r="E117" s="2">
        <v>2967</v>
      </c>
      <c r="F117" s="2">
        <v>2990</v>
      </c>
      <c r="G117" s="2">
        <v>1496</v>
      </c>
      <c r="H117" s="2">
        <v>6981</v>
      </c>
      <c r="I117" s="2">
        <v>14834</v>
      </c>
      <c r="K117" s="28">
        <f t="shared" si="78"/>
        <v>0</v>
      </c>
      <c r="L117" s="28">
        <f t="shared" si="79"/>
        <v>0</v>
      </c>
      <c r="M117" s="28">
        <f t="shared" si="80"/>
        <v>0.71008318117265168</v>
      </c>
      <c r="N117" s="28">
        <f t="shared" si="81"/>
        <v>0.83530405405405406</v>
      </c>
      <c r="O117" s="28">
        <f t="shared" si="82"/>
        <v>1.1616161616161615</v>
      </c>
      <c r="P117" s="28">
        <f t="shared" si="83"/>
        <v>2.9860279441117763</v>
      </c>
      <c r="R117" s="28">
        <f t="shared" si="84"/>
        <v>-0.99999940914518248</v>
      </c>
      <c r="S117" s="28" t="e">
        <f t="shared" si="44"/>
        <v>#DIV/0!</v>
      </c>
      <c r="T117" s="28" t="e">
        <f t="shared" si="85"/>
        <v>#DIV/0!</v>
      </c>
      <c r="U117" s="28">
        <f t="shared" si="86"/>
        <v>-1</v>
      </c>
      <c r="V117" s="28">
        <f t="shared" si="87"/>
        <v>0.17964273677114931</v>
      </c>
      <c r="W117" s="28">
        <f t="shared" si="88"/>
        <v>-7.6923076923076927E-3</v>
      </c>
      <c r="X117" s="28">
        <f t="shared" si="89"/>
        <v>0.99866310160427807</v>
      </c>
    </row>
    <row r="118" spans="1:24" x14ac:dyDescent="0.25">
      <c r="A118" s="5" t="s">
        <v>91</v>
      </c>
      <c r="B118" s="2">
        <v>10</v>
      </c>
      <c r="C118" s="2">
        <v>-924</v>
      </c>
      <c r="D118" s="2">
        <v>-116</v>
      </c>
      <c r="E118" s="2">
        <v>-99</v>
      </c>
      <c r="F118" s="2">
        <v>0</v>
      </c>
      <c r="G118" s="2">
        <v>0</v>
      </c>
      <c r="H118" s="2">
        <v>-53</v>
      </c>
      <c r="I118" s="2">
        <v>-98</v>
      </c>
      <c r="K118" s="28">
        <f t="shared" si="78"/>
        <v>4.0502227622519239E-3</v>
      </c>
      <c r="L118" s="28">
        <f t="shared" si="79"/>
        <v>-0.17225950782997762</v>
      </c>
      <c r="M118" s="28">
        <f t="shared" si="80"/>
        <v>-2.353418543315074E-2</v>
      </c>
      <c r="N118" s="28">
        <f t="shared" si="81"/>
        <v>-2.7871621621621621E-2</v>
      </c>
      <c r="O118" s="28">
        <f t="shared" si="82"/>
        <v>0</v>
      </c>
      <c r="P118" s="28">
        <f t="shared" si="83"/>
        <v>0</v>
      </c>
      <c r="R118" s="28" t="e">
        <f t="shared" si="84"/>
        <v>#NUM!</v>
      </c>
      <c r="S118" s="28" t="e">
        <f t="shared" si="44"/>
        <v>#DIV/0!</v>
      </c>
      <c r="T118" s="28">
        <f t="shared" si="85"/>
        <v>-1.0108225108225108</v>
      </c>
      <c r="U118" s="28">
        <f t="shared" si="86"/>
        <v>6.9655172413793105</v>
      </c>
      <c r="V118" s="28">
        <f t="shared" si="87"/>
        <v>0.17171717171717171</v>
      </c>
      <c r="W118" s="28" t="e">
        <f t="shared" si="88"/>
        <v>#DIV/0!</v>
      </c>
      <c r="X118" s="28" t="e">
        <f t="shared" si="89"/>
        <v>#DIV/0!</v>
      </c>
    </row>
    <row r="119" spans="1:24" x14ac:dyDescent="0.25">
      <c r="A119" s="5" t="s">
        <v>92</v>
      </c>
      <c r="B119" s="2">
        <v>0</v>
      </c>
      <c r="C119" s="2">
        <v>0</v>
      </c>
      <c r="D119" s="2">
        <v>4000</v>
      </c>
      <c r="E119" s="2">
        <v>0</v>
      </c>
      <c r="F119" s="2">
        <v>0</v>
      </c>
      <c r="G119" s="2">
        <v>0</v>
      </c>
      <c r="H119" s="2">
        <v>0</v>
      </c>
      <c r="I119" s="2">
        <v>0</v>
      </c>
      <c r="K119" s="28">
        <f t="shared" si="78"/>
        <v>0</v>
      </c>
      <c r="L119" s="28">
        <f t="shared" si="79"/>
        <v>0</v>
      </c>
      <c r="M119" s="28">
        <f t="shared" si="80"/>
        <v>0.81152363562588758</v>
      </c>
      <c r="N119" s="28">
        <f t="shared" si="81"/>
        <v>0</v>
      </c>
      <c r="O119" s="28">
        <f t="shared" si="82"/>
        <v>0</v>
      </c>
      <c r="P119" s="28">
        <f t="shared" si="83"/>
        <v>0</v>
      </c>
      <c r="R119" s="28" t="e">
        <f t="shared" si="84"/>
        <v>#NUM!</v>
      </c>
      <c r="S119" s="28" t="e">
        <f t="shared" si="44"/>
        <v>#DIV/0!</v>
      </c>
      <c r="T119" s="28" t="e">
        <f t="shared" si="85"/>
        <v>#DIV/0!</v>
      </c>
      <c r="U119" s="28">
        <f t="shared" si="86"/>
        <v>-1</v>
      </c>
      <c r="V119" s="28" t="e">
        <f t="shared" si="87"/>
        <v>#DIV/0!</v>
      </c>
      <c r="W119" s="28" t="e">
        <f t="shared" si="88"/>
        <v>#DIV/0!</v>
      </c>
      <c r="X119" s="28" t="e">
        <f t="shared" si="89"/>
        <v>#DIV/0!</v>
      </c>
    </row>
    <row r="120" spans="1:24" x14ac:dyDescent="0.25">
      <c r="A120" s="5" t="s">
        <v>93</v>
      </c>
      <c r="B120" s="2">
        <v>0</v>
      </c>
      <c r="C120" s="2">
        <v>0</v>
      </c>
      <c r="D120" s="2">
        <v>-4000</v>
      </c>
      <c r="E120" s="2">
        <v>0</v>
      </c>
      <c r="F120" s="2">
        <v>0</v>
      </c>
      <c r="G120" s="2">
        <v>0</v>
      </c>
      <c r="H120" s="2">
        <v>0</v>
      </c>
      <c r="I120" s="2">
        <v>0</v>
      </c>
      <c r="K120" s="28">
        <f t="shared" si="78"/>
        <v>0</v>
      </c>
      <c r="L120" s="28">
        <f t="shared" si="79"/>
        <v>0</v>
      </c>
      <c r="M120" s="28">
        <f t="shared" si="80"/>
        <v>-0.81152363562588758</v>
      </c>
      <c r="N120" s="28">
        <f t="shared" si="81"/>
        <v>0</v>
      </c>
      <c r="O120" s="28">
        <f t="shared" si="82"/>
        <v>0</v>
      </c>
      <c r="P120" s="28">
        <f t="shared" si="83"/>
        <v>0</v>
      </c>
      <c r="R120" s="28" t="e">
        <f t="shared" si="84"/>
        <v>#NUM!</v>
      </c>
      <c r="S120" s="28" t="e">
        <f t="shared" si="44"/>
        <v>#DIV/0!</v>
      </c>
      <c r="T120" s="28" t="e">
        <f t="shared" si="85"/>
        <v>#DIV/0!</v>
      </c>
      <c r="U120" s="28">
        <f t="shared" si="86"/>
        <v>-1</v>
      </c>
      <c r="V120" s="28" t="e">
        <f t="shared" si="87"/>
        <v>#DIV/0!</v>
      </c>
      <c r="W120" s="28" t="e">
        <f t="shared" si="88"/>
        <v>#DIV/0!</v>
      </c>
      <c r="X120" s="28" t="e">
        <f t="shared" si="89"/>
        <v>#DIV/0!</v>
      </c>
    </row>
    <row r="121" spans="1:24" x14ac:dyDescent="0.25">
      <c r="A121" s="5" t="s">
        <v>94</v>
      </c>
      <c r="B121" s="2">
        <v>228</v>
      </c>
      <c r="C121" s="2">
        <v>0</v>
      </c>
      <c r="D121" s="2">
        <v>0</v>
      </c>
      <c r="E121" s="2">
        <v>557</v>
      </c>
      <c r="F121" s="2">
        <v>2784</v>
      </c>
      <c r="G121" s="2">
        <v>6043</v>
      </c>
      <c r="H121" s="2">
        <v>6680</v>
      </c>
      <c r="I121" s="2">
        <v>0</v>
      </c>
      <c r="K121" s="28">
        <f t="shared" si="78"/>
        <v>9.2345078979343867E-2</v>
      </c>
      <c r="L121" s="28">
        <f t="shared" si="79"/>
        <v>0</v>
      </c>
      <c r="M121" s="28">
        <f t="shared" si="80"/>
        <v>0</v>
      </c>
      <c r="N121" s="28">
        <f t="shared" si="81"/>
        <v>0.15681306306306306</v>
      </c>
      <c r="O121" s="28">
        <f t="shared" si="82"/>
        <v>1.0815850815850816</v>
      </c>
      <c r="P121" s="28">
        <f t="shared" si="83"/>
        <v>12.061876247504991</v>
      </c>
      <c r="R121" s="28">
        <f t="shared" si="84"/>
        <v>-0.48079788783255906</v>
      </c>
      <c r="S121" s="28" t="e">
        <f t="shared" si="44"/>
        <v>#DIV/0!</v>
      </c>
      <c r="T121" s="28" t="e">
        <f t="shared" si="85"/>
        <v>#DIV/0!</v>
      </c>
      <c r="U121" s="28" t="e">
        <f t="shared" si="86"/>
        <v>#DIV/0!</v>
      </c>
      <c r="V121" s="28">
        <f t="shared" si="87"/>
        <v>-1</v>
      </c>
      <c r="W121" s="28">
        <f t="shared" si="88"/>
        <v>-0.79992816091954022</v>
      </c>
      <c r="X121" s="28">
        <f t="shared" si="89"/>
        <v>-0.53930167135528706</v>
      </c>
    </row>
    <row r="122" spans="1:24" x14ac:dyDescent="0.25">
      <c r="A122" s="5" t="s">
        <v>95</v>
      </c>
      <c r="B122" s="2">
        <v>-228</v>
      </c>
      <c r="C122" s="2">
        <v>0</v>
      </c>
      <c r="D122" s="2">
        <v>0</v>
      </c>
      <c r="E122" s="2">
        <v>-557</v>
      </c>
      <c r="F122" s="2">
        <v>-3213</v>
      </c>
      <c r="G122" s="2">
        <v>-6249</v>
      </c>
      <c r="H122" s="2">
        <v>-6043</v>
      </c>
      <c r="I122" s="2">
        <v>0</v>
      </c>
      <c r="K122" s="28">
        <f t="shared" si="78"/>
        <v>-9.2345078979343867E-2</v>
      </c>
      <c r="L122" s="28">
        <f t="shared" si="79"/>
        <v>0</v>
      </c>
      <c r="M122" s="28">
        <f t="shared" si="80"/>
        <v>0</v>
      </c>
      <c r="N122" s="28">
        <f t="shared" si="81"/>
        <v>-0.15681306306306306</v>
      </c>
      <c r="O122" s="28">
        <f t="shared" si="82"/>
        <v>-1.2482517482517483</v>
      </c>
      <c r="P122" s="28">
        <f t="shared" si="83"/>
        <v>-12.473053892215569</v>
      </c>
      <c r="R122" s="28">
        <f t="shared" si="84"/>
        <v>-0.48426706751700083</v>
      </c>
      <c r="S122" s="28" t="e">
        <f t="shared" si="44"/>
        <v>#DIV/0!</v>
      </c>
      <c r="T122" s="28" t="e">
        <f t="shared" si="85"/>
        <v>#DIV/0!</v>
      </c>
      <c r="U122" s="28" t="e">
        <f t="shared" si="86"/>
        <v>#DIV/0!</v>
      </c>
      <c r="V122" s="28">
        <f t="shared" si="87"/>
        <v>-1</v>
      </c>
      <c r="W122" s="28">
        <f t="shared" si="88"/>
        <v>-0.82664176781823839</v>
      </c>
      <c r="X122" s="28">
        <f t="shared" si="89"/>
        <v>-0.48583773403744601</v>
      </c>
    </row>
    <row r="123" spans="1:24" x14ac:dyDescent="0.25">
      <c r="A123" s="5" t="s">
        <v>256</v>
      </c>
      <c r="B123" s="2">
        <v>0</v>
      </c>
      <c r="C123" s="2">
        <v>0</v>
      </c>
      <c r="D123" s="2">
        <v>0</v>
      </c>
      <c r="E123" s="2">
        <v>0</v>
      </c>
      <c r="F123" s="2">
        <v>0</v>
      </c>
      <c r="G123" s="2">
        <v>0</v>
      </c>
      <c r="H123" s="2">
        <v>0</v>
      </c>
      <c r="I123" s="2">
        <v>10000</v>
      </c>
      <c r="K123" s="28">
        <f t="shared" si="78"/>
        <v>0</v>
      </c>
      <c r="L123" s="28">
        <f t="shared" si="79"/>
        <v>0</v>
      </c>
      <c r="M123" s="28">
        <f t="shared" si="80"/>
        <v>0</v>
      </c>
      <c r="N123" s="28">
        <f t="shared" si="81"/>
        <v>0</v>
      </c>
      <c r="O123" s="28">
        <f t="shared" si="82"/>
        <v>0</v>
      </c>
      <c r="P123" s="28">
        <f t="shared" si="83"/>
        <v>0</v>
      </c>
      <c r="R123" s="28" t="e">
        <f t="shared" si="84"/>
        <v>#NUM!</v>
      </c>
      <c r="S123" s="28" t="e">
        <f t="shared" si="44"/>
        <v>#DIV/0!</v>
      </c>
      <c r="T123" s="28" t="e">
        <f t="shared" si="85"/>
        <v>#DIV/0!</v>
      </c>
      <c r="U123" s="28" t="e">
        <f t="shared" si="86"/>
        <v>#DIV/0!</v>
      </c>
      <c r="V123" s="28" t="e">
        <f t="shared" si="87"/>
        <v>#DIV/0!</v>
      </c>
      <c r="W123" s="28" t="e">
        <f t="shared" si="88"/>
        <v>#DIV/0!</v>
      </c>
      <c r="X123" s="28" t="e">
        <f t="shared" si="89"/>
        <v>#DIV/0!</v>
      </c>
    </row>
    <row r="124" spans="1:24" x14ac:dyDescent="0.25">
      <c r="A124" s="5" t="s">
        <v>257</v>
      </c>
      <c r="B124" s="2">
        <v>0</v>
      </c>
      <c r="C124" s="2">
        <v>0</v>
      </c>
      <c r="D124" s="2">
        <v>0</v>
      </c>
      <c r="E124" s="2">
        <v>0</v>
      </c>
      <c r="F124" s="2">
        <v>0</v>
      </c>
      <c r="G124" s="2">
        <v>0</v>
      </c>
      <c r="H124" s="2">
        <v>-180</v>
      </c>
      <c r="I124" s="2">
        <v>-900</v>
      </c>
      <c r="K124" s="28">
        <f t="shared" si="78"/>
        <v>0</v>
      </c>
      <c r="L124" s="28">
        <f t="shared" si="79"/>
        <v>0</v>
      </c>
      <c r="M124" s="28">
        <f t="shared" si="80"/>
        <v>0</v>
      </c>
      <c r="N124" s="28">
        <f t="shared" si="81"/>
        <v>0</v>
      </c>
      <c r="O124" s="28">
        <f t="shared" si="82"/>
        <v>0</v>
      </c>
      <c r="P124" s="28">
        <f t="shared" si="83"/>
        <v>0</v>
      </c>
      <c r="R124" s="28" t="e">
        <f t="shared" si="84"/>
        <v>#NUM!</v>
      </c>
      <c r="S124" s="28" t="e">
        <f t="shared" si="44"/>
        <v>#DIV/0!</v>
      </c>
      <c r="T124" s="28" t="e">
        <f t="shared" si="85"/>
        <v>#DIV/0!</v>
      </c>
      <c r="U124" s="28" t="e">
        <f t="shared" si="86"/>
        <v>#DIV/0!</v>
      </c>
      <c r="V124" s="28" t="e">
        <f t="shared" si="87"/>
        <v>#DIV/0!</v>
      </c>
      <c r="W124" s="28" t="e">
        <f t="shared" si="88"/>
        <v>#DIV/0!</v>
      </c>
      <c r="X124" s="28" t="e">
        <f t="shared" si="89"/>
        <v>#DIV/0!</v>
      </c>
    </row>
    <row r="125" spans="1:24" x14ac:dyDescent="0.25">
      <c r="A125" s="5" t="s">
        <v>258</v>
      </c>
      <c r="B125" s="2">
        <v>-1960</v>
      </c>
      <c r="C125" s="2">
        <v>-1959</v>
      </c>
      <c r="D125" s="2">
        <v>-1958</v>
      </c>
      <c r="E125" s="2">
        <v>-1953</v>
      </c>
      <c r="F125" s="2">
        <v>-3183</v>
      </c>
      <c r="G125" s="2">
        <v>-2888</v>
      </c>
      <c r="H125" s="2">
        <v>-3584</v>
      </c>
      <c r="I125" s="2">
        <v>-1302</v>
      </c>
      <c r="K125" s="28">
        <f t="shared" si="78"/>
        <v>-0.79384366140137708</v>
      </c>
      <c r="L125" s="28">
        <f t="shared" si="79"/>
        <v>-0.36521252796420584</v>
      </c>
      <c r="M125" s="28">
        <f t="shared" si="80"/>
        <v>-0.39724081963887198</v>
      </c>
      <c r="N125" s="28">
        <f t="shared" si="81"/>
        <v>-0.54983108108108103</v>
      </c>
      <c r="O125" s="28">
        <f t="shared" si="82"/>
        <v>-1.2365967365967365</v>
      </c>
      <c r="P125" s="28">
        <f t="shared" si="83"/>
        <v>-5.764471057884232</v>
      </c>
      <c r="R125" s="28">
        <f t="shared" si="84"/>
        <v>-7.4595138905815289E-2</v>
      </c>
      <c r="S125" s="28">
        <f t="shared" si="44"/>
        <v>-5.6139946040355194E-2</v>
      </c>
      <c r="T125" s="28">
        <f t="shared" si="85"/>
        <v>5.1046452271567128E-4</v>
      </c>
      <c r="U125" s="28">
        <f t="shared" si="86"/>
        <v>5.1072522982635344E-4</v>
      </c>
      <c r="V125" s="28">
        <f t="shared" si="87"/>
        <v>2.5601638504864311E-3</v>
      </c>
      <c r="W125" s="28">
        <f t="shared" si="88"/>
        <v>-0.38642789820923656</v>
      </c>
      <c r="X125" s="28">
        <f t="shared" si="89"/>
        <v>0.10214681440443213</v>
      </c>
    </row>
    <row r="126" spans="1:24" x14ac:dyDescent="0.25">
      <c r="A126" s="5" t="s">
        <v>259</v>
      </c>
      <c r="B126" s="2">
        <v>0</v>
      </c>
      <c r="C126" s="2">
        <v>0</v>
      </c>
      <c r="D126" s="2">
        <v>0</v>
      </c>
      <c r="E126" s="2">
        <v>0</v>
      </c>
      <c r="F126" s="2">
        <v>0</v>
      </c>
      <c r="G126" s="2">
        <v>0</v>
      </c>
      <c r="H126" s="2">
        <v>-8320</v>
      </c>
      <c r="I126" s="2">
        <v>0</v>
      </c>
      <c r="K126" s="28">
        <f t="shared" si="78"/>
        <v>0</v>
      </c>
      <c r="L126" s="28">
        <f t="shared" si="79"/>
        <v>0</v>
      </c>
      <c r="M126" s="28">
        <f t="shared" si="80"/>
        <v>0</v>
      </c>
      <c r="N126" s="28">
        <f t="shared" si="81"/>
        <v>0</v>
      </c>
      <c r="O126" s="28">
        <f t="shared" si="82"/>
        <v>0</v>
      </c>
      <c r="P126" s="28">
        <f t="shared" si="83"/>
        <v>0</v>
      </c>
      <c r="R126" s="28" t="e">
        <f t="shared" si="84"/>
        <v>#NUM!</v>
      </c>
      <c r="S126" s="28" t="e">
        <f t="shared" si="44"/>
        <v>#DIV/0!</v>
      </c>
      <c r="T126" s="28" t="e">
        <f t="shared" si="85"/>
        <v>#DIV/0!</v>
      </c>
      <c r="U126" s="28" t="e">
        <f t="shared" si="86"/>
        <v>#DIV/0!</v>
      </c>
      <c r="V126" s="28" t="e">
        <f t="shared" si="87"/>
        <v>#DIV/0!</v>
      </c>
      <c r="W126" s="28" t="e">
        <f t="shared" si="88"/>
        <v>#DIV/0!</v>
      </c>
      <c r="X126" s="28" t="e">
        <f t="shared" si="89"/>
        <v>#DIV/0!</v>
      </c>
    </row>
    <row r="127" spans="1:24" x14ac:dyDescent="0.25">
      <c r="A127" s="5" t="s">
        <v>97</v>
      </c>
      <c r="B127" s="2">
        <v>-299</v>
      </c>
      <c r="C127" s="2">
        <v>-259</v>
      </c>
      <c r="D127" s="2">
        <v>-60</v>
      </c>
      <c r="E127" s="2">
        <v>-33</v>
      </c>
      <c r="F127" s="2">
        <v>-28</v>
      </c>
      <c r="G127" s="2">
        <v>18</v>
      </c>
      <c r="H127" s="2">
        <v>-16</v>
      </c>
      <c r="I127" s="2">
        <v>-37</v>
      </c>
      <c r="K127" s="28">
        <f t="shared" si="78"/>
        <v>-0.12110166059133252</v>
      </c>
      <c r="L127" s="28">
        <f t="shared" si="79"/>
        <v>-4.8284862043251303E-2</v>
      </c>
      <c r="M127" s="28">
        <f t="shared" si="80"/>
        <v>-1.2172854534388313E-2</v>
      </c>
      <c r="N127" s="28">
        <f t="shared" si="81"/>
        <v>-9.2905405405405411E-3</v>
      </c>
      <c r="O127" s="28">
        <f t="shared" si="82"/>
        <v>-1.0878010878010878E-2</v>
      </c>
      <c r="P127" s="28">
        <f t="shared" si="83"/>
        <v>3.5928143712574849E-2</v>
      </c>
      <c r="R127" s="28" t="e">
        <f t="shared" si="84"/>
        <v>#NUM!</v>
      </c>
      <c r="S127" s="28">
        <f t="shared" si="44"/>
        <v>0.38246090246090264</v>
      </c>
      <c r="T127" s="28">
        <f t="shared" si="85"/>
        <v>0.15444015444015444</v>
      </c>
      <c r="U127" s="28">
        <f t="shared" si="86"/>
        <v>3.3166666666666669</v>
      </c>
      <c r="V127" s="28">
        <f t="shared" si="87"/>
        <v>0.81818181818181823</v>
      </c>
      <c r="W127" s="28">
        <f t="shared" si="88"/>
        <v>0.17857142857142858</v>
      </c>
      <c r="X127" s="28">
        <f t="shared" si="89"/>
        <v>-2.5555555555555554</v>
      </c>
    </row>
    <row r="128" spans="1:24" x14ac:dyDescent="0.25">
      <c r="A128" s="2" t="s">
        <v>98</v>
      </c>
      <c r="B128" s="10">
        <f>SUM(B116:B127)</f>
        <v>-3714</v>
      </c>
      <c r="C128" s="10">
        <f t="shared" ref="C128:G128" si="90">SUM(C116:C127)</f>
        <v>-9344</v>
      </c>
      <c r="D128" s="10">
        <f t="shared" si="90"/>
        <v>-3331</v>
      </c>
      <c r="E128" s="10">
        <f t="shared" si="90"/>
        <v>-3913</v>
      </c>
      <c r="F128" s="10">
        <f t="shared" si="90"/>
        <v>-3363</v>
      </c>
      <c r="G128" s="10">
        <f t="shared" si="90"/>
        <v>-4221</v>
      </c>
      <c r="H128" s="10">
        <f t="shared" ref="H128:I128" si="91">SUM(H116:H127)</f>
        <v>-4621</v>
      </c>
      <c r="I128" s="10">
        <f t="shared" si="91"/>
        <v>10183</v>
      </c>
      <c r="K128" s="33">
        <f t="shared" si="78"/>
        <v>-1.5042527339003646</v>
      </c>
      <c r="L128" s="33">
        <f t="shared" si="79"/>
        <v>-1.7419835943325876</v>
      </c>
      <c r="M128" s="33">
        <f t="shared" si="80"/>
        <v>-0.6757963075674579</v>
      </c>
      <c r="N128" s="33">
        <f t="shared" si="81"/>
        <v>-1.101632882882883</v>
      </c>
      <c r="O128" s="33">
        <f t="shared" si="82"/>
        <v>-1.3065268065268065</v>
      </c>
      <c r="P128" s="33">
        <f t="shared" si="83"/>
        <v>-8.4251497005988032</v>
      </c>
      <c r="Q128" s="10"/>
      <c r="R128" s="33">
        <f t="shared" si="84"/>
        <v>-2.5267808183075099E-2</v>
      </c>
      <c r="S128" s="33">
        <f t="shared" ref="S128:S132" si="92">AVERAGE(T128:X128)</f>
        <v>0.20283560611242665</v>
      </c>
      <c r="T128" s="33">
        <f t="shared" ref="T128:T132" si="93">(+B128-C128)/C128</f>
        <v>-0.60252568493150682</v>
      </c>
      <c r="U128" s="33">
        <f t="shared" ref="U128:U132" si="94">(+C128-D128)/D128</f>
        <v>1.805163614530171</v>
      </c>
      <c r="V128" s="33">
        <f t="shared" ref="V128:V132" si="95">(+D128-E128)/E128</f>
        <v>-0.14873498594428827</v>
      </c>
      <c r="W128" s="33">
        <f t="shared" ref="W128:W132" si="96">(+E128-F128)/F128</f>
        <v>0.16354445435622955</v>
      </c>
      <c r="X128" s="33">
        <f t="shared" ref="X128:X132" si="97">(+F128-G128)/G128</f>
        <v>-0.20326936744847193</v>
      </c>
    </row>
    <row r="129" spans="1:24" x14ac:dyDescent="0.25">
      <c r="A129" s="2" t="s">
        <v>99</v>
      </c>
      <c r="B129" s="2">
        <v>-69</v>
      </c>
      <c r="C129" s="2">
        <v>-30</v>
      </c>
      <c r="D129" s="2">
        <v>62</v>
      </c>
      <c r="E129" s="2">
        <v>-6</v>
      </c>
      <c r="F129" s="2">
        <v>-132</v>
      </c>
      <c r="G129" s="2">
        <v>57</v>
      </c>
      <c r="H129" s="2">
        <v>-137</v>
      </c>
      <c r="I129" s="2">
        <v>-407</v>
      </c>
      <c r="K129" s="33">
        <f t="shared" si="78"/>
        <v>-2.7946537059538274E-2</v>
      </c>
      <c r="L129" s="33">
        <f t="shared" si="79"/>
        <v>-5.5928411633109623E-3</v>
      </c>
      <c r="M129" s="33">
        <f t="shared" si="80"/>
        <v>1.2578616352201259E-2</v>
      </c>
      <c r="N129" s="33">
        <f t="shared" si="81"/>
        <v>-1.6891891891891893E-3</v>
      </c>
      <c r="O129" s="33">
        <f t="shared" si="82"/>
        <v>-5.128205128205128E-2</v>
      </c>
      <c r="P129" s="33">
        <f t="shared" si="83"/>
        <v>0.11377245508982035</v>
      </c>
      <c r="Q129" s="10"/>
      <c r="R129" s="33" t="e">
        <f t="shared" si="84"/>
        <v>#NUM!</v>
      </c>
      <c r="S129" s="33">
        <f t="shared" si="92"/>
        <v>-3.1575078458609869</v>
      </c>
      <c r="T129" s="33">
        <f t="shared" si="93"/>
        <v>1.3</v>
      </c>
      <c r="U129" s="33">
        <f t="shared" si="94"/>
        <v>-1.4838709677419355</v>
      </c>
      <c r="V129" s="33">
        <f t="shared" si="95"/>
        <v>-11.333333333333334</v>
      </c>
      <c r="W129" s="33">
        <f t="shared" si="96"/>
        <v>-0.95454545454545459</v>
      </c>
      <c r="X129" s="33">
        <f t="shared" si="97"/>
        <v>-3.3157894736842106</v>
      </c>
    </row>
    <row r="130" spans="1:24" x14ac:dyDescent="0.25">
      <c r="A130" s="2" t="s">
        <v>100</v>
      </c>
      <c r="B130" s="6">
        <f>+B129+B128+B114+B106</f>
        <v>-2405</v>
      </c>
      <c r="C130" s="6">
        <f t="shared" ref="C130:G130" si="98">+C129+C128+C114+C106</f>
        <v>28</v>
      </c>
      <c r="D130" s="6">
        <f t="shared" si="98"/>
        <v>1138</v>
      </c>
      <c r="E130" s="6">
        <f t="shared" si="98"/>
        <v>1144</v>
      </c>
      <c r="F130" s="6">
        <f t="shared" si="98"/>
        <v>-633</v>
      </c>
      <c r="G130" s="6">
        <f t="shared" si="98"/>
        <v>-2486</v>
      </c>
      <c r="H130" s="6">
        <f t="shared" ref="H130:I130" si="99">+H129+H128+H114+H106</f>
        <v>-633</v>
      </c>
      <c r="I130" s="6">
        <f t="shared" si="99"/>
        <v>2539</v>
      </c>
      <c r="K130" s="28">
        <f t="shared" si="78"/>
        <v>-0.97407857432158773</v>
      </c>
      <c r="L130" s="28">
        <f t="shared" si="79"/>
        <v>5.219985085756898E-3</v>
      </c>
      <c r="M130" s="28">
        <f t="shared" si="80"/>
        <v>0.23087847433556502</v>
      </c>
      <c r="N130" s="28">
        <f t="shared" si="81"/>
        <v>0.32207207207207206</v>
      </c>
      <c r="O130" s="28">
        <f t="shared" si="82"/>
        <v>-0.24592074592074592</v>
      </c>
      <c r="P130" s="28">
        <f t="shared" si="83"/>
        <v>-4.9620758483033933</v>
      </c>
      <c r="R130" s="28">
        <f t="shared" si="84"/>
        <v>-6.6031208578273834E-3</v>
      </c>
      <c r="S130" s="28">
        <f t="shared" si="92"/>
        <v>-18.285227681247186</v>
      </c>
      <c r="T130" s="28">
        <f t="shared" si="93"/>
        <v>-86.892857142857139</v>
      </c>
      <c r="U130" s="28">
        <f t="shared" si="94"/>
        <v>-0.97539543057996481</v>
      </c>
      <c r="V130" s="28">
        <f t="shared" si="95"/>
        <v>-5.244755244755245E-3</v>
      </c>
      <c r="W130" s="28">
        <f t="shared" si="96"/>
        <v>-2.807266982622433</v>
      </c>
      <c r="X130" s="28">
        <f t="shared" si="97"/>
        <v>-0.7453740949316171</v>
      </c>
    </row>
    <row r="131" spans="1:24" x14ac:dyDescent="0.25">
      <c r="A131" s="2" t="s">
        <v>101</v>
      </c>
      <c r="B131" s="2">
        <f>+C132</f>
        <v>3446</v>
      </c>
      <c r="C131" s="2">
        <f t="shared" ref="C131:E131" si="100">+D132</f>
        <v>3418</v>
      </c>
      <c r="D131" s="2">
        <v>2280</v>
      </c>
      <c r="E131" s="2">
        <f t="shared" si="100"/>
        <v>1136</v>
      </c>
      <c r="F131" s="2">
        <v>1769</v>
      </c>
      <c r="G131" s="49">
        <v>4255</v>
      </c>
      <c r="H131" s="2">
        <f>+I132</f>
        <v>4837</v>
      </c>
      <c r="I131" s="2">
        <v>2298</v>
      </c>
      <c r="K131" s="28">
        <f t="shared" si="78"/>
        <v>1.3957067638720129</v>
      </c>
      <c r="L131" s="28">
        <f t="shared" si="79"/>
        <v>0.63721103653989564</v>
      </c>
      <c r="M131" s="28">
        <f t="shared" si="80"/>
        <v>0.46256847230675591</v>
      </c>
      <c r="N131" s="28">
        <f t="shared" si="81"/>
        <v>0.31981981981981983</v>
      </c>
      <c r="O131" s="28">
        <f t="shared" si="82"/>
        <v>0.68725718725718721</v>
      </c>
      <c r="P131" s="28">
        <f t="shared" si="83"/>
        <v>8.4930139720558877</v>
      </c>
      <c r="R131" s="28">
        <f t="shared" si="84"/>
        <v>-4.1299085289094761E-2</v>
      </c>
      <c r="S131" s="28">
        <f t="shared" si="92"/>
        <v>0.11445477690487413</v>
      </c>
      <c r="T131" s="28">
        <f t="shared" si="93"/>
        <v>8.1919251023990641E-3</v>
      </c>
      <c r="U131" s="28">
        <f t="shared" si="94"/>
        <v>0.49912280701754386</v>
      </c>
      <c r="V131" s="28">
        <f t="shared" si="95"/>
        <v>1.0070422535211268</v>
      </c>
      <c r="W131" s="28">
        <f t="shared" si="96"/>
        <v>-0.35782928208027132</v>
      </c>
      <c r="X131" s="28">
        <f t="shared" si="97"/>
        <v>-0.5842538190364277</v>
      </c>
    </row>
    <row r="132" spans="1:24" ht="15.75" thickBot="1" x14ac:dyDescent="0.3">
      <c r="A132" s="2" t="s">
        <v>102</v>
      </c>
      <c r="B132" s="9">
        <f>+B131+B130</f>
        <v>1041</v>
      </c>
      <c r="C132" s="9">
        <f t="shared" ref="C132:G132" si="101">+C131+C130</f>
        <v>3446</v>
      </c>
      <c r="D132" s="9">
        <f t="shared" si="101"/>
        <v>3418</v>
      </c>
      <c r="E132" s="9">
        <f t="shared" si="101"/>
        <v>2280</v>
      </c>
      <c r="F132" s="9">
        <f t="shared" si="101"/>
        <v>1136</v>
      </c>
      <c r="G132" s="9">
        <f t="shared" si="101"/>
        <v>1769</v>
      </c>
      <c r="H132" s="50">
        <f t="shared" ref="H132:I132" si="102">+H131+H130</f>
        <v>4204</v>
      </c>
      <c r="I132" s="9">
        <f t="shared" si="102"/>
        <v>4837</v>
      </c>
      <c r="K132" s="32">
        <f t="shared" si="78"/>
        <v>0.42162818955042525</v>
      </c>
      <c r="L132" s="32">
        <f t="shared" si="79"/>
        <v>0.64243102162565247</v>
      </c>
      <c r="M132" s="32">
        <f t="shared" si="80"/>
        <v>0.69344694664232098</v>
      </c>
      <c r="N132" s="32">
        <f t="shared" si="81"/>
        <v>0.64189189189189189</v>
      </c>
      <c r="O132" s="32">
        <f t="shared" si="82"/>
        <v>0.44133644133644134</v>
      </c>
      <c r="P132" s="32">
        <f t="shared" si="83"/>
        <v>3.5309381237524948</v>
      </c>
      <c r="Q132" s="11"/>
      <c r="R132" s="32">
        <f t="shared" si="84"/>
        <v>-0.10061719678040582</v>
      </c>
      <c r="S132" s="32">
        <f t="shared" si="92"/>
        <v>9.1723416510186367E-2</v>
      </c>
      <c r="T132" s="32">
        <f t="shared" si="93"/>
        <v>-0.69791062100986656</v>
      </c>
      <c r="U132" s="32">
        <f t="shared" si="94"/>
        <v>8.1919251023990641E-3</v>
      </c>
      <c r="V132" s="32">
        <f t="shared" si="95"/>
        <v>0.49912280701754386</v>
      </c>
      <c r="W132" s="32">
        <f t="shared" si="96"/>
        <v>1.0070422535211268</v>
      </c>
      <c r="X132" s="32">
        <f t="shared" si="97"/>
        <v>-0.35782928208027132</v>
      </c>
    </row>
    <row r="133" spans="1:24" ht="15.75" thickTop="1" x14ac:dyDescent="0.25">
      <c r="A133" s="3" t="s">
        <v>107</v>
      </c>
      <c r="B133" s="2">
        <f>+B132-B6</f>
        <v>1</v>
      </c>
      <c r="C133" s="2">
        <f t="shared" ref="C133:G133" si="103">+C132-C6</f>
        <v>1</v>
      </c>
      <c r="D133" s="2">
        <f t="shared" si="103"/>
        <v>1</v>
      </c>
      <c r="E133" s="2">
        <f t="shared" si="103"/>
        <v>1</v>
      </c>
      <c r="F133" s="2">
        <f t="shared" si="103"/>
        <v>6</v>
      </c>
      <c r="G133" s="2">
        <f t="shared" si="103"/>
        <v>140</v>
      </c>
    </row>
    <row r="135" spans="1:24" x14ac:dyDescent="0.25">
      <c r="A135" s="2" t="s">
        <v>103</v>
      </c>
      <c r="B135" s="8">
        <v>937</v>
      </c>
      <c r="C135" s="8">
        <v>1196</v>
      </c>
      <c r="D135" s="8">
        <v>1286</v>
      </c>
      <c r="E135" s="8">
        <v>1306</v>
      </c>
      <c r="F135" s="8">
        <v>1322</v>
      </c>
      <c r="G135" s="8">
        <v>1269</v>
      </c>
      <c r="H135" s="8">
        <v>1176</v>
      </c>
      <c r="I135" s="8">
        <v>704</v>
      </c>
    </row>
    <row r="136" spans="1:24" x14ac:dyDescent="0.25">
      <c r="A136" s="2" t="s">
        <v>104</v>
      </c>
      <c r="B136" s="2">
        <v>1260</v>
      </c>
      <c r="C136" s="2">
        <v>1295</v>
      </c>
      <c r="D136" s="2">
        <v>1027</v>
      </c>
      <c r="E136" s="2">
        <v>974</v>
      </c>
      <c r="F136" s="2">
        <v>543</v>
      </c>
      <c r="G136" s="2">
        <v>1206</v>
      </c>
      <c r="H136" s="2">
        <v>1619</v>
      </c>
      <c r="I136" s="2">
        <v>557</v>
      </c>
    </row>
    <row r="137" spans="1:24" x14ac:dyDescent="0.25">
      <c r="A137" s="2" t="s">
        <v>105</v>
      </c>
      <c r="B137" s="8">
        <v>173</v>
      </c>
      <c r="C137" s="8">
        <v>176</v>
      </c>
      <c r="D137" s="8">
        <v>173</v>
      </c>
      <c r="E137" s="8">
        <v>191</v>
      </c>
      <c r="F137" s="8">
        <v>200</v>
      </c>
      <c r="G137" s="8">
        <v>244</v>
      </c>
      <c r="H137" s="8">
        <f>+G137</f>
        <v>244</v>
      </c>
      <c r="I137" s="8">
        <f>+H137</f>
        <v>244</v>
      </c>
    </row>
    <row r="139" spans="1:24" s="15" customFormat="1" x14ac:dyDescent="0.25">
      <c r="A139" s="15" t="str">
        <f>+A1</f>
        <v>Kraft Heinz Company</v>
      </c>
      <c r="B139" s="15" t="str">
        <f>+B1</f>
        <v>As reported</v>
      </c>
    </row>
    <row r="140" spans="1:24" s="15" customFormat="1" x14ac:dyDescent="0.25">
      <c r="A140" s="15" t="s">
        <v>106</v>
      </c>
    </row>
    <row r="141" spans="1:24" s="15" customFormat="1" x14ac:dyDescent="0.25">
      <c r="A141" s="15" t="str">
        <f>+A3</f>
        <v>in millions except per share data</v>
      </c>
      <c r="F141" s="15" t="s">
        <v>149</v>
      </c>
      <c r="G141" s="16" t="s">
        <v>125</v>
      </c>
      <c r="H141" s="16"/>
      <c r="I141" s="16"/>
    </row>
    <row r="142" spans="1:24" s="15" customFormat="1" ht="15.75" thickBot="1" x14ac:dyDescent="0.3">
      <c r="A142" s="16" t="str">
        <f>+A4</f>
        <v>Year ended near 12/31:</v>
      </c>
      <c r="B142" s="17">
        <v>2022</v>
      </c>
      <c r="C142" s="17">
        <v>2021</v>
      </c>
      <c r="D142" s="17">
        <v>2020</v>
      </c>
      <c r="E142" s="17">
        <v>2019</v>
      </c>
      <c r="F142" s="17">
        <v>2018</v>
      </c>
      <c r="G142" s="17">
        <v>2017</v>
      </c>
      <c r="H142" s="17">
        <v>2016</v>
      </c>
      <c r="I142" s="17">
        <v>2015</v>
      </c>
    </row>
    <row r="143" spans="1:24" s="23" customFormat="1" x14ac:dyDescent="0.25">
      <c r="A143" s="23" t="s">
        <v>122</v>
      </c>
      <c r="B143" s="26">
        <v>945</v>
      </c>
      <c r="C143" s="26">
        <v>1039</v>
      </c>
      <c r="D143" s="26">
        <v>1070</v>
      </c>
      <c r="E143" s="26">
        <v>1100</v>
      </c>
      <c r="F143" s="26">
        <v>1140</v>
      </c>
      <c r="G143" s="26">
        <v>1115</v>
      </c>
      <c r="H143" s="26"/>
      <c r="I143" s="26"/>
    </row>
    <row r="144" spans="1:24" s="23" customFormat="1" x14ac:dyDescent="0.25">
      <c r="A144" s="23" t="s">
        <v>123</v>
      </c>
      <c r="B144" s="25">
        <v>127</v>
      </c>
      <c r="C144" s="25">
        <v>140</v>
      </c>
      <c r="D144" s="25">
        <v>119</v>
      </c>
      <c r="E144" s="25">
        <v>112</v>
      </c>
      <c r="F144" s="25">
        <v>109</v>
      </c>
      <c r="G144" s="25">
        <v>93</v>
      </c>
      <c r="H144" s="25"/>
      <c r="I144" s="25"/>
    </row>
    <row r="145" spans="1:9" s="23" customFormat="1" x14ac:dyDescent="0.25">
      <c r="B145" s="24"/>
      <c r="C145" s="24"/>
      <c r="D145" s="24"/>
      <c r="E145" s="24"/>
      <c r="F145" s="24"/>
      <c r="G145" s="24"/>
      <c r="H145" s="24"/>
      <c r="I145" s="24"/>
    </row>
    <row r="146" spans="1:9" x14ac:dyDescent="0.25">
      <c r="A146" s="2" t="s">
        <v>108</v>
      </c>
      <c r="B146" s="8">
        <v>200</v>
      </c>
      <c r="C146" s="8">
        <v>207</v>
      </c>
      <c r="D146" s="8">
        <v>219</v>
      </c>
      <c r="E146" s="8">
        <v>210</v>
      </c>
      <c r="F146" s="8">
        <v>218</v>
      </c>
      <c r="G146" s="8">
        <v>250</v>
      </c>
      <c r="H146" s="8"/>
      <c r="I146" s="8"/>
    </row>
    <row r="147" spans="1:9" x14ac:dyDescent="0.25">
      <c r="A147" s="2" t="s">
        <v>109</v>
      </c>
      <c r="B147" s="2">
        <v>1161</v>
      </c>
      <c r="C147" s="2">
        <v>1002</v>
      </c>
      <c r="D147" s="2">
        <v>792</v>
      </c>
      <c r="E147" s="2">
        <v>1033</v>
      </c>
      <c r="F147" s="2">
        <v>1165</v>
      </c>
      <c r="G147" s="2">
        <v>1345</v>
      </c>
    </row>
    <row r="148" spans="1:9" x14ac:dyDescent="0.25">
      <c r="A148" s="2" t="s">
        <v>110</v>
      </c>
      <c r="B148" s="2">
        <f>+B149-B147-B146</f>
        <v>9591</v>
      </c>
      <c r="C148" s="2">
        <f t="shared" ref="C148:G148" si="104">+C149-C147-C146</f>
        <v>9465</v>
      </c>
      <c r="D148" s="2">
        <f t="shared" si="104"/>
        <v>9428</v>
      </c>
      <c r="E148" s="2">
        <f t="shared" si="104"/>
        <v>8999</v>
      </c>
      <c r="F148" s="2">
        <f t="shared" si="104"/>
        <v>8279</v>
      </c>
      <c r="G148" s="2">
        <f t="shared" si="104"/>
        <v>7555</v>
      </c>
    </row>
    <row r="149" spans="1:9" x14ac:dyDescent="0.25">
      <c r="A149" s="2" t="s">
        <v>111</v>
      </c>
      <c r="B149" s="6">
        <f>+B151-B150</f>
        <v>10952</v>
      </c>
      <c r="C149" s="6">
        <f t="shared" ref="C149:G149" si="105">+C151-C150</f>
        <v>10674</v>
      </c>
      <c r="D149" s="6">
        <f t="shared" si="105"/>
        <v>10439</v>
      </c>
      <c r="E149" s="6">
        <f t="shared" si="105"/>
        <v>10242</v>
      </c>
      <c r="F149" s="6">
        <f t="shared" si="105"/>
        <v>9662</v>
      </c>
      <c r="G149" s="6">
        <f t="shared" si="105"/>
        <v>9150</v>
      </c>
      <c r="H149" s="34"/>
      <c r="I149" s="34"/>
    </row>
    <row r="150" spans="1:9" x14ac:dyDescent="0.25">
      <c r="A150" s="2" t="s">
        <v>112</v>
      </c>
      <c r="B150" s="2">
        <v>-4212</v>
      </c>
      <c r="C150" s="2">
        <v>-3868</v>
      </c>
      <c r="D150" s="2">
        <v>-3563</v>
      </c>
      <c r="E150" s="2">
        <v>-3187</v>
      </c>
      <c r="F150" s="2">
        <v>-2584</v>
      </c>
      <c r="G150" s="2">
        <v>-2089</v>
      </c>
    </row>
    <row r="151" spans="1:9" ht="15.75" thickBot="1" x14ac:dyDescent="0.3">
      <c r="A151" s="2" t="s">
        <v>113</v>
      </c>
      <c r="B151" s="9">
        <f>+B14</f>
        <v>6740</v>
      </c>
      <c r="C151" s="9">
        <f t="shared" ref="C151:G151" si="106">+C14</f>
        <v>6806</v>
      </c>
      <c r="D151" s="9">
        <f t="shared" si="106"/>
        <v>6876</v>
      </c>
      <c r="E151" s="9">
        <f t="shared" si="106"/>
        <v>7055</v>
      </c>
      <c r="F151" s="9">
        <f t="shared" si="106"/>
        <v>7078</v>
      </c>
      <c r="G151" s="9">
        <f t="shared" si="106"/>
        <v>7061</v>
      </c>
      <c r="H151" s="36"/>
      <c r="I151" s="36"/>
    </row>
    <row r="152" spans="1:9" ht="15.75" thickTop="1" x14ac:dyDescent="0.25"/>
    <row r="153" spans="1:9" x14ac:dyDescent="0.25">
      <c r="A153" s="2" t="s">
        <v>114</v>
      </c>
      <c r="B153" s="8">
        <v>672</v>
      </c>
      <c r="C153" s="8">
        <v>671</v>
      </c>
      <c r="D153" s="8">
        <v>705</v>
      </c>
      <c r="E153" s="8">
        <v>708</v>
      </c>
      <c r="F153" s="8">
        <v>693</v>
      </c>
      <c r="G153" s="8">
        <v>680</v>
      </c>
      <c r="H153" s="8"/>
      <c r="I153" s="8"/>
    </row>
    <row r="155" spans="1:9" x14ac:dyDescent="0.25">
      <c r="A155" s="2" t="s">
        <v>115</v>
      </c>
      <c r="B155" s="8">
        <v>668</v>
      </c>
      <c r="C155" s="8">
        <v>569</v>
      </c>
      <c r="D155" s="8">
        <v>562</v>
      </c>
      <c r="E155" s="8">
        <v>542</v>
      </c>
      <c r="F155" s="8">
        <v>0</v>
      </c>
      <c r="G155" s="8">
        <v>0</v>
      </c>
      <c r="H155" s="8"/>
      <c r="I155" s="8"/>
    </row>
    <row r="156" spans="1:9" x14ac:dyDescent="0.25">
      <c r="A156" s="2" t="s">
        <v>116</v>
      </c>
      <c r="B156" s="2">
        <v>125</v>
      </c>
      <c r="C156" s="2">
        <v>133</v>
      </c>
      <c r="D156" s="2">
        <v>135</v>
      </c>
      <c r="E156" s="2">
        <v>147</v>
      </c>
      <c r="F156" s="2">
        <v>0</v>
      </c>
      <c r="G156" s="2">
        <v>0</v>
      </c>
    </row>
    <row r="157" spans="1:9" x14ac:dyDescent="0.25">
      <c r="A157" s="2" t="s">
        <v>117</v>
      </c>
      <c r="B157" s="8">
        <v>585</v>
      </c>
      <c r="C157" s="8">
        <v>484</v>
      </c>
      <c r="D157" s="8">
        <v>475</v>
      </c>
      <c r="E157" s="8">
        <v>454</v>
      </c>
      <c r="F157" s="8">
        <v>0</v>
      </c>
      <c r="G157" s="8">
        <v>0</v>
      </c>
      <c r="H157" s="8"/>
      <c r="I157" s="8"/>
    </row>
    <row r="159" spans="1:9" hidden="1" x14ac:dyDescent="0.25">
      <c r="A159" s="15" t="str">
        <f>+A1</f>
        <v>Kraft Heinz Company</v>
      </c>
    </row>
    <row r="160" spans="1:9" hidden="1" x14ac:dyDescent="0.25">
      <c r="A160" s="15" t="s">
        <v>263</v>
      </c>
    </row>
    <row r="161" spans="1:26" hidden="1" x14ac:dyDescent="0.25">
      <c r="A161" s="15" t="s">
        <v>264</v>
      </c>
      <c r="B161" s="15"/>
      <c r="C161" s="15"/>
      <c r="D161" s="15"/>
      <c r="E161" s="15"/>
      <c r="F161" s="15" t="s">
        <v>149</v>
      </c>
      <c r="G161" s="16" t="s">
        <v>125</v>
      </c>
      <c r="H161" s="16"/>
      <c r="I161" s="16" t="s">
        <v>280</v>
      </c>
    </row>
    <row r="162" spans="1:26" ht="15.75" hidden="1" thickBot="1" x14ac:dyDescent="0.3">
      <c r="A162" s="15"/>
      <c r="B162" s="17">
        <v>2022</v>
      </c>
      <c r="C162" s="17">
        <v>2021</v>
      </c>
      <c r="D162" s="17">
        <v>2020</v>
      </c>
      <c r="E162" s="17">
        <v>2019</v>
      </c>
      <c r="F162" s="17">
        <v>2018</v>
      </c>
      <c r="G162" s="17">
        <v>2017</v>
      </c>
      <c r="H162" s="17">
        <v>2016</v>
      </c>
      <c r="I162" s="17">
        <v>2015</v>
      </c>
    </row>
    <row r="163" spans="1:26" hidden="1" x14ac:dyDescent="0.25">
      <c r="A163" s="2" t="s">
        <v>265</v>
      </c>
      <c r="B163" s="8">
        <f>+B70</f>
        <v>2363</v>
      </c>
      <c r="C163" s="8">
        <f t="shared" ref="C163:I163" si="107">+C70</f>
        <v>1012</v>
      </c>
      <c r="D163" s="8">
        <f t="shared" si="107"/>
        <v>356</v>
      </c>
      <c r="E163" s="8">
        <f t="shared" si="107"/>
        <v>1935</v>
      </c>
      <c r="F163" s="8">
        <f t="shared" si="107"/>
        <v>-10192</v>
      </c>
      <c r="G163" s="8">
        <f t="shared" si="107"/>
        <v>10941</v>
      </c>
      <c r="H163" s="8">
        <f t="shared" si="107"/>
        <v>3632</v>
      </c>
      <c r="I163" s="8">
        <f t="shared" si="107"/>
        <v>634</v>
      </c>
    </row>
    <row r="164" spans="1:26" hidden="1" x14ac:dyDescent="0.25">
      <c r="A164" s="2" t="s">
        <v>266</v>
      </c>
    </row>
    <row r="165" spans="1:26" hidden="1" x14ac:dyDescent="0.25">
      <c r="A165" s="5" t="s">
        <v>51</v>
      </c>
      <c r="B165" s="2">
        <v>444</v>
      </c>
      <c r="C165" s="2">
        <v>318</v>
      </c>
      <c r="D165" s="2">
        <v>2343</v>
      </c>
      <c r="E165" s="2">
        <v>1197</v>
      </c>
      <c r="F165" s="2">
        <v>7008</v>
      </c>
      <c r="G165" s="2">
        <v>0</v>
      </c>
      <c r="H165" s="2">
        <v>0</v>
      </c>
      <c r="I165" s="2">
        <v>0</v>
      </c>
      <c r="K165" s="37"/>
      <c r="L165" s="37"/>
      <c r="M165" s="37"/>
      <c r="N165" s="37"/>
      <c r="O165" s="37"/>
      <c r="P165" s="37"/>
      <c r="Q165" s="34"/>
      <c r="R165" s="37"/>
      <c r="S165" s="37"/>
      <c r="T165" s="37"/>
      <c r="U165" s="37"/>
      <c r="V165" s="37"/>
      <c r="W165" s="37"/>
      <c r="X165" s="37"/>
      <c r="Y165" s="34"/>
      <c r="Z165" s="34"/>
    </row>
    <row r="166" spans="1:26" hidden="1" x14ac:dyDescent="0.25">
      <c r="A166" s="5" t="s">
        <v>52</v>
      </c>
      <c r="B166" s="2">
        <v>469</v>
      </c>
      <c r="C166" s="2">
        <v>1316</v>
      </c>
      <c r="D166" s="2">
        <v>1056</v>
      </c>
      <c r="E166" s="2">
        <v>702</v>
      </c>
      <c r="F166" s="2">
        <v>8928</v>
      </c>
      <c r="G166" s="2">
        <v>49</v>
      </c>
      <c r="H166" s="2">
        <v>0</v>
      </c>
      <c r="I166" s="2">
        <v>0</v>
      </c>
      <c r="K166" s="37"/>
      <c r="L166" s="37"/>
      <c r="M166" s="37"/>
      <c r="N166" s="37"/>
      <c r="O166" s="37"/>
      <c r="P166" s="37"/>
      <c r="Q166" s="34"/>
      <c r="R166" s="37"/>
      <c r="S166" s="37"/>
      <c r="T166" s="37"/>
      <c r="U166" s="37"/>
      <c r="V166" s="37"/>
      <c r="W166" s="37"/>
      <c r="X166" s="37"/>
      <c r="Y166" s="34"/>
      <c r="Z166" s="34"/>
    </row>
    <row r="167" spans="1:26" hidden="1" x14ac:dyDescent="0.25">
      <c r="A167" s="5" t="s">
        <v>56</v>
      </c>
      <c r="B167" s="2">
        <v>0</v>
      </c>
      <c r="C167" s="2">
        <v>0</v>
      </c>
      <c r="D167" s="2">
        <v>0</v>
      </c>
      <c r="E167" s="2">
        <v>-700</v>
      </c>
      <c r="F167" s="2">
        <v>0</v>
      </c>
      <c r="G167" s="2">
        <v>0</v>
      </c>
      <c r="H167" s="2">
        <v>0</v>
      </c>
      <c r="I167" s="2">
        <v>0</v>
      </c>
      <c r="K167" s="34"/>
      <c r="L167" s="34"/>
      <c r="M167" s="34"/>
      <c r="N167" s="34"/>
      <c r="O167" s="34"/>
      <c r="P167" s="34"/>
      <c r="Q167" s="34"/>
      <c r="R167" s="34"/>
      <c r="S167" s="34"/>
      <c r="T167" s="34"/>
      <c r="U167" s="34"/>
      <c r="V167" s="34"/>
      <c r="W167" s="34"/>
      <c r="X167" s="34"/>
      <c r="Y167" s="34"/>
      <c r="Z167" s="34"/>
    </row>
    <row r="168" spans="1:26" hidden="1" x14ac:dyDescent="0.25">
      <c r="A168" s="35" t="s">
        <v>267</v>
      </c>
      <c r="B168" s="6">
        <f t="shared" ref="B168:I168" si="108">SUM(B165:B167)</f>
        <v>913</v>
      </c>
      <c r="C168" s="6">
        <f t="shared" si="108"/>
        <v>1634</v>
      </c>
      <c r="D168" s="6">
        <f t="shared" si="108"/>
        <v>3399</v>
      </c>
      <c r="E168" s="6">
        <f t="shared" si="108"/>
        <v>1199</v>
      </c>
      <c r="F168" s="6">
        <f t="shared" si="108"/>
        <v>15936</v>
      </c>
      <c r="G168" s="6">
        <f t="shared" si="108"/>
        <v>49</v>
      </c>
      <c r="H168" s="6">
        <f t="shared" si="108"/>
        <v>0</v>
      </c>
      <c r="I168" s="6">
        <f t="shared" si="108"/>
        <v>0</v>
      </c>
    </row>
    <row r="169" spans="1:26" hidden="1" x14ac:dyDescent="0.25">
      <c r="A169" s="51" t="s">
        <v>277</v>
      </c>
      <c r="B169" s="31">
        <f t="shared" ref="B169:I169" si="109">-B168*B179</f>
        <v>-228.25</v>
      </c>
      <c r="C169" s="31">
        <f t="shared" si="109"/>
        <v>-408.5</v>
      </c>
      <c r="D169" s="31">
        <f t="shared" si="109"/>
        <v>-849.75</v>
      </c>
      <c r="E169" s="31">
        <f t="shared" si="109"/>
        <v>-299.75</v>
      </c>
      <c r="F169" s="31">
        <f t="shared" si="109"/>
        <v>-3984</v>
      </c>
      <c r="G169" s="31">
        <f t="shared" si="109"/>
        <v>-12.25</v>
      </c>
      <c r="H169" s="31">
        <f t="shared" si="109"/>
        <v>0</v>
      </c>
      <c r="I169" s="31">
        <f t="shared" si="109"/>
        <v>0</v>
      </c>
    </row>
    <row r="170" spans="1:26" hidden="1" x14ac:dyDescent="0.25">
      <c r="A170" s="5" t="s">
        <v>268</v>
      </c>
      <c r="B170" s="2">
        <f>+B168+B169</f>
        <v>684.75</v>
      </c>
      <c r="C170" s="2">
        <f t="shared" ref="C170:I170" si="110">+C168+C169</f>
        <v>1225.5</v>
      </c>
      <c r="D170" s="2">
        <f t="shared" si="110"/>
        <v>2549.25</v>
      </c>
      <c r="E170" s="2">
        <f t="shared" si="110"/>
        <v>899.25</v>
      </c>
      <c r="F170" s="2">
        <f t="shared" si="110"/>
        <v>11952</v>
      </c>
      <c r="G170" s="2">
        <f t="shared" si="110"/>
        <v>36.75</v>
      </c>
      <c r="H170" s="2">
        <f t="shared" si="110"/>
        <v>0</v>
      </c>
      <c r="I170" s="2">
        <f t="shared" si="110"/>
        <v>0</v>
      </c>
    </row>
    <row r="171" spans="1:26" hidden="1" x14ac:dyDescent="0.25">
      <c r="A171" s="5" t="s">
        <v>269</v>
      </c>
      <c r="B171" s="31">
        <f>+B182</f>
        <v>-143.5</v>
      </c>
      <c r="C171" s="31">
        <f t="shared" ref="C171:G171" si="111">+C182</f>
        <v>257</v>
      </c>
      <c r="D171" s="31">
        <f t="shared" si="111"/>
        <v>411.5</v>
      </c>
      <c r="E171" s="31">
        <f t="shared" si="111"/>
        <v>62.75</v>
      </c>
      <c r="F171" s="31">
        <f t="shared" si="111"/>
        <v>1763.25</v>
      </c>
      <c r="G171" s="31">
        <f t="shared" si="111"/>
        <v>-6844.5</v>
      </c>
      <c r="H171" s="31">
        <f t="shared" ref="H171:I171" si="112">+H182</f>
        <v>125.25</v>
      </c>
      <c r="I171" s="31">
        <f t="shared" si="112"/>
        <v>112.75</v>
      </c>
    </row>
    <row r="172" spans="1:26" hidden="1" x14ac:dyDescent="0.25">
      <c r="A172" s="2" t="s">
        <v>270</v>
      </c>
      <c r="B172" s="2">
        <f>SUM(B170:B171)</f>
        <v>541.25</v>
      </c>
      <c r="C172" s="2">
        <f t="shared" ref="C172:I172" si="113">SUM(C170:C171)</f>
        <v>1482.5</v>
      </c>
      <c r="D172" s="2">
        <f t="shared" si="113"/>
        <v>2960.75</v>
      </c>
      <c r="E172" s="2">
        <f t="shared" si="113"/>
        <v>962</v>
      </c>
      <c r="F172" s="2">
        <f t="shared" si="113"/>
        <v>13715.25</v>
      </c>
      <c r="G172" s="2">
        <f t="shared" si="113"/>
        <v>-6807.75</v>
      </c>
      <c r="H172" s="2">
        <f t="shared" si="113"/>
        <v>125.25</v>
      </c>
      <c r="I172" s="2">
        <f t="shared" si="113"/>
        <v>112.75</v>
      </c>
    </row>
    <row r="173" spans="1:26" ht="15.75" hidden="1" thickBot="1" x14ac:dyDescent="0.3">
      <c r="A173" s="2" t="s">
        <v>276</v>
      </c>
      <c r="B173" s="9">
        <f t="shared" ref="B173:I173" si="114">+B163+B172</f>
        <v>2904.25</v>
      </c>
      <c r="C173" s="9">
        <f t="shared" si="114"/>
        <v>2494.5</v>
      </c>
      <c r="D173" s="9">
        <f t="shared" si="114"/>
        <v>3316.75</v>
      </c>
      <c r="E173" s="9">
        <f t="shared" si="114"/>
        <v>2897</v>
      </c>
      <c r="F173" s="9">
        <f t="shared" si="114"/>
        <v>3523.25</v>
      </c>
      <c r="G173" s="9">
        <f t="shared" si="114"/>
        <v>4133.25</v>
      </c>
      <c r="H173" s="9">
        <f t="shared" si="114"/>
        <v>3757.25</v>
      </c>
      <c r="I173" s="9">
        <f t="shared" si="114"/>
        <v>746.75</v>
      </c>
    </row>
    <row r="174" spans="1:26" ht="15.75" hidden="1" thickTop="1" x14ac:dyDescent="0.25">
      <c r="A174" s="2" t="s">
        <v>278</v>
      </c>
      <c r="B174" s="7">
        <f t="shared" ref="B174:I174" si="115">+B173/B74</f>
        <v>2.3516194331983806</v>
      </c>
      <c r="C174" s="7">
        <f t="shared" si="115"/>
        <v>2.0182038834951457</v>
      </c>
      <c r="D174" s="7">
        <f t="shared" si="115"/>
        <v>2.7009364820846904</v>
      </c>
      <c r="E174" s="7">
        <f t="shared" si="115"/>
        <v>2.3668300653594772</v>
      </c>
      <c r="F174" s="7">
        <f t="shared" si="115"/>
        <v>2.890278917145201</v>
      </c>
      <c r="G174" s="7">
        <f t="shared" si="115"/>
        <v>3.3658387622149837</v>
      </c>
      <c r="H174" s="7">
        <f t="shared" si="115"/>
        <v>3.0584798667439164</v>
      </c>
      <c r="I174" s="7">
        <f t="shared" si="115"/>
        <v>0.95449248120300767</v>
      </c>
    </row>
    <row r="175" spans="1:26" hidden="1" x14ac:dyDescent="0.25"/>
    <row r="176" spans="1:26" hidden="1" x14ac:dyDescent="0.25">
      <c r="A176" s="2" t="s">
        <v>279</v>
      </c>
    </row>
    <row r="177" spans="1:9" hidden="1" x14ac:dyDescent="0.25">
      <c r="A177" s="5" t="s">
        <v>288</v>
      </c>
      <c r="B177" s="28">
        <f t="shared" ref="B177:I177" si="116">+B67/B66</f>
        <v>0.20161834120026972</v>
      </c>
      <c r="C177" s="28">
        <f t="shared" si="116"/>
        <v>0.40046838407494145</v>
      </c>
      <c r="D177" s="28">
        <f t="shared" si="116"/>
        <v>0.64951456310679612</v>
      </c>
      <c r="E177" s="28">
        <f t="shared" si="116"/>
        <v>0.27358136039083053</v>
      </c>
      <c r="F177" s="28">
        <f t="shared" si="116"/>
        <v>9.4249624591467185E-2</v>
      </c>
      <c r="G177" s="28">
        <f t="shared" si="116"/>
        <v>-1.0058715596330274</v>
      </c>
      <c r="H177" s="28">
        <f t="shared" si="116"/>
        <v>0.27493529763089786</v>
      </c>
      <c r="I177" s="28">
        <f t="shared" si="116"/>
        <v>0.36130306021717673</v>
      </c>
    </row>
    <row r="178" spans="1:9" hidden="1" x14ac:dyDescent="0.25">
      <c r="A178" s="5" t="s">
        <v>271</v>
      </c>
      <c r="B178" s="2">
        <f t="shared" ref="B178:I178" si="117">+B66</f>
        <v>2966</v>
      </c>
      <c r="C178" s="2">
        <f t="shared" si="117"/>
        <v>1708</v>
      </c>
      <c r="D178" s="2">
        <f t="shared" si="117"/>
        <v>1030</v>
      </c>
      <c r="E178" s="2">
        <f t="shared" si="117"/>
        <v>2661</v>
      </c>
      <c r="F178" s="2">
        <f t="shared" si="117"/>
        <v>-11321</v>
      </c>
      <c r="G178" s="2">
        <f t="shared" si="117"/>
        <v>5450</v>
      </c>
      <c r="H178" s="2">
        <f t="shared" si="117"/>
        <v>5023</v>
      </c>
      <c r="I178" s="2">
        <f t="shared" si="117"/>
        <v>1013</v>
      </c>
    </row>
    <row r="179" spans="1:9" hidden="1" x14ac:dyDescent="0.25">
      <c r="A179" s="5" t="s">
        <v>272</v>
      </c>
      <c r="B179" s="28">
        <v>0.25</v>
      </c>
      <c r="C179" s="28">
        <v>0.25</v>
      </c>
      <c r="D179" s="28">
        <v>0.25</v>
      </c>
      <c r="E179" s="28">
        <v>0.25</v>
      </c>
      <c r="F179" s="28">
        <v>0.25</v>
      </c>
      <c r="G179" s="28">
        <v>0.25</v>
      </c>
      <c r="H179" s="28">
        <v>0.25</v>
      </c>
      <c r="I179" s="28">
        <v>0.25</v>
      </c>
    </row>
    <row r="180" spans="1:9" hidden="1" x14ac:dyDescent="0.25">
      <c r="A180" s="5" t="s">
        <v>273</v>
      </c>
      <c r="B180" s="2">
        <f>+B178*B179</f>
        <v>741.5</v>
      </c>
      <c r="C180" s="2">
        <f t="shared" ref="C180:I180" si="118">+C178*C179</f>
        <v>427</v>
      </c>
      <c r="D180" s="2">
        <f t="shared" si="118"/>
        <v>257.5</v>
      </c>
      <c r="E180" s="2">
        <f t="shared" si="118"/>
        <v>665.25</v>
      </c>
      <c r="F180" s="2">
        <f t="shared" si="118"/>
        <v>-2830.25</v>
      </c>
      <c r="G180" s="2">
        <f t="shared" si="118"/>
        <v>1362.5</v>
      </c>
      <c r="H180" s="2">
        <f t="shared" si="118"/>
        <v>1255.75</v>
      </c>
      <c r="I180" s="2">
        <f t="shared" si="118"/>
        <v>253.25</v>
      </c>
    </row>
    <row r="181" spans="1:9" hidden="1" x14ac:dyDescent="0.25">
      <c r="A181" s="5" t="s">
        <v>274</v>
      </c>
      <c r="B181" s="2">
        <f t="shared" ref="B181:I181" si="119">+B67</f>
        <v>598</v>
      </c>
      <c r="C181" s="2">
        <f t="shared" si="119"/>
        <v>684</v>
      </c>
      <c r="D181" s="2">
        <f t="shared" si="119"/>
        <v>669</v>
      </c>
      <c r="E181" s="2">
        <f t="shared" si="119"/>
        <v>728</v>
      </c>
      <c r="F181" s="2">
        <f t="shared" si="119"/>
        <v>-1067</v>
      </c>
      <c r="G181" s="2">
        <f t="shared" si="119"/>
        <v>-5482</v>
      </c>
      <c r="H181" s="2">
        <f t="shared" si="119"/>
        <v>1381</v>
      </c>
      <c r="I181" s="2">
        <f t="shared" si="119"/>
        <v>366</v>
      </c>
    </row>
    <row r="182" spans="1:9" ht="15.75" hidden="1" thickBot="1" x14ac:dyDescent="0.3">
      <c r="A182" s="2" t="s">
        <v>275</v>
      </c>
      <c r="B182" s="9">
        <f>+B181-B180</f>
        <v>-143.5</v>
      </c>
      <c r="C182" s="9">
        <f t="shared" ref="C182:I182" si="120">+C181-C180</f>
        <v>257</v>
      </c>
      <c r="D182" s="9">
        <f t="shared" si="120"/>
        <v>411.5</v>
      </c>
      <c r="E182" s="9">
        <f t="shared" si="120"/>
        <v>62.75</v>
      </c>
      <c r="F182" s="9">
        <f t="shared" si="120"/>
        <v>1763.25</v>
      </c>
      <c r="G182" s="9">
        <f t="shared" si="120"/>
        <v>-6844.5</v>
      </c>
      <c r="H182" s="9">
        <f t="shared" si="120"/>
        <v>125.25</v>
      </c>
      <c r="I182" s="9">
        <f t="shared" si="120"/>
        <v>112.75</v>
      </c>
    </row>
    <row r="183" spans="1:9" ht="15.75" hidden="1" thickTop="1" x14ac:dyDescent="0.25">
      <c r="B183" s="36"/>
      <c r="C183" s="36"/>
      <c r="D183" s="36"/>
      <c r="E183" s="36"/>
      <c r="F183" s="36"/>
      <c r="G183" s="36"/>
      <c r="H183" s="36"/>
      <c r="I183" s="36"/>
    </row>
    <row r="184" spans="1:9" hidden="1" x14ac:dyDescent="0.25">
      <c r="B184" s="15"/>
      <c r="C184" s="15"/>
      <c r="D184" s="15"/>
      <c r="E184" s="15"/>
      <c r="F184" s="15" t="s">
        <v>149</v>
      </c>
      <c r="G184" s="16" t="s">
        <v>125</v>
      </c>
      <c r="H184" s="16"/>
      <c r="I184" s="16" t="s">
        <v>280</v>
      </c>
    </row>
    <row r="185" spans="1:9" ht="15.75" hidden="1" thickBot="1" x14ac:dyDescent="0.3">
      <c r="A185" s="2" t="s">
        <v>281</v>
      </c>
      <c r="B185" s="17">
        <v>2022</v>
      </c>
      <c r="C185" s="17">
        <v>2021</v>
      </c>
      <c r="D185" s="17">
        <v>2020</v>
      </c>
      <c r="E185" s="17">
        <v>2019</v>
      </c>
      <c r="F185" s="17">
        <v>2018</v>
      </c>
      <c r="G185" s="17">
        <v>2017</v>
      </c>
      <c r="H185" s="17">
        <v>2016</v>
      </c>
      <c r="I185" s="17">
        <v>2015</v>
      </c>
    </row>
    <row r="186" spans="1:9" hidden="1" x14ac:dyDescent="0.25">
      <c r="A186" s="5" t="s">
        <v>282</v>
      </c>
      <c r="B186" s="8">
        <f t="shared" ref="B186:I186" si="121">+B56</f>
        <v>26485</v>
      </c>
      <c r="C186" s="8">
        <f t="shared" si="121"/>
        <v>26042</v>
      </c>
      <c r="D186" s="8">
        <f t="shared" si="121"/>
        <v>26185</v>
      </c>
      <c r="E186" s="8">
        <f t="shared" si="121"/>
        <v>24977</v>
      </c>
      <c r="F186" s="8">
        <f t="shared" si="121"/>
        <v>26268</v>
      </c>
      <c r="G186" s="8">
        <f t="shared" si="121"/>
        <v>26076</v>
      </c>
      <c r="H186" s="8">
        <f t="shared" si="121"/>
        <v>26487</v>
      </c>
      <c r="I186" s="8">
        <f t="shared" si="121"/>
        <v>18338</v>
      </c>
    </row>
    <row r="187" spans="1:9" hidden="1" x14ac:dyDescent="0.25">
      <c r="A187" s="5" t="s">
        <v>49</v>
      </c>
      <c r="B187" s="2">
        <f t="shared" ref="B187:I187" si="122">+B58</f>
        <v>8122</v>
      </c>
      <c r="C187" s="2">
        <f t="shared" si="122"/>
        <v>8682</v>
      </c>
      <c r="D187" s="2">
        <f t="shared" si="122"/>
        <v>9177</v>
      </c>
      <c r="E187" s="2">
        <f t="shared" si="122"/>
        <v>8147</v>
      </c>
      <c r="F187" s="2">
        <f t="shared" si="122"/>
        <v>8921</v>
      </c>
      <c r="G187" s="2">
        <f t="shared" si="122"/>
        <v>9033</v>
      </c>
      <c r="H187" s="2">
        <f t="shared" si="122"/>
        <v>9586</v>
      </c>
      <c r="I187" s="2">
        <f t="shared" si="122"/>
        <v>5761</v>
      </c>
    </row>
    <row r="188" spans="1:9" hidden="1" x14ac:dyDescent="0.25">
      <c r="A188" s="5" t="s">
        <v>178</v>
      </c>
      <c r="B188" s="2">
        <f t="shared" ref="B188:I188" si="123">+B63+B61+B60</f>
        <v>4547</v>
      </c>
      <c r="C188" s="2">
        <f t="shared" si="123"/>
        <v>5094</v>
      </c>
      <c r="D188" s="2">
        <f t="shared" si="123"/>
        <v>5527</v>
      </c>
      <c r="E188" s="2">
        <f t="shared" si="123"/>
        <v>4969</v>
      </c>
      <c r="F188" s="2">
        <f t="shared" si="123"/>
        <v>5731</v>
      </c>
      <c r="G188" s="2">
        <f t="shared" si="123"/>
        <v>6106</v>
      </c>
      <c r="H188" s="2">
        <f t="shared" si="123"/>
        <v>6142</v>
      </c>
      <c r="I188" s="2">
        <f t="shared" si="123"/>
        <v>2639</v>
      </c>
    </row>
    <row r="189" spans="1:9" hidden="1" x14ac:dyDescent="0.25">
      <c r="A189" s="5" t="s">
        <v>59</v>
      </c>
      <c r="B189" s="8">
        <f>+B173</f>
        <v>2904.25</v>
      </c>
      <c r="C189" s="8">
        <f t="shared" ref="C189:I189" si="124">+C173</f>
        <v>2494.5</v>
      </c>
      <c r="D189" s="8">
        <f t="shared" si="124"/>
        <v>3316.75</v>
      </c>
      <c r="E189" s="8">
        <f t="shared" si="124"/>
        <v>2897</v>
      </c>
      <c r="F189" s="8">
        <f t="shared" si="124"/>
        <v>3523.25</v>
      </c>
      <c r="G189" s="8">
        <f t="shared" si="124"/>
        <v>4133.25</v>
      </c>
      <c r="H189" s="8">
        <f t="shared" si="124"/>
        <v>3757.25</v>
      </c>
      <c r="I189" s="8">
        <f t="shared" si="124"/>
        <v>746.75</v>
      </c>
    </row>
    <row r="190" spans="1:9" hidden="1" x14ac:dyDescent="0.25">
      <c r="A190" s="2" t="s">
        <v>281</v>
      </c>
    </row>
    <row r="191" spans="1:9" hidden="1" x14ac:dyDescent="0.25">
      <c r="A191" s="5" t="s">
        <v>283</v>
      </c>
      <c r="B191" s="40">
        <f>+B187/B186</f>
        <v>0.30666414951859544</v>
      </c>
      <c r="C191" s="28">
        <f t="shared" ref="C191:I191" si="125">+C187/C186</f>
        <v>0.33338453267798174</v>
      </c>
      <c r="D191" s="28">
        <f t="shared" si="125"/>
        <v>0.35046782509070079</v>
      </c>
      <c r="E191" s="40">
        <f t="shared" si="125"/>
        <v>0.32618008567882451</v>
      </c>
      <c r="F191" s="40">
        <f t="shared" si="125"/>
        <v>0.33961474036850919</v>
      </c>
      <c r="G191" s="40">
        <f t="shared" si="125"/>
        <v>0.34641049240681088</v>
      </c>
      <c r="H191" s="40">
        <f t="shared" si="125"/>
        <v>0.36191339147506324</v>
      </c>
      <c r="I191" s="28">
        <f t="shared" si="125"/>
        <v>0.31415639655360456</v>
      </c>
    </row>
    <row r="192" spans="1:9" hidden="1" x14ac:dyDescent="0.25">
      <c r="A192" s="35" t="s">
        <v>285</v>
      </c>
      <c r="B192" s="30">
        <f>+B188/B187</f>
        <v>0.55983747845358289</v>
      </c>
      <c r="C192" s="30">
        <f t="shared" ref="C192:I192" si="126">+C188/C187</f>
        <v>0.58673116793365587</v>
      </c>
      <c r="D192" s="30">
        <f t="shared" si="126"/>
        <v>0.60226653590497981</v>
      </c>
      <c r="E192" s="30">
        <f t="shared" si="126"/>
        <v>0.60991776113906959</v>
      </c>
      <c r="F192" s="30">
        <f t="shared" si="126"/>
        <v>0.64241676942046855</v>
      </c>
      <c r="G192" s="30">
        <f t="shared" si="126"/>
        <v>0.67596590280084135</v>
      </c>
      <c r="H192" s="30">
        <f t="shared" si="126"/>
        <v>0.64072605883580225</v>
      </c>
      <c r="I192" s="30">
        <f t="shared" si="126"/>
        <v>0.45808019441069259</v>
      </c>
    </row>
    <row r="193" spans="1:9" hidden="1" x14ac:dyDescent="0.25">
      <c r="A193" s="5" t="s">
        <v>284</v>
      </c>
      <c r="B193" s="28">
        <f>+B188/B186</f>
        <v>0.17168208419860298</v>
      </c>
      <c r="C193" s="28">
        <f t="shared" ref="C193:I193" si="127">+C188/C186</f>
        <v>0.19560709622916828</v>
      </c>
      <c r="D193" s="28">
        <f t="shared" si="127"/>
        <v>0.21107504296352875</v>
      </c>
      <c r="E193" s="28">
        <f t="shared" si="127"/>
        <v>0.19894302758537855</v>
      </c>
      <c r="F193" s="28">
        <f t="shared" si="127"/>
        <v>0.21817420435510887</v>
      </c>
      <c r="G193" s="28">
        <f t="shared" si="127"/>
        <v>0.23416168123945391</v>
      </c>
      <c r="H193" s="28">
        <f t="shared" si="127"/>
        <v>0.23188734095971608</v>
      </c>
      <c r="I193" s="28">
        <f t="shared" si="127"/>
        <v>0.14390882320863779</v>
      </c>
    </row>
    <row r="194" spans="1:9" hidden="1" x14ac:dyDescent="0.25">
      <c r="A194" s="35" t="s">
        <v>286</v>
      </c>
      <c r="B194" s="28">
        <f>+B189/B188</f>
        <v>0.6387178359357818</v>
      </c>
      <c r="C194" s="40">
        <f t="shared" ref="C194:I194" si="128">+C189/C188</f>
        <v>0.48969375736160187</v>
      </c>
      <c r="D194" s="28">
        <f t="shared" si="128"/>
        <v>0.60009951148905372</v>
      </c>
      <c r="E194" s="28">
        <f t="shared" si="128"/>
        <v>0.58301469108472526</v>
      </c>
      <c r="F194" s="28">
        <f t="shared" si="128"/>
        <v>0.61477054615250393</v>
      </c>
      <c r="G194" s="28">
        <f t="shared" si="128"/>
        <v>0.67691614805109723</v>
      </c>
      <c r="H194" s="28">
        <f t="shared" si="128"/>
        <v>0.61173070661022466</v>
      </c>
      <c r="I194" s="28">
        <f t="shared" si="128"/>
        <v>0.28296703296703296</v>
      </c>
    </row>
    <row r="195" spans="1:9" ht="15.75" hidden="1" thickBot="1" x14ac:dyDescent="0.3">
      <c r="A195" s="5" t="s">
        <v>287</v>
      </c>
      <c r="B195" s="32">
        <f>+B189/B186</f>
        <v>0.10965640928827639</v>
      </c>
      <c r="C195" s="32">
        <f t="shared" ref="C195:I195" si="129">+C189/C186</f>
        <v>9.5787573919053834E-2</v>
      </c>
      <c r="D195" s="32">
        <f t="shared" si="129"/>
        <v>0.12666603016994463</v>
      </c>
      <c r="E195" s="32">
        <f t="shared" si="129"/>
        <v>0.11598670777114946</v>
      </c>
      <c r="F195" s="32">
        <f t="shared" si="129"/>
        <v>0.1341270747677783</v>
      </c>
      <c r="G195" s="32">
        <f t="shared" si="129"/>
        <v>0.15850782328578003</v>
      </c>
      <c r="H195" s="32">
        <f t="shared" si="129"/>
        <v>0.14185260693925322</v>
      </c>
      <c r="I195" s="32">
        <f t="shared" si="129"/>
        <v>4.0721452721125533E-2</v>
      </c>
    </row>
    <row r="196" spans="1:9" ht="15.75" hidden="1" thickTop="1" x14ac:dyDescent="0.25"/>
    <row r="197" spans="1:9" hidden="1" x14ac:dyDescent="0.25">
      <c r="A197" s="2" t="s">
        <v>290</v>
      </c>
      <c r="B197" s="8">
        <f t="shared" ref="B197:I197" si="130">+B188+B84</f>
        <v>5480</v>
      </c>
      <c r="C197" s="8">
        <f t="shared" si="130"/>
        <v>6004</v>
      </c>
      <c r="D197" s="8">
        <f t="shared" si="130"/>
        <v>6496</v>
      </c>
      <c r="E197" s="8">
        <f t="shared" si="130"/>
        <v>5963</v>
      </c>
      <c r="F197" s="8">
        <f t="shared" si="130"/>
        <v>6714</v>
      </c>
      <c r="G197" s="8">
        <f t="shared" si="130"/>
        <v>7137</v>
      </c>
      <c r="H197" s="8">
        <f t="shared" si="130"/>
        <v>7479</v>
      </c>
      <c r="I197" s="8">
        <f t="shared" si="130"/>
        <v>3379</v>
      </c>
    </row>
    <row r="198" spans="1:9" hidden="1" x14ac:dyDescent="0.25">
      <c r="A198" s="2" t="s">
        <v>289</v>
      </c>
      <c r="B198" s="28">
        <f>+B197/B186</f>
        <v>0.20690957145554087</v>
      </c>
      <c r="C198" s="28">
        <f t="shared" ref="C198:I198" si="131">+C197/C186</f>
        <v>0.23055064895169342</v>
      </c>
      <c r="D198" s="28">
        <f t="shared" si="131"/>
        <v>0.24808096238304372</v>
      </c>
      <c r="E198" s="28">
        <f t="shared" si="131"/>
        <v>0.23873964046923168</v>
      </c>
      <c r="F198" s="28">
        <f t="shared" si="131"/>
        <v>0.2555961626313385</v>
      </c>
      <c r="G198" s="28">
        <f t="shared" si="131"/>
        <v>0.27369995398067187</v>
      </c>
      <c r="H198" s="28">
        <f t="shared" si="131"/>
        <v>0.28236493374108051</v>
      </c>
      <c r="I198" s="28">
        <f t="shared" si="131"/>
        <v>0.18426218780674011</v>
      </c>
    </row>
    <row r="199" spans="1:9" hidden="1" x14ac:dyDescent="0.25"/>
    <row r="200" spans="1:9" hidden="1" x14ac:dyDescent="0.25">
      <c r="A200" s="2" t="s">
        <v>291</v>
      </c>
      <c r="B200" s="7">
        <f>+'Phase 3'!B40</f>
        <v>38.130000000000003</v>
      </c>
      <c r="C200" s="7">
        <f>+'Phase 3'!C40</f>
        <v>39.22</v>
      </c>
      <c r="D200" s="7">
        <f>+'Phase 3'!D40</f>
        <v>36.380000000000003</v>
      </c>
      <c r="E200" s="7">
        <f>+'Phase 3'!E40</f>
        <v>24.77</v>
      </c>
      <c r="F200" s="7">
        <f>+'Phase 3'!F40</f>
        <v>33.19</v>
      </c>
      <c r="G200" s="7">
        <f>+'Phase 3'!G40</f>
        <v>67.14</v>
      </c>
      <c r="H200" s="7">
        <f>+'Heinz-Kraft Merger'!B73</f>
        <v>87.32</v>
      </c>
      <c r="I200" s="7">
        <f>+'Heinz-Kraft Merger'!B74</f>
        <v>72.760000000000005</v>
      </c>
    </row>
    <row r="201" spans="1:9" hidden="1" x14ac:dyDescent="0.25">
      <c r="A201" s="5" t="s">
        <v>292</v>
      </c>
      <c r="B201" s="31">
        <f>+B48</f>
        <v>1225</v>
      </c>
      <c r="C201" s="31">
        <f t="shared" ref="C201:I201" si="132">+C48</f>
        <v>1224</v>
      </c>
      <c r="D201" s="31">
        <f t="shared" si="132"/>
        <v>1223</v>
      </c>
      <c r="E201" s="31">
        <f t="shared" si="132"/>
        <v>1221</v>
      </c>
      <c r="F201" s="31">
        <f t="shared" si="132"/>
        <v>1220</v>
      </c>
      <c r="G201" s="31">
        <f t="shared" si="132"/>
        <v>1219</v>
      </c>
      <c r="H201" s="31">
        <f t="shared" si="132"/>
        <v>1216.4757400000001</v>
      </c>
      <c r="I201" s="31">
        <f t="shared" si="132"/>
        <v>1213.978752</v>
      </c>
    </row>
    <row r="202" spans="1:9" hidden="1" x14ac:dyDescent="0.25">
      <c r="A202" s="2" t="s">
        <v>293</v>
      </c>
      <c r="B202" s="2">
        <f>+B201*B200</f>
        <v>46709.25</v>
      </c>
      <c r="C202" s="2">
        <f t="shared" ref="C202:I202" si="133">+C201*C200</f>
        <v>48005.279999999999</v>
      </c>
      <c r="D202" s="2">
        <f t="shared" si="133"/>
        <v>44492.740000000005</v>
      </c>
      <c r="E202" s="2">
        <f t="shared" si="133"/>
        <v>30244.17</v>
      </c>
      <c r="F202" s="2">
        <f t="shared" si="133"/>
        <v>40491.799999999996</v>
      </c>
      <c r="G202" s="2">
        <f t="shared" si="133"/>
        <v>81843.66</v>
      </c>
      <c r="H202" s="2">
        <f t="shared" si="133"/>
        <v>106222.6616168</v>
      </c>
      <c r="I202" s="2">
        <f t="shared" si="133"/>
        <v>88329.093995520001</v>
      </c>
    </row>
    <row r="203" spans="1:9" hidden="1" x14ac:dyDescent="0.25">
      <c r="A203" s="5" t="s">
        <v>294</v>
      </c>
      <c r="B203" s="2">
        <f t="shared" ref="B203:I203" si="134">+B21+B20+B29</f>
        <v>20070</v>
      </c>
      <c r="C203" s="2">
        <f t="shared" si="134"/>
        <v>21815</v>
      </c>
      <c r="D203" s="2">
        <f t="shared" si="134"/>
        <v>28306</v>
      </c>
      <c r="E203" s="2">
        <f t="shared" si="134"/>
        <v>29244</v>
      </c>
      <c r="F203" s="2">
        <f t="shared" si="134"/>
        <v>31168</v>
      </c>
      <c r="G203" s="2">
        <f t="shared" si="134"/>
        <v>31503</v>
      </c>
      <c r="H203" s="2">
        <f t="shared" si="134"/>
        <v>29713</v>
      </c>
      <c r="I203" s="2">
        <f t="shared" si="134"/>
        <v>25151</v>
      </c>
    </row>
    <row r="204" spans="1:9" hidden="1" x14ac:dyDescent="0.25">
      <c r="A204" s="5" t="s">
        <v>295</v>
      </c>
      <c r="B204" s="2">
        <f>-B6</f>
        <v>-1040</v>
      </c>
      <c r="C204" s="2">
        <f t="shared" ref="C204:I204" si="135">-C6</f>
        <v>-3445</v>
      </c>
      <c r="D204" s="2">
        <f t="shared" si="135"/>
        <v>-3417</v>
      </c>
      <c r="E204" s="2">
        <f t="shared" si="135"/>
        <v>-2279</v>
      </c>
      <c r="F204" s="2">
        <f t="shared" si="135"/>
        <v>-1130</v>
      </c>
      <c r="G204" s="2">
        <f t="shared" si="135"/>
        <v>-1629</v>
      </c>
      <c r="H204" s="2">
        <f t="shared" si="135"/>
        <v>0</v>
      </c>
      <c r="I204" s="2">
        <f t="shared" si="135"/>
        <v>0</v>
      </c>
    </row>
    <row r="205" spans="1:9" ht="15.75" hidden="1" thickBot="1" x14ac:dyDescent="0.3">
      <c r="A205" s="2" t="s">
        <v>296</v>
      </c>
      <c r="B205" s="9">
        <f>SUM(B202:B204)</f>
        <v>65739.25</v>
      </c>
      <c r="C205" s="9">
        <f t="shared" ref="C205:I205" si="136">SUM(C202:C204)</f>
        <v>66375.28</v>
      </c>
      <c r="D205" s="9">
        <f t="shared" si="136"/>
        <v>69381.740000000005</v>
      </c>
      <c r="E205" s="9">
        <f t="shared" si="136"/>
        <v>57209.17</v>
      </c>
      <c r="F205" s="9">
        <f t="shared" si="136"/>
        <v>70529.799999999988</v>
      </c>
      <c r="G205" s="9">
        <f t="shared" si="136"/>
        <v>111717.66</v>
      </c>
      <c r="H205" s="9">
        <f t="shared" si="136"/>
        <v>135935.6616168</v>
      </c>
      <c r="I205" s="9">
        <f t="shared" si="136"/>
        <v>113480.09399552</v>
      </c>
    </row>
    <row r="206" spans="1:9" ht="15.75" hidden="1" thickTop="1" x14ac:dyDescent="0.25">
      <c r="A206" s="2" t="s">
        <v>297</v>
      </c>
      <c r="B206" s="42">
        <f>+B205/B197</f>
        <v>11.996213503649635</v>
      </c>
      <c r="C206" s="42">
        <f t="shared" ref="C206:I206" si="137">+C205/C197</f>
        <v>11.055176548967355</v>
      </c>
      <c r="D206" s="42">
        <f t="shared" si="137"/>
        <v>10.680686576354681</v>
      </c>
      <c r="E206" s="42">
        <f t="shared" si="137"/>
        <v>9.594024819721616</v>
      </c>
      <c r="F206" s="42">
        <f t="shared" si="137"/>
        <v>10.504885314268691</v>
      </c>
      <c r="G206" s="42">
        <f t="shared" si="137"/>
        <v>15.653308112652375</v>
      </c>
      <c r="H206" s="42">
        <f t="shared" si="137"/>
        <v>18.175646692980344</v>
      </c>
      <c r="I206" s="42">
        <f t="shared" si="137"/>
        <v>33.583928379852026</v>
      </c>
    </row>
    <row r="207" spans="1:9" hidden="1" x14ac:dyDescent="0.25">
      <c r="A207" s="2" t="s">
        <v>298</v>
      </c>
      <c r="B207" s="1">
        <f>+B200/B174</f>
        <v>16.214358268055438</v>
      </c>
      <c r="C207" s="1">
        <f t="shared" ref="C207:I207" si="138">+C200/C174</f>
        <v>19.433120865904989</v>
      </c>
      <c r="D207" s="1">
        <f t="shared" si="138"/>
        <v>13.469402276324717</v>
      </c>
      <c r="E207" s="1">
        <f t="shared" si="138"/>
        <v>10.465474628926476</v>
      </c>
      <c r="F207" s="1">
        <f t="shared" si="138"/>
        <v>11.48332079755907</v>
      </c>
      <c r="G207" s="1">
        <f t="shared" si="138"/>
        <v>19.947479586281982</v>
      </c>
      <c r="H207" s="1">
        <f t="shared" si="138"/>
        <v>28.550130719991174</v>
      </c>
      <c r="I207" s="1">
        <f t="shared" si="138"/>
        <v>76.228992299966521</v>
      </c>
    </row>
    <row r="208" spans="1:9" hidden="1" x14ac:dyDescent="0.25"/>
    <row r="209" spans="1:9" hidden="1" x14ac:dyDescent="0.25">
      <c r="A209" s="2" t="s">
        <v>299</v>
      </c>
      <c r="B209" s="8">
        <f>+B189</f>
        <v>2904.25</v>
      </c>
      <c r="C209" s="8">
        <f t="shared" ref="C209:H209" si="139">+C189</f>
        <v>2494.5</v>
      </c>
      <c r="D209" s="8">
        <f t="shared" si="139"/>
        <v>3316.75</v>
      </c>
      <c r="E209" s="8">
        <f t="shared" si="139"/>
        <v>2897</v>
      </c>
      <c r="F209" s="8">
        <f t="shared" si="139"/>
        <v>3523.25</v>
      </c>
      <c r="G209" s="8">
        <f t="shared" si="139"/>
        <v>4133.25</v>
      </c>
      <c r="H209" s="8">
        <f t="shared" si="139"/>
        <v>3757.25</v>
      </c>
    </row>
    <row r="210" spans="1:9" hidden="1" x14ac:dyDescent="0.25">
      <c r="A210" s="2" t="s">
        <v>300</v>
      </c>
      <c r="B210" s="2">
        <f>AVERAGE(B43:C43)</f>
        <v>49139</v>
      </c>
      <c r="C210" s="2">
        <f t="shared" ref="C210:H210" si="140">AVERAGE(C43:D43)</f>
        <v>49845.5</v>
      </c>
      <c r="D210" s="2">
        <f t="shared" si="140"/>
        <v>50996</v>
      </c>
      <c r="E210" s="2">
        <f t="shared" si="140"/>
        <v>51762</v>
      </c>
      <c r="F210" s="2">
        <f t="shared" si="140"/>
        <v>58922.5</v>
      </c>
      <c r="G210" s="2">
        <f t="shared" si="140"/>
        <v>61822</v>
      </c>
      <c r="H210" s="2">
        <f t="shared" si="140"/>
        <v>57733.5</v>
      </c>
    </row>
    <row r="211" spans="1:9" ht="15.75" hidden="1" thickBot="1" x14ac:dyDescent="0.3">
      <c r="A211" s="2" t="s">
        <v>301</v>
      </c>
      <c r="B211" s="32">
        <f>+B209/B210</f>
        <v>5.9102749343698489E-2</v>
      </c>
      <c r="C211" s="32">
        <f t="shared" ref="C211:H211" si="141">+C209/C210</f>
        <v>5.0044637931207434E-2</v>
      </c>
      <c r="D211" s="32">
        <f t="shared" si="141"/>
        <v>6.5039414856067138E-2</v>
      </c>
      <c r="E211" s="32">
        <f t="shared" si="141"/>
        <v>5.5967698311502646E-2</v>
      </c>
      <c r="F211" s="32">
        <f t="shared" si="141"/>
        <v>5.9794645508931224E-2</v>
      </c>
      <c r="G211" s="32">
        <f t="shared" si="141"/>
        <v>6.6857267639351681E-2</v>
      </c>
      <c r="H211" s="32">
        <f t="shared" si="141"/>
        <v>6.5079200117782565E-2</v>
      </c>
    </row>
    <row r="212" spans="1:9" ht="15.75" hidden="1" thickTop="1" x14ac:dyDescent="0.25"/>
    <row r="213" spans="1:9" hidden="1" x14ac:dyDescent="0.25">
      <c r="B213" s="2" t="s">
        <v>302</v>
      </c>
    </row>
    <row r="214" spans="1:9" hidden="1" x14ac:dyDescent="0.25">
      <c r="B214" s="2" t="s">
        <v>303</v>
      </c>
    </row>
    <row r="215" spans="1:9" hidden="1" x14ac:dyDescent="0.25">
      <c r="B215" s="2" t="s">
        <v>304</v>
      </c>
    </row>
    <row r="216" spans="1:9" hidden="1" x14ac:dyDescent="0.25"/>
    <row r="218" spans="1:9" x14ac:dyDescent="0.25">
      <c r="A218" s="52" t="str">
        <f>+A1</f>
        <v>Kraft Heinz Company</v>
      </c>
      <c r="B218" s="1"/>
      <c r="C218" s="1"/>
      <c r="D218" s="1"/>
      <c r="E218" s="1"/>
      <c r="F218" s="1"/>
      <c r="G218" s="1"/>
      <c r="H218" s="1"/>
      <c r="I218" s="1"/>
    </row>
    <row r="219" spans="1:9" x14ac:dyDescent="0.25">
      <c r="A219" s="52" t="s">
        <v>306</v>
      </c>
      <c r="B219" s="1"/>
      <c r="C219" s="1"/>
      <c r="D219" s="1"/>
      <c r="E219" s="1"/>
      <c r="F219" s="1"/>
      <c r="G219" s="1"/>
      <c r="H219" s="1"/>
      <c r="I219" s="1"/>
    </row>
    <row r="220" spans="1:9" x14ac:dyDescent="0.25">
      <c r="A220" s="52" t="str">
        <f>+A3</f>
        <v>in millions except per share data</v>
      </c>
      <c r="B220" s="1"/>
      <c r="C220" s="1"/>
      <c r="D220" s="1"/>
      <c r="E220" s="1"/>
      <c r="F220" s="1"/>
      <c r="G220" s="1"/>
      <c r="H220" s="1"/>
      <c r="I220" s="1"/>
    </row>
    <row r="221" spans="1:9" x14ac:dyDescent="0.25">
      <c r="A221" s="52" t="s">
        <v>325</v>
      </c>
      <c r="B221" s="1"/>
      <c r="C221" s="1"/>
      <c r="D221" s="1"/>
      <c r="E221" s="1"/>
      <c r="F221" s="1"/>
      <c r="G221" s="1"/>
      <c r="H221" s="1"/>
      <c r="I221" s="1"/>
    </row>
    <row r="222" spans="1:9" x14ac:dyDescent="0.25">
      <c r="A222" s="1"/>
      <c r="B222" s="1"/>
      <c r="C222" s="1"/>
      <c r="D222" s="1"/>
      <c r="E222" s="1"/>
      <c r="F222" s="1"/>
      <c r="G222" s="1"/>
      <c r="H222" s="1"/>
      <c r="I222" s="1"/>
    </row>
    <row r="223" spans="1:9" ht="15.75" thickBot="1" x14ac:dyDescent="0.3">
      <c r="A223" s="54" t="s">
        <v>307</v>
      </c>
      <c r="B223" s="1"/>
      <c r="C223" s="1"/>
      <c r="D223" s="1"/>
      <c r="E223" s="1"/>
      <c r="F223" s="1"/>
      <c r="G223" s="1"/>
      <c r="H223" s="1"/>
      <c r="I223" s="1"/>
    </row>
    <row r="224" spans="1:9" x14ac:dyDescent="0.25">
      <c r="A224" s="53" t="s">
        <v>308</v>
      </c>
      <c r="B224" s="8">
        <f>+B106</f>
        <v>2469</v>
      </c>
    </row>
    <row r="225" spans="1:11" x14ac:dyDescent="0.25">
      <c r="A225" s="53" t="s">
        <v>309</v>
      </c>
      <c r="B225" s="31">
        <f>+B108</f>
        <v>-916</v>
      </c>
    </row>
    <row r="226" spans="1:11" x14ac:dyDescent="0.25">
      <c r="A226" s="53" t="s">
        <v>195</v>
      </c>
      <c r="B226" s="2">
        <f>+B225+B224</f>
        <v>1553</v>
      </c>
    </row>
    <row r="227" spans="1:11" x14ac:dyDescent="0.25">
      <c r="A227" s="53" t="s">
        <v>310</v>
      </c>
      <c r="B227" s="2">
        <f>+B64*0.75</f>
        <v>690.75</v>
      </c>
    </row>
    <row r="228" spans="1:11" ht="15.75" thickBot="1" x14ac:dyDescent="0.3">
      <c r="A228" s="53" t="s">
        <v>311</v>
      </c>
      <c r="B228" s="9">
        <f>+B227+B226</f>
        <v>2243.75</v>
      </c>
      <c r="C228" s="2">
        <v>10</v>
      </c>
      <c r="D228" s="61">
        <f>+C228*B228</f>
        <v>22437.5</v>
      </c>
    </row>
    <row r="229" spans="1:11" ht="15.75" thickTop="1" x14ac:dyDescent="0.25">
      <c r="A229" s="1"/>
    </row>
    <row r="230" spans="1:11" ht="15.75" thickBot="1" x14ac:dyDescent="0.3">
      <c r="A230" s="54" t="s">
        <v>312</v>
      </c>
    </row>
    <row r="231" spans="1:11" ht="15.75" thickBot="1" x14ac:dyDescent="0.3">
      <c r="A231" s="53" t="s">
        <v>175</v>
      </c>
      <c r="B231" s="8">
        <f>+B63</f>
        <v>3634</v>
      </c>
      <c r="E231" s="58" t="s">
        <v>313</v>
      </c>
      <c r="F231" s="58"/>
      <c r="G231" s="59">
        <v>2022</v>
      </c>
      <c r="H231" s="59">
        <v>2022</v>
      </c>
      <c r="I231" s="60" t="s">
        <v>208</v>
      </c>
      <c r="J231" s="34"/>
      <c r="K231" s="34"/>
    </row>
    <row r="232" spans="1:11" x14ac:dyDescent="0.25">
      <c r="A232" s="53" t="s">
        <v>314</v>
      </c>
      <c r="B232" s="62">
        <f>1-0.25</f>
        <v>0.75</v>
      </c>
      <c r="E232" s="35" t="s">
        <v>315</v>
      </c>
      <c r="G232" s="8">
        <f>+B13</f>
        <v>7897</v>
      </c>
      <c r="H232" s="8">
        <f>+C13</f>
        <v>8994</v>
      </c>
      <c r="I232" s="34"/>
      <c r="J232" s="56"/>
      <c r="K232" s="34"/>
    </row>
    <row r="233" spans="1:11" x14ac:dyDescent="0.25">
      <c r="A233" s="53" t="s">
        <v>316</v>
      </c>
      <c r="B233" s="2">
        <f>+B231*B232</f>
        <v>2725.5</v>
      </c>
      <c r="E233" s="35" t="s">
        <v>317</v>
      </c>
      <c r="G233" s="31">
        <f>-B28</f>
        <v>-9028</v>
      </c>
      <c r="H233" s="31">
        <f>-C28</f>
        <v>-9064</v>
      </c>
      <c r="I233" s="34"/>
      <c r="J233" s="57"/>
      <c r="K233" s="34"/>
    </row>
    <row r="234" spans="1:11" x14ac:dyDescent="0.25">
      <c r="A234" s="55" t="s">
        <v>318</v>
      </c>
      <c r="B234" s="2">
        <f>+B84</f>
        <v>933</v>
      </c>
      <c r="E234" s="35" t="s">
        <v>305</v>
      </c>
      <c r="G234" s="2">
        <f>+G233+G232</f>
        <v>-1131</v>
      </c>
      <c r="H234" s="2">
        <f>+H233+H232</f>
        <v>-70</v>
      </c>
      <c r="I234" s="34"/>
      <c r="J234" s="57"/>
      <c r="K234" s="34"/>
    </row>
    <row r="235" spans="1:11" x14ac:dyDescent="0.25">
      <c r="A235" s="55" t="s">
        <v>319</v>
      </c>
      <c r="B235" s="2">
        <f>+I236</f>
        <v>970</v>
      </c>
      <c r="E235" s="35" t="s">
        <v>320</v>
      </c>
      <c r="G235" s="2">
        <f>+B21</f>
        <v>831</v>
      </c>
      <c r="H235" s="2">
        <f>+C21</f>
        <v>740</v>
      </c>
      <c r="I235" s="34"/>
      <c r="J235" s="57"/>
      <c r="K235" s="34"/>
    </row>
    <row r="236" spans="1:11" ht="15.75" thickBot="1" x14ac:dyDescent="0.3">
      <c r="A236" s="55" t="s">
        <v>321</v>
      </c>
      <c r="B236" s="2">
        <f>+B225</f>
        <v>-916</v>
      </c>
      <c r="E236" s="35" t="s">
        <v>322</v>
      </c>
      <c r="G236" s="9">
        <f>+G235+G234</f>
        <v>-300</v>
      </c>
      <c r="H236" s="9">
        <f>+H235+H234</f>
        <v>670</v>
      </c>
      <c r="I236" s="36">
        <f>+H236-G236</f>
        <v>970</v>
      </c>
      <c r="J236" s="56"/>
      <c r="K236" s="34"/>
    </row>
    <row r="237" spans="1:11" ht="16.5" thickTop="1" thickBot="1" x14ac:dyDescent="0.3">
      <c r="A237" s="53" t="s">
        <v>311</v>
      </c>
      <c r="B237" s="9">
        <f>SUM(B233:B236)</f>
        <v>3712.5</v>
      </c>
      <c r="C237" s="2">
        <f>+C228</f>
        <v>10</v>
      </c>
      <c r="D237" s="61">
        <f>+C237*B237</f>
        <v>37125</v>
      </c>
    </row>
    <row r="238" spans="1:11" ht="15.75" thickTop="1" x14ac:dyDescent="0.25">
      <c r="A238" s="1"/>
    </row>
    <row r="239" spans="1:11" x14ac:dyDescent="0.25">
      <c r="A239" s="1" t="s">
        <v>323</v>
      </c>
      <c r="B239" s="8">
        <f>+B228-B237</f>
        <v>-1468.75</v>
      </c>
      <c r="D239" s="8">
        <f>+D228-D237</f>
        <v>-14687.5</v>
      </c>
    </row>
    <row r="240" spans="1:11" x14ac:dyDescent="0.25">
      <c r="A240" s="53" t="s">
        <v>324</v>
      </c>
      <c r="B240" s="28">
        <f>+B239/B237</f>
        <v>-0.3956228956228956</v>
      </c>
      <c r="C240" s="1"/>
      <c r="D240" s="28">
        <f>+D239/D237</f>
        <v>-0.3956228956228956</v>
      </c>
      <c r="E240" s="1"/>
      <c r="F240" s="1"/>
      <c r="G240" s="1"/>
      <c r="H240" s="1"/>
      <c r="I240" s="1"/>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44656-E320-499B-8E9F-D56F924489BD}">
  <dimension ref="A1:X233"/>
  <sheetViews>
    <sheetView topLeftCell="A99" workbookViewId="0">
      <selection activeCell="A54" sqref="A54"/>
    </sheetView>
  </sheetViews>
  <sheetFormatPr defaultRowHeight="15" x14ac:dyDescent="0.25"/>
  <cols>
    <col min="1" max="1" width="40.7109375" style="2" customWidth="1"/>
    <col min="2" max="8" width="10.7109375" style="2" customWidth="1"/>
    <col min="9" max="9" width="9.140625" style="2"/>
    <col min="10" max="24" width="8.7109375" style="2" customWidth="1"/>
    <col min="25" max="16384" width="9.140625" style="2"/>
  </cols>
  <sheetData>
    <row r="1" spans="1:24" s="15" customFormat="1" x14ac:dyDescent="0.25">
      <c r="A1" s="15" t="s">
        <v>0</v>
      </c>
      <c r="B1" s="15" t="s">
        <v>139</v>
      </c>
      <c r="J1" s="15" t="str">
        <f>+B1</f>
        <v>Reclassified</v>
      </c>
      <c r="R1" s="15" t="str">
        <f>+B1</f>
        <v>Reclassified</v>
      </c>
    </row>
    <row r="2" spans="1:24" s="15" customFormat="1" x14ac:dyDescent="0.25">
      <c r="A2" s="15" t="s">
        <v>1</v>
      </c>
      <c r="J2" s="15" t="s">
        <v>126</v>
      </c>
      <c r="R2" s="15" t="s">
        <v>131</v>
      </c>
    </row>
    <row r="3" spans="1:24" s="15" customFormat="1" x14ac:dyDescent="0.25">
      <c r="A3" s="15" t="s">
        <v>2</v>
      </c>
      <c r="F3" s="15" t="s">
        <v>150</v>
      </c>
      <c r="G3" s="16" t="s">
        <v>125</v>
      </c>
      <c r="H3" s="16"/>
      <c r="O3" s="16" t="s">
        <v>125</v>
      </c>
      <c r="P3" s="16"/>
      <c r="R3" s="15" t="s">
        <v>127</v>
      </c>
      <c r="S3" s="15" t="s">
        <v>129</v>
      </c>
      <c r="T3" s="15" t="s">
        <v>132</v>
      </c>
      <c r="U3" s="15" t="s">
        <v>133</v>
      </c>
      <c r="V3" s="15" t="s">
        <v>134</v>
      </c>
      <c r="W3" s="15" t="s">
        <v>135</v>
      </c>
      <c r="X3" s="15" t="s">
        <v>136</v>
      </c>
    </row>
    <row r="4" spans="1:24" s="15" customFormat="1" ht="15.75" thickBot="1" x14ac:dyDescent="0.3">
      <c r="A4" s="16" t="s">
        <v>3</v>
      </c>
      <c r="B4" s="17">
        <v>2022</v>
      </c>
      <c r="C4" s="17">
        <v>2021</v>
      </c>
      <c r="D4" s="17">
        <v>2020</v>
      </c>
      <c r="E4" s="17">
        <v>2019</v>
      </c>
      <c r="F4" s="17">
        <v>2018</v>
      </c>
      <c r="G4" s="17">
        <v>2017</v>
      </c>
      <c r="H4" s="22"/>
      <c r="J4" s="17">
        <v>2022</v>
      </c>
      <c r="K4" s="17">
        <v>2021</v>
      </c>
      <c r="L4" s="17">
        <v>2020</v>
      </c>
      <c r="M4" s="17">
        <v>2019</v>
      </c>
      <c r="N4" s="17">
        <v>2018</v>
      </c>
      <c r="O4" s="17">
        <v>2017</v>
      </c>
      <c r="P4" s="22"/>
      <c r="R4" s="29" t="s">
        <v>128</v>
      </c>
      <c r="S4" s="29" t="s">
        <v>130</v>
      </c>
      <c r="T4" s="17">
        <v>2022</v>
      </c>
      <c r="U4" s="17">
        <v>2021</v>
      </c>
      <c r="V4" s="17">
        <v>2020</v>
      </c>
      <c r="W4" s="17">
        <v>2019</v>
      </c>
      <c r="X4" s="17">
        <v>2018</v>
      </c>
    </row>
    <row r="5" spans="1:24" x14ac:dyDescent="0.25">
      <c r="A5" s="2" t="s">
        <v>5</v>
      </c>
    </row>
    <row r="6" spans="1:24" x14ac:dyDescent="0.25">
      <c r="A6" s="5" t="s">
        <v>6</v>
      </c>
      <c r="B6" s="8">
        <v>1040</v>
      </c>
      <c r="C6" s="8">
        <v>3445</v>
      </c>
      <c r="D6" s="8">
        <v>3417</v>
      </c>
      <c r="E6" s="8">
        <v>2279</v>
      </c>
      <c r="F6" s="8">
        <v>1130</v>
      </c>
      <c r="G6" s="8">
        <v>1629</v>
      </c>
      <c r="H6" s="8"/>
      <c r="J6" s="28">
        <f t="shared" ref="J6:O6" si="0">+B6/B$21</f>
        <v>1.14900622010098E-2</v>
      </c>
      <c r="K6" s="28">
        <f t="shared" si="0"/>
        <v>3.6886737906075336E-2</v>
      </c>
      <c r="L6" s="28">
        <f t="shared" si="0"/>
        <v>3.4228187919463089E-2</v>
      </c>
      <c r="M6" s="28">
        <f t="shared" si="0"/>
        <v>2.2464268112370626E-2</v>
      </c>
      <c r="N6" s="28">
        <f t="shared" si="0"/>
        <v>1.0921989928572119E-2</v>
      </c>
      <c r="O6" s="28">
        <f t="shared" si="0"/>
        <v>1.3564600472970723E-2</v>
      </c>
      <c r="P6" s="28"/>
      <c r="R6" s="28">
        <f>RATE(5,0,-G6,B6)</f>
        <v>-8.5839501919465239E-2</v>
      </c>
      <c r="S6" s="28">
        <f>AVERAGE(T6:X6)</f>
        <v>0.10398283867061812</v>
      </c>
      <c r="T6" s="28">
        <f>(+B6-C6)/C6</f>
        <v>-0.69811320754716977</v>
      </c>
      <c r="U6" s="28">
        <f>(+C6-D6)/D6</f>
        <v>8.194322505121452E-3</v>
      </c>
      <c r="V6" s="28">
        <f>(+D6-E6)/E6</f>
        <v>0.49934181658622201</v>
      </c>
      <c r="W6" s="28">
        <f>(+E6-F6)/F6</f>
        <v>1.0168141592920354</v>
      </c>
      <c r="X6" s="28">
        <f>(+F6-G6)/G6</f>
        <v>-0.30632289748311847</v>
      </c>
    </row>
    <row r="7" spans="1:24" x14ac:dyDescent="0.25">
      <c r="A7" s="5" t="s">
        <v>140</v>
      </c>
      <c r="B7" s="2">
        <v>0</v>
      </c>
      <c r="C7" s="2">
        <v>0</v>
      </c>
      <c r="D7" s="2">
        <v>0</v>
      </c>
      <c r="E7" s="2">
        <v>0</v>
      </c>
      <c r="F7" s="2">
        <v>0</v>
      </c>
      <c r="G7" s="2">
        <v>0</v>
      </c>
      <c r="J7" s="28"/>
      <c r="K7" s="28"/>
      <c r="L7" s="28"/>
      <c r="M7" s="28"/>
      <c r="N7" s="28"/>
      <c r="O7" s="28"/>
      <c r="P7" s="28"/>
      <c r="R7" s="28"/>
      <c r="S7" s="28"/>
      <c r="T7" s="28"/>
      <c r="U7" s="28"/>
      <c r="V7" s="28"/>
      <c r="W7" s="28"/>
      <c r="X7" s="28"/>
    </row>
    <row r="8" spans="1:24" x14ac:dyDescent="0.25">
      <c r="A8" s="5" t="s">
        <v>7</v>
      </c>
      <c r="B8" s="2">
        <v>2120</v>
      </c>
      <c r="C8" s="2">
        <v>1957</v>
      </c>
      <c r="D8" s="2">
        <v>2063</v>
      </c>
      <c r="E8" s="2">
        <v>1973</v>
      </c>
      <c r="F8" s="2">
        <v>2129</v>
      </c>
      <c r="G8" s="2">
        <v>921</v>
      </c>
      <c r="J8" s="28">
        <f t="shared" ref="J8:J17" si="1">+B8/B$21</f>
        <v>2.3422049871289208E-2</v>
      </c>
      <c r="K8" s="28">
        <f t="shared" ref="K8:K17" si="2">+C8/C$21</f>
        <v>2.095423688887937E-2</v>
      </c>
      <c r="L8" s="28">
        <f t="shared" ref="L8:L17" si="3">+D8/D$21</f>
        <v>2.0665130722227788E-2</v>
      </c>
      <c r="M8" s="28">
        <f t="shared" ref="M8:M17" si="4">+E8/E$21</f>
        <v>1.944800394282898E-2</v>
      </c>
      <c r="N8" s="28">
        <f t="shared" ref="N8:N17" si="5">+F8/F$21</f>
        <v>2.0577802263654903E-2</v>
      </c>
      <c r="O8" s="28">
        <f t="shared" ref="O8:O17" si="6">+G8/G$21</f>
        <v>7.669120341071845E-3</v>
      </c>
      <c r="P8" s="28"/>
      <c r="R8" s="28">
        <f t="shared" ref="R8:R21" si="7">RATE(5,0,-G8,B8)</f>
        <v>0.18144972663460698</v>
      </c>
      <c r="S8" s="28">
        <f t="shared" ref="S8:S21" si="8">AVERAGE(T8:X8)</f>
        <v>0.26317381012087437</v>
      </c>
      <c r="T8" s="28">
        <f t="shared" ref="T8:T21" si="9">(+B8-C8)/C8</f>
        <v>8.3290751149718956E-2</v>
      </c>
      <c r="U8" s="28">
        <f t="shared" ref="U8:X11" si="10">(+C8-D8)/D8</f>
        <v>-5.1381483276781388E-2</v>
      </c>
      <c r="V8" s="28">
        <f t="shared" si="10"/>
        <v>4.5615813482007099E-2</v>
      </c>
      <c r="W8" s="28">
        <f t="shared" si="10"/>
        <v>-7.3273837482386098E-2</v>
      </c>
      <c r="X8" s="28">
        <f t="shared" si="10"/>
        <v>1.3116178067318132</v>
      </c>
    </row>
    <row r="9" spans="1:24" x14ac:dyDescent="0.25">
      <c r="A9" s="5" t="s">
        <v>8</v>
      </c>
      <c r="B9" s="2">
        <v>3651</v>
      </c>
      <c r="C9" s="2">
        <v>2729</v>
      </c>
      <c r="D9" s="2">
        <v>2554</v>
      </c>
      <c r="E9" s="2">
        <v>2721</v>
      </c>
      <c r="F9" s="2">
        <v>2667</v>
      </c>
      <c r="G9" s="2">
        <v>2760</v>
      </c>
      <c r="J9" s="28">
        <f t="shared" si="1"/>
        <v>4.0336747207583443E-2</v>
      </c>
      <c r="K9" s="28">
        <f t="shared" si="2"/>
        <v>2.9220292524145021E-2</v>
      </c>
      <c r="L9" s="28">
        <f t="shared" si="3"/>
        <v>2.5583491936291697E-2</v>
      </c>
      <c r="M9" s="28">
        <f t="shared" si="4"/>
        <v>2.6821094135041891E-2</v>
      </c>
      <c r="N9" s="28">
        <f t="shared" si="5"/>
        <v>2.5777829326992779E-2</v>
      </c>
      <c r="O9" s="28">
        <f t="shared" si="6"/>
        <v>2.2982380175199015E-2</v>
      </c>
      <c r="P9" s="28"/>
      <c r="R9" s="28">
        <f t="shared" si="7"/>
        <v>5.7549124818983735E-2</v>
      </c>
      <c r="S9" s="28">
        <f t="shared" si="8"/>
        <v>6.6309996838441923E-2</v>
      </c>
      <c r="T9" s="28">
        <f t="shared" si="9"/>
        <v>0.337852693294247</v>
      </c>
      <c r="U9" s="28">
        <f t="shared" si="10"/>
        <v>6.8519968676585746E-2</v>
      </c>
      <c r="V9" s="28">
        <f t="shared" si="10"/>
        <v>-6.1374494671076807E-2</v>
      </c>
      <c r="W9" s="28">
        <f t="shared" si="10"/>
        <v>2.0247469066366704E-2</v>
      </c>
      <c r="X9" s="28">
        <f t="shared" si="10"/>
        <v>-3.3695652173913043E-2</v>
      </c>
    </row>
    <row r="10" spans="1:24" x14ac:dyDescent="0.25">
      <c r="A10" s="5" t="s">
        <v>10</v>
      </c>
      <c r="B10" s="2">
        <f>+B192</f>
        <v>1086</v>
      </c>
      <c r="C10" s="2">
        <f t="shared" ref="C10:G10" si="11">+C192</f>
        <v>863</v>
      </c>
      <c r="D10" s="2">
        <f t="shared" si="11"/>
        <v>2788</v>
      </c>
      <c r="E10" s="2">
        <f t="shared" si="11"/>
        <v>1124</v>
      </c>
      <c r="F10" s="2">
        <f t="shared" si="11"/>
        <v>3149</v>
      </c>
      <c r="G10" s="2">
        <f t="shared" si="11"/>
        <v>1891</v>
      </c>
      <c r="J10" s="30">
        <f t="shared" si="1"/>
        <v>1.1998276490669849E-2</v>
      </c>
      <c r="K10" s="30">
        <f t="shared" si="2"/>
        <v>9.2404222969355628E-3</v>
      </c>
      <c r="L10" s="30">
        <f t="shared" si="3"/>
        <v>2.7927476710407694E-2</v>
      </c>
      <c r="M10" s="30">
        <f t="shared" si="4"/>
        <v>1.1079349433218335E-2</v>
      </c>
      <c r="N10" s="30">
        <f t="shared" si="5"/>
        <v>3.0436589632808497E-2</v>
      </c>
      <c r="O10" s="30">
        <f t="shared" si="6"/>
        <v>1.5746261199746862E-2</v>
      </c>
      <c r="P10" s="30"/>
      <c r="Q10" s="31"/>
      <c r="R10" s="30">
        <f t="shared" si="7"/>
        <v>-0.10499047081771275</v>
      </c>
      <c r="S10" s="30">
        <f t="shared" si="8"/>
        <v>0.2141128103088957</v>
      </c>
      <c r="T10" s="30">
        <f t="shared" si="9"/>
        <v>0.25840092699884126</v>
      </c>
      <c r="U10" s="30">
        <f t="shared" si="10"/>
        <v>-0.69045911047345765</v>
      </c>
      <c r="V10" s="30">
        <f t="shared" si="10"/>
        <v>1.4804270462633451</v>
      </c>
      <c r="W10" s="30">
        <f t="shared" si="10"/>
        <v>-0.64306128929818995</v>
      </c>
      <c r="X10" s="30">
        <f t="shared" si="10"/>
        <v>0.66525647805393973</v>
      </c>
    </row>
    <row r="11" spans="1:24" x14ac:dyDescent="0.25">
      <c r="A11" s="2" t="s">
        <v>12</v>
      </c>
      <c r="B11" s="6">
        <f t="shared" ref="B11:G11" si="12">SUM(B6:B10)</f>
        <v>7897</v>
      </c>
      <c r="C11" s="6">
        <f t="shared" si="12"/>
        <v>8994</v>
      </c>
      <c r="D11" s="6">
        <f t="shared" si="12"/>
        <v>10822</v>
      </c>
      <c r="E11" s="6">
        <f t="shared" si="12"/>
        <v>8097</v>
      </c>
      <c r="F11" s="6">
        <f t="shared" si="12"/>
        <v>9075</v>
      </c>
      <c r="G11" s="6">
        <f t="shared" si="12"/>
        <v>7201</v>
      </c>
      <c r="H11" s="34"/>
      <c r="J11" s="28">
        <f t="shared" si="1"/>
        <v>8.7247135770552292E-2</v>
      </c>
      <c r="K11" s="28">
        <f t="shared" si="2"/>
        <v>9.6301689616035288E-2</v>
      </c>
      <c r="L11" s="28">
        <f t="shared" si="3"/>
        <v>0.10840428728839026</v>
      </c>
      <c r="M11" s="28">
        <f t="shared" si="4"/>
        <v>7.9812715623459832E-2</v>
      </c>
      <c r="N11" s="28">
        <f t="shared" si="5"/>
        <v>8.7714211152028307E-2</v>
      </c>
      <c r="O11" s="28">
        <f t="shared" si="6"/>
        <v>5.9962362188988441E-2</v>
      </c>
      <c r="P11" s="28"/>
      <c r="R11" s="28">
        <f t="shared" si="7"/>
        <v>1.8623908433372451E-2</v>
      </c>
      <c r="S11" s="28">
        <f t="shared" si="8"/>
        <v>3.9626412414418111E-2</v>
      </c>
      <c r="T11" s="28">
        <f t="shared" si="9"/>
        <v>-0.12197020235712697</v>
      </c>
      <c r="U11" s="28">
        <f t="shared" si="10"/>
        <v>-0.16891517279615598</v>
      </c>
      <c r="V11" s="28">
        <f t="shared" si="10"/>
        <v>0.33654439916018281</v>
      </c>
      <c r="W11" s="28">
        <f t="shared" si="10"/>
        <v>-0.10776859504132232</v>
      </c>
      <c r="X11" s="28">
        <f t="shared" si="10"/>
        <v>0.26024163310651299</v>
      </c>
    </row>
    <row r="12" spans="1:24" x14ac:dyDescent="0.25">
      <c r="A12" s="35" t="s">
        <v>108</v>
      </c>
      <c r="B12" s="34">
        <f>+B170</f>
        <v>200</v>
      </c>
      <c r="C12" s="34">
        <f t="shared" ref="C12:G12" si="13">+C170</f>
        <v>207</v>
      </c>
      <c r="D12" s="34">
        <f t="shared" si="13"/>
        <v>219</v>
      </c>
      <c r="E12" s="34">
        <f t="shared" si="13"/>
        <v>210</v>
      </c>
      <c r="F12" s="34">
        <f t="shared" si="13"/>
        <v>218</v>
      </c>
      <c r="G12" s="34">
        <f t="shared" si="13"/>
        <v>250</v>
      </c>
      <c r="H12" s="34"/>
      <c r="J12" s="28">
        <f t="shared" si="1"/>
        <v>2.2096273463480384E-3</v>
      </c>
      <c r="K12" s="28">
        <f t="shared" si="2"/>
        <v>2.2164164721502452E-3</v>
      </c>
      <c r="L12" s="28">
        <f t="shared" si="3"/>
        <v>2.1937293398777923E-3</v>
      </c>
      <c r="M12" s="28">
        <f t="shared" si="4"/>
        <v>2.0699852143913258E-3</v>
      </c>
      <c r="N12" s="28">
        <f t="shared" si="5"/>
        <v>2.1070741632112583E-3</v>
      </c>
      <c r="O12" s="28">
        <f t="shared" si="6"/>
        <v>2.0817373347100554E-3</v>
      </c>
      <c r="P12" s="28"/>
      <c r="R12" s="28">
        <f t="shared" ref="R12:R16" si="14">RATE(5,0,-G12,B12)</f>
        <v>-4.3647500209735325E-2</v>
      </c>
      <c r="S12" s="28">
        <f t="shared" ref="S12:S16" si="15">AVERAGE(T12:X12)</f>
        <v>-4.2090210103599465E-2</v>
      </c>
      <c r="T12" s="28">
        <f t="shared" ref="T12:T16" si="16">(+B12-C12)/C12</f>
        <v>-3.3816425120772944E-2</v>
      </c>
      <c r="U12" s="28">
        <f t="shared" ref="U12:U16" si="17">(+C12-D12)/D12</f>
        <v>-5.4794520547945202E-2</v>
      </c>
      <c r="V12" s="28">
        <f t="shared" ref="V12:V16" si="18">(+D12-E12)/E12</f>
        <v>4.2857142857142858E-2</v>
      </c>
      <c r="W12" s="28">
        <f t="shared" ref="W12:W16" si="19">(+E12-F12)/F12</f>
        <v>-3.669724770642202E-2</v>
      </c>
      <c r="X12" s="28">
        <f t="shared" ref="X12:X16" si="20">(+F12-G12)/G12</f>
        <v>-0.128</v>
      </c>
    </row>
    <row r="13" spans="1:24" x14ac:dyDescent="0.25">
      <c r="A13" s="35" t="s">
        <v>109</v>
      </c>
      <c r="B13" s="34">
        <f t="shared" ref="B13:G16" si="21">+B171</f>
        <v>1161</v>
      </c>
      <c r="C13" s="34">
        <f t="shared" si="21"/>
        <v>1002</v>
      </c>
      <c r="D13" s="34">
        <f t="shared" si="21"/>
        <v>792</v>
      </c>
      <c r="E13" s="34">
        <f t="shared" si="21"/>
        <v>1033</v>
      </c>
      <c r="F13" s="34">
        <f t="shared" si="21"/>
        <v>1165</v>
      </c>
      <c r="G13" s="34">
        <f t="shared" si="21"/>
        <v>1345</v>
      </c>
      <c r="H13" s="34"/>
      <c r="J13" s="28">
        <f t="shared" si="1"/>
        <v>1.2826886745550364E-2</v>
      </c>
      <c r="K13" s="28">
        <f t="shared" si="2"/>
        <v>1.0728740604321477E-2</v>
      </c>
      <c r="L13" s="28">
        <f t="shared" si="3"/>
        <v>7.9334869277772214E-3</v>
      </c>
      <c r="M13" s="28">
        <f t="shared" si="4"/>
        <v>1.0182355840315425E-2</v>
      </c>
      <c r="N13" s="28">
        <f t="shared" si="5"/>
        <v>1.1260281652023467E-2</v>
      </c>
      <c r="O13" s="28">
        <f t="shared" si="6"/>
        <v>1.1199746860740099E-2</v>
      </c>
      <c r="P13" s="28"/>
      <c r="R13" s="28">
        <f t="shared" si="14"/>
        <v>-2.8993835467276595E-2</v>
      </c>
      <c r="S13" s="28">
        <f t="shared" si="15"/>
        <v>-1.1320126458029781E-2</v>
      </c>
      <c r="T13" s="28">
        <f t="shared" si="16"/>
        <v>0.15868263473053892</v>
      </c>
      <c r="U13" s="28">
        <f t="shared" si="17"/>
        <v>0.26515151515151514</v>
      </c>
      <c r="V13" s="28">
        <f t="shared" si="18"/>
        <v>-0.23330106485963215</v>
      </c>
      <c r="W13" s="28">
        <f t="shared" si="19"/>
        <v>-0.11330472103004292</v>
      </c>
      <c r="X13" s="28">
        <f t="shared" si="20"/>
        <v>-0.13382899628252787</v>
      </c>
    </row>
    <row r="14" spans="1:24" x14ac:dyDescent="0.25">
      <c r="A14" s="35" t="s">
        <v>110</v>
      </c>
      <c r="B14" s="31">
        <f t="shared" si="21"/>
        <v>9591</v>
      </c>
      <c r="C14" s="31">
        <f t="shared" si="21"/>
        <v>9465</v>
      </c>
      <c r="D14" s="31">
        <f t="shared" si="21"/>
        <v>9428</v>
      </c>
      <c r="E14" s="31">
        <f t="shared" si="21"/>
        <v>8999</v>
      </c>
      <c r="F14" s="31">
        <f t="shared" si="21"/>
        <v>8279</v>
      </c>
      <c r="G14" s="31">
        <f t="shared" si="21"/>
        <v>7555</v>
      </c>
      <c r="H14" s="34"/>
      <c r="J14" s="30">
        <f t="shared" si="1"/>
        <v>0.10596267939412018</v>
      </c>
      <c r="K14" s="30">
        <f t="shared" si="2"/>
        <v>0.10134484013962353</v>
      </c>
      <c r="L14" s="30">
        <f t="shared" si="3"/>
        <v>9.4440548933186416E-2</v>
      </c>
      <c r="M14" s="30">
        <f t="shared" si="4"/>
        <v>8.8703794972893046E-2</v>
      </c>
      <c r="N14" s="30">
        <f t="shared" si="5"/>
        <v>8.0020490812963335E-2</v>
      </c>
      <c r="O14" s="30">
        <f t="shared" si="6"/>
        <v>6.2910102254937886E-2</v>
      </c>
      <c r="P14" s="30"/>
      <c r="Q14" s="31"/>
      <c r="R14" s="30">
        <f t="shared" si="14"/>
        <v>4.8880193408491791E-2</v>
      </c>
      <c r="S14" s="30">
        <f t="shared" si="15"/>
        <v>4.9541249491260528E-2</v>
      </c>
      <c r="T14" s="30">
        <f t="shared" si="16"/>
        <v>1.3312202852614897E-2</v>
      </c>
      <c r="U14" s="30">
        <f t="shared" si="17"/>
        <v>3.9244802715316081E-3</v>
      </c>
      <c r="V14" s="30">
        <f t="shared" si="18"/>
        <v>4.7671963551505721E-2</v>
      </c>
      <c r="W14" s="30">
        <f t="shared" si="19"/>
        <v>8.6967025003019685E-2</v>
      </c>
      <c r="X14" s="30">
        <f t="shared" si="20"/>
        <v>9.5830575777630711E-2</v>
      </c>
    </row>
    <row r="15" spans="1:24" x14ac:dyDescent="0.25">
      <c r="A15" s="35" t="s">
        <v>141</v>
      </c>
      <c r="B15" s="34">
        <f t="shared" si="21"/>
        <v>10952</v>
      </c>
      <c r="C15" s="34">
        <f t="shared" si="21"/>
        <v>10674</v>
      </c>
      <c r="D15" s="34">
        <f t="shared" si="21"/>
        <v>10439</v>
      </c>
      <c r="E15" s="34">
        <f t="shared" si="21"/>
        <v>10242</v>
      </c>
      <c r="F15" s="34">
        <f t="shared" si="21"/>
        <v>9662</v>
      </c>
      <c r="G15" s="34">
        <f t="shared" si="21"/>
        <v>9150</v>
      </c>
      <c r="H15" s="34"/>
      <c r="J15" s="28">
        <f t="shared" si="1"/>
        <v>0.12099919348601858</v>
      </c>
      <c r="K15" s="28">
        <f t="shared" si="2"/>
        <v>0.11428999721609526</v>
      </c>
      <c r="L15" s="28">
        <f t="shared" si="3"/>
        <v>0.10456776520084143</v>
      </c>
      <c r="M15" s="28">
        <f t="shared" si="4"/>
        <v>0.1009561360275998</v>
      </c>
      <c r="N15" s="28">
        <f t="shared" si="5"/>
        <v>9.338784662819806E-2</v>
      </c>
      <c r="O15" s="28">
        <f t="shared" si="6"/>
        <v>7.6191586450388038E-2</v>
      </c>
      <c r="P15" s="28"/>
      <c r="R15" s="28">
        <f t="shared" si="14"/>
        <v>3.6607790043669146E-2</v>
      </c>
      <c r="S15" s="28">
        <f t="shared" si="15"/>
        <v>3.6755223469835667E-2</v>
      </c>
      <c r="T15" s="28">
        <f t="shared" si="16"/>
        <v>2.6044594341390295E-2</v>
      </c>
      <c r="U15" s="28">
        <f t="shared" si="17"/>
        <v>2.2511734840501965E-2</v>
      </c>
      <c r="V15" s="28">
        <f t="shared" si="18"/>
        <v>1.9234524506932239E-2</v>
      </c>
      <c r="W15" s="28">
        <f t="shared" si="19"/>
        <v>6.0028979507348375E-2</v>
      </c>
      <c r="X15" s="28">
        <f t="shared" si="20"/>
        <v>5.5956284153005464E-2</v>
      </c>
    </row>
    <row r="16" spans="1:24" x14ac:dyDescent="0.25">
      <c r="A16" s="35" t="s">
        <v>112</v>
      </c>
      <c r="B16" s="31">
        <f t="shared" si="21"/>
        <v>-4212</v>
      </c>
      <c r="C16" s="31">
        <f t="shared" si="21"/>
        <v>-3868</v>
      </c>
      <c r="D16" s="31">
        <f t="shared" si="21"/>
        <v>-3563</v>
      </c>
      <c r="E16" s="31">
        <f t="shared" si="21"/>
        <v>-3187</v>
      </c>
      <c r="F16" s="31">
        <f t="shared" si="21"/>
        <v>-2584</v>
      </c>
      <c r="G16" s="31">
        <f t="shared" si="21"/>
        <v>-2089</v>
      </c>
      <c r="H16" s="34"/>
      <c r="J16" s="30">
        <f t="shared" si="1"/>
        <v>-4.6534751914089692E-2</v>
      </c>
      <c r="K16" s="30">
        <f t="shared" si="2"/>
        <v>-4.1415936783947574E-2</v>
      </c>
      <c r="L16" s="30">
        <f t="shared" si="3"/>
        <v>-3.5690674146048283E-2</v>
      </c>
      <c r="M16" s="30">
        <f t="shared" si="4"/>
        <v>-3.1414489896500739E-2</v>
      </c>
      <c r="N16" s="30">
        <f t="shared" si="5"/>
        <v>-2.4975594668522439E-2</v>
      </c>
      <c r="O16" s="30">
        <f t="shared" si="6"/>
        <v>-1.7394997168837224E-2</v>
      </c>
      <c r="P16" s="30"/>
      <c r="Q16" s="31"/>
      <c r="R16" s="30">
        <f t="shared" si="14"/>
        <v>0.15056188918356203</v>
      </c>
      <c r="S16" s="30">
        <f t="shared" si="15"/>
        <v>0.15256615518164868</v>
      </c>
      <c r="T16" s="30">
        <f t="shared" si="16"/>
        <v>8.8934850051706302E-2</v>
      </c>
      <c r="U16" s="30">
        <f t="shared" si="17"/>
        <v>8.560202076901488E-2</v>
      </c>
      <c r="V16" s="30">
        <f t="shared" si="18"/>
        <v>0.11797929086915594</v>
      </c>
      <c r="W16" s="30">
        <f t="shared" si="19"/>
        <v>0.23335913312693499</v>
      </c>
      <c r="X16" s="30">
        <f t="shared" si="20"/>
        <v>0.2369554810914313</v>
      </c>
    </row>
    <row r="17" spans="1:24" x14ac:dyDescent="0.25">
      <c r="A17" s="5" t="s">
        <v>13</v>
      </c>
      <c r="B17" s="2">
        <v>6740</v>
      </c>
      <c r="C17" s="2">
        <v>6806</v>
      </c>
      <c r="D17" s="2">
        <v>6876</v>
      </c>
      <c r="E17" s="2">
        <v>7055</v>
      </c>
      <c r="F17" s="2">
        <v>7078</v>
      </c>
      <c r="G17" s="2">
        <v>7061</v>
      </c>
      <c r="J17" s="28">
        <f t="shared" si="1"/>
        <v>7.4464441571928899E-2</v>
      </c>
      <c r="K17" s="28">
        <f t="shared" si="2"/>
        <v>7.2874060432147669E-2</v>
      </c>
      <c r="L17" s="28">
        <f t="shared" si="3"/>
        <v>6.8877091054793144E-2</v>
      </c>
      <c r="M17" s="28">
        <f t="shared" si="4"/>
        <v>6.9541646131099061E-2</v>
      </c>
      <c r="N17" s="28">
        <f t="shared" si="5"/>
        <v>6.8412251959675624E-2</v>
      </c>
      <c r="O17" s="28">
        <f t="shared" si="6"/>
        <v>5.8796589281550814E-2</v>
      </c>
      <c r="P17" s="28"/>
      <c r="R17" s="28">
        <f t="shared" si="7"/>
        <v>-9.2621911140529506E-3</v>
      </c>
      <c r="S17" s="28">
        <f t="shared" si="8"/>
        <v>-9.2183308706207286E-3</v>
      </c>
      <c r="T17" s="28">
        <f t="shared" si="9"/>
        <v>-9.6973258889215402E-3</v>
      </c>
      <c r="U17" s="28">
        <f t="shared" ref="U17:X21" si="22">(+C17-D17)/D17</f>
        <v>-1.0180337405468295E-2</v>
      </c>
      <c r="V17" s="28">
        <f t="shared" si="22"/>
        <v>-2.5372076541459957E-2</v>
      </c>
      <c r="W17" s="28">
        <f t="shared" si="22"/>
        <v>-3.2495055100310822E-3</v>
      </c>
      <c r="X17" s="28">
        <f t="shared" si="22"/>
        <v>2.407590992777227E-3</v>
      </c>
    </row>
    <row r="18" spans="1:24" x14ac:dyDescent="0.25">
      <c r="A18" s="5" t="s">
        <v>196</v>
      </c>
      <c r="B18" s="2">
        <f>+B179</f>
        <v>668</v>
      </c>
      <c r="C18" s="2">
        <f t="shared" ref="C18:G18" si="23">+C179</f>
        <v>569</v>
      </c>
      <c r="D18" s="2">
        <f t="shared" si="23"/>
        <v>562</v>
      </c>
      <c r="E18" s="2">
        <f t="shared" si="23"/>
        <v>542</v>
      </c>
      <c r="F18" s="2">
        <f t="shared" si="23"/>
        <v>0</v>
      </c>
      <c r="G18" s="2">
        <f t="shared" si="23"/>
        <v>0</v>
      </c>
      <c r="J18" s="28"/>
      <c r="K18" s="28"/>
      <c r="L18" s="28"/>
      <c r="M18" s="28"/>
      <c r="N18" s="28"/>
      <c r="O18" s="28"/>
      <c r="P18" s="28"/>
      <c r="R18" s="28"/>
      <c r="S18" s="28"/>
      <c r="T18" s="28"/>
      <c r="U18" s="28"/>
      <c r="V18" s="28"/>
      <c r="W18" s="28"/>
      <c r="X18" s="28"/>
    </row>
    <row r="19" spans="1:24" x14ac:dyDescent="0.25">
      <c r="A19" s="5" t="s">
        <v>143</v>
      </c>
      <c r="B19" s="2">
        <f>+B196</f>
        <v>73482</v>
      </c>
      <c r="C19" s="2">
        <f t="shared" ref="C19:G19" si="24">+C196</f>
        <v>74838</v>
      </c>
      <c r="D19" s="2">
        <f t="shared" si="24"/>
        <v>79756</v>
      </c>
      <c r="E19" s="2">
        <f t="shared" si="24"/>
        <v>84198</v>
      </c>
      <c r="F19" s="2">
        <f t="shared" si="24"/>
        <v>85971</v>
      </c>
      <c r="G19" s="2">
        <f t="shared" si="24"/>
        <v>104257</v>
      </c>
      <c r="J19" s="28">
        <f t="shared" ref="J19:O21" si="25">+B19/B$21</f>
        <v>0.81183918332173277</v>
      </c>
      <c r="K19" s="28">
        <f t="shared" si="25"/>
        <v>0.80131485962695681</v>
      </c>
      <c r="L19" s="28">
        <f t="shared" si="25"/>
        <v>0.79891816087348488</v>
      </c>
      <c r="M19" s="28">
        <f t="shared" si="25"/>
        <v>0.8299457861015278</v>
      </c>
      <c r="N19" s="28">
        <f t="shared" si="25"/>
        <v>0.83095079305245456</v>
      </c>
      <c r="O19" s="28">
        <f t="shared" si="25"/>
        <v>0.8681427572194651</v>
      </c>
      <c r="P19" s="28"/>
      <c r="R19" s="28">
        <f t="shared" si="7"/>
        <v>-6.7572338514843566E-2</v>
      </c>
      <c r="S19" s="28">
        <f t="shared" si="8"/>
        <v>-6.5711107885011805E-2</v>
      </c>
      <c r="T19" s="28">
        <f t="shared" si="9"/>
        <v>-1.8119137336647159E-2</v>
      </c>
      <c r="U19" s="28">
        <f t="shared" si="22"/>
        <v>-6.166307237073073E-2</v>
      </c>
      <c r="V19" s="28">
        <f t="shared" si="22"/>
        <v>-5.2756597543884655E-2</v>
      </c>
      <c r="W19" s="28">
        <f t="shared" si="22"/>
        <v>-2.0623233415919321E-2</v>
      </c>
      <c r="X19" s="28">
        <f t="shared" si="22"/>
        <v>-0.17539349875787716</v>
      </c>
    </row>
    <row r="20" spans="1:24" x14ac:dyDescent="0.25">
      <c r="A20" s="5" t="s">
        <v>147</v>
      </c>
      <c r="B20" s="2">
        <f>+B200</f>
        <v>1726</v>
      </c>
      <c r="C20" s="2">
        <f t="shared" ref="C20:G20" si="26">+C200</f>
        <v>2187</v>
      </c>
      <c r="D20" s="2">
        <f t="shared" si="26"/>
        <v>1814</v>
      </c>
      <c r="E20" s="2">
        <f t="shared" si="26"/>
        <v>1558</v>
      </c>
      <c r="F20" s="2">
        <f t="shared" si="26"/>
        <v>1337</v>
      </c>
      <c r="G20" s="2">
        <f t="shared" si="26"/>
        <v>1573</v>
      </c>
      <c r="J20" s="28">
        <f t="shared" si="25"/>
        <v>1.906908399898357E-2</v>
      </c>
      <c r="K20" s="28">
        <f t="shared" si="25"/>
        <v>2.3416921857935199E-2</v>
      </c>
      <c r="L20" s="28">
        <f t="shared" si="25"/>
        <v>1.8170890513873585E-2</v>
      </c>
      <c r="M20" s="28">
        <f t="shared" si="25"/>
        <v>1.5357318876293741E-2</v>
      </c>
      <c r="N20" s="28">
        <f t="shared" si="25"/>
        <v>1.2922743835841525E-2</v>
      </c>
      <c r="O20" s="28">
        <f t="shared" si="25"/>
        <v>1.309829130999567E-2</v>
      </c>
      <c r="P20" s="28"/>
      <c r="R20" s="28">
        <f t="shared" si="7"/>
        <v>1.8737783370035378E-2</v>
      </c>
      <c r="S20" s="28">
        <f t="shared" si="8"/>
        <v>3.4881753604939073E-2</v>
      </c>
      <c r="T20" s="28">
        <f t="shared" si="9"/>
        <v>-0.21079103795153178</v>
      </c>
      <c r="U20" s="28">
        <f t="shared" si="22"/>
        <v>0.20562293274531424</v>
      </c>
      <c r="V20" s="28">
        <f t="shared" si="22"/>
        <v>0.16431322207958921</v>
      </c>
      <c r="W20" s="28">
        <f t="shared" si="22"/>
        <v>0.16529543754674644</v>
      </c>
      <c r="X20" s="28">
        <f t="shared" si="22"/>
        <v>-0.15003178639542275</v>
      </c>
    </row>
    <row r="21" spans="1:24" ht="15.75" thickBot="1" x14ac:dyDescent="0.3">
      <c r="A21" s="2" t="s">
        <v>17</v>
      </c>
      <c r="B21" s="9">
        <f t="shared" ref="B21:G21" si="27">+B11+SUM(B17:B20)</f>
        <v>90513</v>
      </c>
      <c r="C21" s="9">
        <f t="shared" si="27"/>
        <v>93394</v>
      </c>
      <c r="D21" s="9">
        <f t="shared" si="27"/>
        <v>99830</v>
      </c>
      <c r="E21" s="9">
        <f t="shared" si="27"/>
        <v>101450</v>
      </c>
      <c r="F21" s="9">
        <f t="shared" si="27"/>
        <v>103461</v>
      </c>
      <c r="G21" s="9">
        <f t="shared" si="27"/>
        <v>120092</v>
      </c>
      <c r="H21" s="36"/>
      <c r="J21" s="32">
        <f t="shared" si="25"/>
        <v>1</v>
      </c>
      <c r="K21" s="32">
        <f t="shared" si="25"/>
        <v>1</v>
      </c>
      <c r="L21" s="32">
        <f t="shared" si="25"/>
        <v>1</v>
      </c>
      <c r="M21" s="32">
        <f t="shared" si="25"/>
        <v>1</v>
      </c>
      <c r="N21" s="32">
        <f t="shared" si="25"/>
        <v>1</v>
      </c>
      <c r="O21" s="32">
        <f t="shared" si="25"/>
        <v>1</v>
      </c>
      <c r="P21" s="32"/>
      <c r="Q21" s="11"/>
      <c r="R21" s="32">
        <f t="shared" si="7"/>
        <v>-5.4983532564241197E-2</v>
      </c>
      <c r="S21" s="32">
        <f t="shared" si="8"/>
        <v>-5.3841726418039616E-2</v>
      </c>
      <c r="T21" s="32">
        <f t="shared" si="9"/>
        <v>-3.084780606891235E-2</v>
      </c>
      <c r="U21" s="32">
        <f t="shared" si="22"/>
        <v>-6.4469598317139137E-2</v>
      </c>
      <c r="V21" s="32">
        <f t="shared" si="22"/>
        <v>-1.5968457368161656E-2</v>
      </c>
      <c r="W21" s="32">
        <f t="shared" si="22"/>
        <v>-1.9437275881733215E-2</v>
      </c>
      <c r="X21" s="32">
        <f t="shared" si="22"/>
        <v>-0.13848549445425173</v>
      </c>
    </row>
    <row r="22" spans="1:24" ht="15.75" thickTop="1" x14ac:dyDescent="0.25">
      <c r="A22" s="2" t="s">
        <v>18</v>
      </c>
    </row>
    <row r="23" spans="1:24" x14ac:dyDescent="0.25">
      <c r="A23" s="5" t="s">
        <v>151</v>
      </c>
      <c r="B23" s="8">
        <f>+B204</f>
        <v>837</v>
      </c>
      <c r="C23" s="8">
        <f t="shared" ref="C23:G23" si="28">+C204</f>
        <v>754</v>
      </c>
      <c r="D23" s="8">
        <f t="shared" si="28"/>
        <v>236</v>
      </c>
      <c r="E23" s="8">
        <f t="shared" si="28"/>
        <v>1028</v>
      </c>
      <c r="F23" s="8">
        <f t="shared" si="28"/>
        <v>398</v>
      </c>
      <c r="G23" s="8">
        <f t="shared" si="28"/>
        <v>3195</v>
      </c>
      <c r="H23" s="8"/>
      <c r="J23" s="28">
        <f t="shared" ref="J23:J35" si="29">+B23/B$21</f>
        <v>9.24729044446654E-3</v>
      </c>
      <c r="K23" s="28">
        <f t="shared" ref="K23:K35" si="30">+C23/C$21</f>
        <v>8.0733237681221495E-3</v>
      </c>
      <c r="L23" s="28">
        <f t="shared" ref="L23:L35" si="31">+D23/D$21</f>
        <v>2.3640188320144247E-3</v>
      </c>
      <c r="M23" s="28">
        <f t="shared" ref="M23:M35" si="32">+E23/E$21</f>
        <v>1.0133070478068013E-2</v>
      </c>
      <c r="N23" s="28">
        <f t="shared" ref="N23:N35" si="33">+F23/F$21</f>
        <v>3.8468601695324806E-3</v>
      </c>
      <c r="O23" s="28">
        <f t="shared" ref="O23:O35" si="34">+G23/G$21</f>
        <v>2.660460313759451E-2</v>
      </c>
      <c r="P23" s="28"/>
      <c r="R23" s="28">
        <f t="shared" ref="R23:R35" si="35">RATE(5,0,-G23,B23)</f>
        <v>-0.23501852356897554</v>
      </c>
      <c r="S23" s="28">
        <f t="shared" ref="S23:S35" si="36">AVERAGE(T23:X23)</f>
        <v>0.4484102054393645</v>
      </c>
      <c r="T23" s="28">
        <f t="shared" ref="T23:T35" si="37">(+B23-C23)/C23</f>
        <v>0.11007957559681697</v>
      </c>
      <c r="U23" s="28">
        <f t="shared" ref="U23:U35" si="38">(+C23-D23)/D23</f>
        <v>2.1949152542372881</v>
      </c>
      <c r="V23" s="28">
        <f t="shared" ref="V23:V35" si="39">(+D23-E23)/E23</f>
        <v>-0.77042801556420237</v>
      </c>
      <c r="W23" s="28">
        <f t="shared" ref="W23:W35" si="40">(+E23-F23)/F23</f>
        <v>1.5829145728643217</v>
      </c>
      <c r="X23" s="28">
        <f t="shared" ref="X23:X35" si="41">(+F23-G23)/G23</f>
        <v>-0.87543035993740215</v>
      </c>
    </row>
    <row r="24" spans="1:24" x14ac:dyDescent="0.25">
      <c r="A24" s="5" t="s">
        <v>21</v>
      </c>
      <c r="B24" s="2">
        <v>4848</v>
      </c>
      <c r="C24" s="2">
        <v>4753</v>
      </c>
      <c r="D24" s="2">
        <v>4304</v>
      </c>
      <c r="E24" s="2">
        <v>4003</v>
      </c>
      <c r="F24" s="2">
        <v>4153</v>
      </c>
      <c r="G24" s="2">
        <v>4362</v>
      </c>
      <c r="J24" s="28">
        <f t="shared" si="29"/>
        <v>5.3561366875476454E-2</v>
      </c>
      <c r="K24" s="28">
        <f t="shared" si="30"/>
        <v>5.0891920251836309E-2</v>
      </c>
      <c r="L24" s="28">
        <f t="shared" si="31"/>
        <v>4.3113292597415608E-2</v>
      </c>
      <c r="M24" s="28">
        <f t="shared" si="32"/>
        <v>3.9457861015278463E-2</v>
      </c>
      <c r="N24" s="28">
        <f t="shared" si="33"/>
        <v>4.0140729356955764E-2</v>
      </c>
      <c r="O24" s="28">
        <f t="shared" si="34"/>
        <v>3.6322153016021048E-2</v>
      </c>
      <c r="P24" s="28"/>
      <c r="R24" s="28">
        <f t="shared" si="35"/>
        <v>2.1351873752623592E-2</v>
      </c>
      <c r="S24" s="28">
        <f t="shared" si="36"/>
        <v>2.3094054588581041E-2</v>
      </c>
      <c r="T24" s="28">
        <f t="shared" si="37"/>
        <v>1.9987376393856511E-2</v>
      </c>
      <c r="U24" s="28">
        <f t="shared" si="38"/>
        <v>0.10432156133828996</v>
      </c>
      <c r="V24" s="28">
        <f t="shared" si="39"/>
        <v>7.5193604796402705E-2</v>
      </c>
      <c r="W24" s="28">
        <f t="shared" si="40"/>
        <v>-3.6118468576932336E-2</v>
      </c>
      <c r="X24" s="28">
        <f t="shared" si="41"/>
        <v>-4.79138010087116E-2</v>
      </c>
    </row>
    <row r="25" spans="1:24" x14ac:dyDescent="0.25">
      <c r="A25" s="5" t="s">
        <v>148</v>
      </c>
      <c r="B25" s="2">
        <v>0</v>
      </c>
      <c r="C25" s="2">
        <v>0</v>
      </c>
      <c r="D25" s="2">
        <v>0</v>
      </c>
      <c r="E25" s="2">
        <v>0</v>
      </c>
      <c r="F25" s="2">
        <v>0</v>
      </c>
      <c r="G25" s="2">
        <v>0</v>
      </c>
      <c r="J25" s="28">
        <f t="shared" si="29"/>
        <v>0</v>
      </c>
      <c r="K25" s="28">
        <f t="shared" si="30"/>
        <v>0</v>
      </c>
      <c r="L25" s="28">
        <f t="shared" si="31"/>
        <v>0</v>
      </c>
      <c r="M25" s="28">
        <f t="shared" si="32"/>
        <v>0</v>
      </c>
      <c r="N25" s="28">
        <f t="shared" si="33"/>
        <v>0</v>
      </c>
      <c r="O25" s="28">
        <f t="shared" si="34"/>
        <v>0</v>
      </c>
      <c r="P25" s="28"/>
      <c r="R25" s="28" t="e">
        <f t="shared" si="35"/>
        <v>#NUM!</v>
      </c>
      <c r="S25" s="28" t="e">
        <f t="shared" si="36"/>
        <v>#DIV/0!</v>
      </c>
      <c r="T25" s="28" t="e">
        <f t="shared" si="37"/>
        <v>#DIV/0!</v>
      </c>
      <c r="U25" s="28" t="e">
        <f t="shared" si="38"/>
        <v>#DIV/0!</v>
      </c>
      <c r="V25" s="28" t="e">
        <f t="shared" si="39"/>
        <v>#DIV/0!</v>
      </c>
      <c r="W25" s="28" t="e">
        <f t="shared" si="40"/>
        <v>#DIV/0!</v>
      </c>
      <c r="X25" s="28" t="e">
        <f t="shared" si="41"/>
        <v>#DIV/0!</v>
      </c>
    </row>
    <row r="26" spans="1:24" x14ac:dyDescent="0.25">
      <c r="A26" s="5" t="s">
        <v>200</v>
      </c>
      <c r="B26" s="2">
        <f>+B180</f>
        <v>125</v>
      </c>
      <c r="C26" s="2">
        <f t="shared" ref="C26:G26" si="42">+C180</f>
        <v>133</v>
      </c>
      <c r="D26" s="2">
        <f t="shared" si="42"/>
        <v>135</v>
      </c>
      <c r="E26" s="2">
        <f t="shared" si="42"/>
        <v>147</v>
      </c>
      <c r="F26" s="2">
        <f t="shared" si="42"/>
        <v>0</v>
      </c>
      <c r="G26" s="2">
        <f t="shared" si="42"/>
        <v>0</v>
      </c>
      <c r="J26" s="28"/>
      <c r="K26" s="28"/>
      <c r="L26" s="28"/>
      <c r="M26" s="28"/>
      <c r="N26" s="28"/>
      <c r="O26" s="28"/>
      <c r="P26" s="28"/>
      <c r="R26" s="28"/>
      <c r="S26" s="28"/>
      <c r="T26" s="28"/>
      <c r="U26" s="28"/>
      <c r="V26" s="28"/>
      <c r="W26" s="28"/>
      <c r="X26" s="28"/>
    </row>
    <row r="27" spans="1:24" x14ac:dyDescent="0.25">
      <c r="A27" s="5" t="s">
        <v>152</v>
      </c>
      <c r="B27" s="2">
        <f>+B212</f>
        <v>3218</v>
      </c>
      <c r="C27" s="2">
        <f t="shared" ref="C27:G27" si="43">+C212</f>
        <v>3424</v>
      </c>
      <c r="D27" s="2">
        <f t="shared" si="43"/>
        <v>3386</v>
      </c>
      <c r="E27" s="2">
        <f t="shared" si="43"/>
        <v>2697</v>
      </c>
      <c r="F27" s="2">
        <f t="shared" si="43"/>
        <v>2952</v>
      </c>
      <c r="G27" s="2">
        <f t="shared" si="43"/>
        <v>2597</v>
      </c>
      <c r="J27" s="30">
        <f t="shared" si="29"/>
        <v>3.5552904002739937E-2</v>
      </c>
      <c r="K27" s="30">
        <f t="shared" si="30"/>
        <v>3.6661884061074589E-2</v>
      </c>
      <c r="L27" s="30">
        <f t="shared" si="31"/>
        <v>3.3917660022037464E-2</v>
      </c>
      <c r="M27" s="30">
        <f t="shared" si="32"/>
        <v>2.6584524396254312E-2</v>
      </c>
      <c r="N27" s="30">
        <f t="shared" si="33"/>
        <v>2.8532490503668049E-2</v>
      </c>
      <c r="O27" s="30">
        <f t="shared" si="34"/>
        <v>2.1625087432968058E-2</v>
      </c>
      <c r="P27" s="30"/>
      <c r="Q27" s="31"/>
      <c r="R27" s="30">
        <f t="shared" si="35"/>
        <v>4.3813280300541678E-2</v>
      </c>
      <c r="S27" s="30">
        <f t="shared" si="36"/>
        <v>5.1368448798014457E-2</v>
      </c>
      <c r="T27" s="30">
        <f t="shared" si="37"/>
        <v>-6.0163551401869159E-2</v>
      </c>
      <c r="U27" s="30">
        <f t="shared" si="38"/>
        <v>1.1222681630242174E-2</v>
      </c>
      <c r="V27" s="30">
        <f t="shared" si="39"/>
        <v>0.25546903967371154</v>
      </c>
      <c r="W27" s="30">
        <f t="shared" si="40"/>
        <v>-8.6382113821138209E-2</v>
      </c>
      <c r="X27" s="30">
        <f t="shared" si="41"/>
        <v>0.13669618790912591</v>
      </c>
    </row>
    <row r="28" spans="1:24" x14ac:dyDescent="0.25">
      <c r="A28" s="2" t="s">
        <v>25</v>
      </c>
      <c r="B28" s="6">
        <f t="shared" ref="B28:G28" si="44">SUM(B23:B27)</f>
        <v>9028</v>
      </c>
      <c r="C28" s="6">
        <f t="shared" si="44"/>
        <v>9064</v>
      </c>
      <c r="D28" s="6">
        <f t="shared" si="44"/>
        <v>8061</v>
      </c>
      <c r="E28" s="6">
        <f t="shared" si="44"/>
        <v>7875</v>
      </c>
      <c r="F28" s="6">
        <f t="shared" si="44"/>
        <v>7503</v>
      </c>
      <c r="G28" s="6">
        <f t="shared" si="44"/>
        <v>10154</v>
      </c>
      <c r="H28" s="34"/>
      <c r="J28" s="28">
        <f t="shared" si="29"/>
        <v>9.9742578414150448E-2</v>
      </c>
      <c r="K28" s="28">
        <f t="shared" si="30"/>
        <v>9.7051202432704459E-2</v>
      </c>
      <c r="L28" s="28">
        <f t="shared" si="31"/>
        <v>8.0747270359611337E-2</v>
      </c>
      <c r="M28" s="28">
        <f t="shared" si="32"/>
        <v>7.7624445539674722E-2</v>
      </c>
      <c r="N28" s="28">
        <f t="shared" si="33"/>
        <v>7.2520080030156295E-2</v>
      </c>
      <c r="O28" s="28">
        <f t="shared" si="34"/>
        <v>8.4551843586583617E-2</v>
      </c>
      <c r="P28" s="28"/>
      <c r="R28" s="28">
        <f t="shared" si="35"/>
        <v>-2.3233225607619739E-2</v>
      </c>
      <c r="S28" s="28">
        <f t="shared" si="36"/>
        <v>-1.3485133717464421E-2</v>
      </c>
      <c r="T28" s="28">
        <f t="shared" si="37"/>
        <v>-3.9717563989408646E-3</v>
      </c>
      <c r="U28" s="28">
        <f t="shared" si="38"/>
        <v>0.12442624984493239</v>
      </c>
      <c r="V28" s="28">
        <f t="shared" si="39"/>
        <v>2.3619047619047619E-2</v>
      </c>
      <c r="W28" s="28">
        <f t="shared" si="40"/>
        <v>4.9580167932826873E-2</v>
      </c>
      <c r="X28" s="28">
        <f t="shared" si="41"/>
        <v>-0.26107937758518812</v>
      </c>
    </row>
    <row r="29" spans="1:24" x14ac:dyDescent="0.25">
      <c r="A29" s="5" t="s">
        <v>27</v>
      </c>
      <c r="B29" s="2">
        <v>19233</v>
      </c>
      <c r="C29" s="2">
        <v>21061</v>
      </c>
      <c r="D29" s="2">
        <v>28070</v>
      </c>
      <c r="E29" s="2">
        <v>28216</v>
      </c>
      <c r="F29" s="2">
        <v>30770</v>
      </c>
      <c r="G29" s="2">
        <v>28308</v>
      </c>
      <c r="J29" s="28">
        <f t="shared" si="29"/>
        <v>0.21248881376155912</v>
      </c>
      <c r="K29" s="28">
        <f t="shared" si="30"/>
        <v>0.22550699188384693</v>
      </c>
      <c r="L29" s="28">
        <f t="shared" si="31"/>
        <v>0.28117800260442755</v>
      </c>
      <c r="M29" s="28">
        <f t="shared" si="32"/>
        <v>0.27812715623459833</v>
      </c>
      <c r="N29" s="28">
        <f t="shared" si="33"/>
        <v>0.29740675230280011</v>
      </c>
      <c r="O29" s="28">
        <f t="shared" si="34"/>
        <v>0.23571928188388902</v>
      </c>
      <c r="P29" s="28"/>
      <c r="R29" s="28">
        <f t="shared" si="35"/>
        <v>-7.4390999611951406E-2</v>
      </c>
      <c r="S29" s="28">
        <f t="shared" si="36"/>
        <v>-6.7539619547069094E-2</v>
      </c>
      <c r="T29" s="28">
        <f t="shared" si="37"/>
        <v>-8.6795498789231276E-2</v>
      </c>
      <c r="U29" s="28">
        <f t="shared" si="38"/>
        <v>-0.24969718560741005</v>
      </c>
      <c r="V29" s="28">
        <f t="shared" si="39"/>
        <v>-5.1743691522540399E-3</v>
      </c>
      <c r="W29" s="28">
        <f t="shared" si="40"/>
        <v>-8.3002924926876831E-2</v>
      </c>
      <c r="X29" s="28">
        <f t="shared" si="41"/>
        <v>8.6971880740426735E-2</v>
      </c>
    </row>
    <row r="30" spans="1:24" x14ac:dyDescent="0.25">
      <c r="A30" s="5" t="s">
        <v>202</v>
      </c>
      <c r="B30" s="2">
        <f>+B181</f>
        <v>585</v>
      </c>
      <c r="C30" s="2">
        <f t="shared" ref="C30:G30" si="45">+C181</f>
        <v>484</v>
      </c>
      <c r="D30" s="2">
        <f t="shared" si="45"/>
        <v>475</v>
      </c>
      <c r="E30" s="2">
        <f t="shared" si="45"/>
        <v>454</v>
      </c>
      <c r="F30" s="2">
        <f t="shared" si="45"/>
        <v>0</v>
      </c>
      <c r="G30" s="2">
        <f t="shared" si="45"/>
        <v>0</v>
      </c>
      <c r="J30" s="28"/>
      <c r="K30" s="28"/>
      <c r="L30" s="28"/>
      <c r="M30" s="28"/>
      <c r="N30" s="28"/>
      <c r="O30" s="28"/>
      <c r="P30" s="28"/>
      <c r="R30" s="28"/>
      <c r="S30" s="28"/>
      <c r="T30" s="28"/>
      <c r="U30" s="28"/>
      <c r="V30" s="28"/>
      <c r="W30" s="28"/>
      <c r="X30" s="28"/>
    </row>
    <row r="31" spans="1:24" x14ac:dyDescent="0.25">
      <c r="A31" s="5" t="s">
        <v>153</v>
      </c>
      <c r="B31" s="2">
        <f>+B219</f>
        <v>12797</v>
      </c>
      <c r="C31" s="2">
        <f t="shared" ref="C31:G31" si="46">+C219</f>
        <v>13333</v>
      </c>
      <c r="D31" s="2">
        <f t="shared" si="46"/>
        <v>12981</v>
      </c>
      <c r="E31" s="2">
        <f t="shared" si="46"/>
        <v>13156</v>
      </c>
      <c r="F31" s="2">
        <f t="shared" si="46"/>
        <v>13410</v>
      </c>
      <c r="G31" s="2">
        <f t="shared" si="46"/>
        <v>15554</v>
      </c>
      <c r="J31" s="30">
        <f t="shared" si="29"/>
        <v>0.14138300575607923</v>
      </c>
      <c r="K31" s="30">
        <f t="shared" si="30"/>
        <v>0.14276077692357111</v>
      </c>
      <c r="L31" s="30">
        <f t="shared" si="31"/>
        <v>0.13003105278974256</v>
      </c>
      <c r="M31" s="30">
        <f t="shared" si="32"/>
        <v>0.12967964514539182</v>
      </c>
      <c r="N31" s="30">
        <f t="shared" si="33"/>
        <v>0.12961405747093108</v>
      </c>
      <c r="O31" s="30">
        <f t="shared" si="34"/>
        <v>0.12951737001632083</v>
      </c>
      <c r="P31" s="30"/>
      <c r="Q31" s="31"/>
      <c r="R31" s="30">
        <f t="shared" si="35"/>
        <v>-3.8269885912254428E-2</v>
      </c>
      <c r="S31" s="30">
        <f t="shared" si="36"/>
        <v>-3.6633961987977935E-2</v>
      </c>
      <c r="T31" s="30">
        <f t="shared" si="37"/>
        <v>-4.0201005025125629E-2</v>
      </c>
      <c r="U31" s="30">
        <f t="shared" si="38"/>
        <v>2.7116554964948771E-2</v>
      </c>
      <c r="V31" s="30">
        <f t="shared" si="39"/>
        <v>-1.330191547582852E-2</v>
      </c>
      <c r="W31" s="30">
        <f t="shared" si="40"/>
        <v>-1.8941088739746457E-2</v>
      </c>
      <c r="X31" s="30">
        <f t="shared" si="41"/>
        <v>-0.13784235566413786</v>
      </c>
    </row>
    <row r="32" spans="1:24" x14ac:dyDescent="0.25">
      <c r="A32" s="2" t="s">
        <v>31</v>
      </c>
      <c r="B32" s="6">
        <f t="shared" ref="B32:G32" si="47">SUM(B28:B31)</f>
        <v>41643</v>
      </c>
      <c r="C32" s="6">
        <f t="shared" si="47"/>
        <v>43942</v>
      </c>
      <c r="D32" s="6">
        <f t="shared" si="47"/>
        <v>49587</v>
      </c>
      <c r="E32" s="6">
        <f t="shared" si="47"/>
        <v>49701</v>
      </c>
      <c r="F32" s="6">
        <f t="shared" si="47"/>
        <v>51683</v>
      </c>
      <c r="G32" s="6">
        <f t="shared" si="47"/>
        <v>54016</v>
      </c>
      <c r="H32" s="34"/>
      <c r="J32" s="28">
        <f t="shared" si="29"/>
        <v>0.46007755791985683</v>
      </c>
      <c r="K32" s="28">
        <f t="shared" si="30"/>
        <v>0.47050131700109216</v>
      </c>
      <c r="L32" s="28">
        <f t="shared" si="31"/>
        <v>0.49671441450465792</v>
      </c>
      <c r="M32" s="28">
        <f t="shared" si="32"/>
        <v>0.48990635781172992</v>
      </c>
      <c r="N32" s="28">
        <f t="shared" si="33"/>
        <v>0.49954088980388744</v>
      </c>
      <c r="O32" s="28">
        <f t="shared" si="34"/>
        <v>0.44978849548679345</v>
      </c>
      <c r="P32" s="28"/>
      <c r="R32" s="28">
        <f t="shared" si="35"/>
        <v>-5.0699045239239016E-2</v>
      </c>
      <c r="S32" s="28">
        <f t="shared" si="36"/>
        <v>-4.9998615364267002E-2</v>
      </c>
      <c r="T32" s="28">
        <f t="shared" si="37"/>
        <v>-5.231896590960812E-2</v>
      </c>
      <c r="U32" s="28">
        <f t="shared" si="38"/>
        <v>-0.1138403210518886</v>
      </c>
      <c r="V32" s="28">
        <f t="shared" si="39"/>
        <v>-2.2937164242168165E-3</v>
      </c>
      <c r="W32" s="28">
        <f t="shared" si="40"/>
        <v>-3.8349167037517173E-2</v>
      </c>
      <c r="X32" s="28">
        <f t="shared" si="41"/>
        <v>-4.3190906398104266E-2</v>
      </c>
    </row>
    <row r="33" spans="1:24" x14ac:dyDescent="0.25">
      <c r="A33" s="2" t="s">
        <v>32</v>
      </c>
      <c r="B33" s="2">
        <v>40</v>
      </c>
      <c r="C33" s="2">
        <v>4</v>
      </c>
      <c r="D33" s="2">
        <v>0</v>
      </c>
      <c r="E33" s="2">
        <v>0</v>
      </c>
      <c r="F33" s="2">
        <v>3</v>
      </c>
      <c r="G33" s="2">
        <v>6</v>
      </c>
      <c r="J33" s="28">
        <f t="shared" si="29"/>
        <v>4.4192546926960768E-4</v>
      </c>
      <c r="K33" s="28">
        <f t="shared" si="30"/>
        <v>4.2829303809666572E-5</v>
      </c>
      <c r="L33" s="28">
        <f t="shared" si="31"/>
        <v>0</v>
      </c>
      <c r="M33" s="28">
        <f t="shared" si="32"/>
        <v>0</v>
      </c>
      <c r="N33" s="28">
        <f t="shared" si="33"/>
        <v>2.8996433438687043E-5</v>
      </c>
      <c r="O33" s="28">
        <f t="shared" si="34"/>
        <v>4.9961696033041334E-5</v>
      </c>
      <c r="P33" s="28"/>
      <c r="R33" s="28">
        <f t="shared" si="35"/>
        <v>0.46144255162042197</v>
      </c>
      <c r="S33" s="28" t="e">
        <f t="shared" si="36"/>
        <v>#DIV/0!</v>
      </c>
      <c r="T33" s="28">
        <f t="shared" si="37"/>
        <v>9</v>
      </c>
      <c r="U33" s="28" t="e">
        <f t="shared" si="38"/>
        <v>#DIV/0!</v>
      </c>
      <c r="V33" s="28" t="e">
        <f t="shared" si="39"/>
        <v>#DIV/0!</v>
      </c>
      <c r="W33" s="28">
        <f t="shared" si="40"/>
        <v>-1</v>
      </c>
      <c r="X33" s="28">
        <f t="shared" si="41"/>
        <v>-0.5</v>
      </c>
    </row>
    <row r="34" spans="1:24" x14ac:dyDescent="0.25">
      <c r="A34" s="2" t="s">
        <v>40</v>
      </c>
      <c r="B34" s="34">
        <f>+B227</f>
        <v>48830</v>
      </c>
      <c r="C34" s="34">
        <f t="shared" ref="C34:G34" si="48">+C227</f>
        <v>49448</v>
      </c>
      <c r="D34" s="34">
        <f t="shared" si="48"/>
        <v>50243</v>
      </c>
      <c r="E34" s="34">
        <f t="shared" si="48"/>
        <v>51749</v>
      </c>
      <c r="F34" s="34">
        <f t="shared" si="48"/>
        <v>51775</v>
      </c>
      <c r="G34" s="34">
        <f t="shared" si="48"/>
        <v>66070</v>
      </c>
      <c r="H34" s="34"/>
      <c r="J34" s="28">
        <f t="shared" si="29"/>
        <v>0.53948051661087359</v>
      </c>
      <c r="K34" s="28">
        <f t="shared" si="30"/>
        <v>0.52945585369509818</v>
      </c>
      <c r="L34" s="28">
        <f t="shared" si="31"/>
        <v>0.50328558549534208</v>
      </c>
      <c r="M34" s="28">
        <f t="shared" si="32"/>
        <v>0.51009364218827014</v>
      </c>
      <c r="N34" s="28">
        <f t="shared" si="33"/>
        <v>0.50043011376267388</v>
      </c>
      <c r="O34" s="28">
        <f t="shared" si="34"/>
        <v>0.55016154281717355</v>
      </c>
      <c r="P34" s="28"/>
      <c r="R34" s="28">
        <f t="shared" si="35"/>
        <v>-5.8681739699202047E-2</v>
      </c>
      <c r="S34" s="28">
        <f t="shared" si="36"/>
        <v>-5.4857339349412525E-2</v>
      </c>
      <c r="T34" s="28">
        <f t="shared" si="37"/>
        <v>-1.2497977673515612E-2</v>
      </c>
      <c r="U34" s="28">
        <f t="shared" si="38"/>
        <v>-1.5823099735286509E-2</v>
      </c>
      <c r="V34" s="28">
        <f t="shared" si="39"/>
        <v>-2.9102011633075034E-2</v>
      </c>
      <c r="W34" s="28">
        <f t="shared" si="40"/>
        <v>-5.0217286335103818E-4</v>
      </c>
      <c r="X34" s="28">
        <f t="shared" si="41"/>
        <v>-0.21636143484183443</v>
      </c>
    </row>
    <row r="35" spans="1:24" ht="15.75" thickBot="1" x14ac:dyDescent="0.3">
      <c r="A35" s="2" t="s">
        <v>39</v>
      </c>
      <c r="B35" s="9">
        <f>+B34+B33+B32</f>
        <v>90513</v>
      </c>
      <c r="C35" s="9">
        <f t="shared" ref="C35:G35" si="49">+C34+C33+C32</f>
        <v>93394</v>
      </c>
      <c r="D35" s="9">
        <f t="shared" si="49"/>
        <v>99830</v>
      </c>
      <c r="E35" s="9">
        <f t="shared" si="49"/>
        <v>101450</v>
      </c>
      <c r="F35" s="9">
        <f t="shared" si="49"/>
        <v>103461</v>
      </c>
      <c r="G35" s="9">
        <f t="shared" si="49"/>
        <v>120092</v>
      </c>
      <c r="H35" s="36"/>
      <c r="J35" s="32">
        <f t="shared" si="29"/>
        <v>1</v>
      </c>
      <c r="K35" s="32">
        <f t="shared" si="30"/>
        <v>1</v>
      </c>
      <c r="L35" s="32">
        <f t="shared" si="31"/>
        <v>1</v>
      </c>
      <c r="M35" s="32">
        <f t="shared" si="32"/>
        <v>1</v>
      </c>
      <c r="N35" s="32">
        <f t="shared" si="33"/>
        <v>1</v>
      </c>
      <c r="O35" s="32">
        <f t="shared" si="34"/>
        <v>1</v>
      </c>
      <c r="P35" s="32"/>
      <c r="Q35" s="11"/>
      <c r="R35" s="32">
        <f t="shared" si="35"/>
        <v>-5.4983532564241197E-2</v>
      </c>
      <c r="S35" s="32">
        <f t="shared" si="36"/>
        <v>-5.3841726418039616E-2</v>
      </c>
      <c r="T35" s="32">
        <f t="shared" si="37"/>
        <v>-3.084780606891235E-2</v>
      </c>
      <c r="U35" s="32">
        <f t="shared" si="38"/>
        <v>-6.4469598317139137E-2</v>
      </c>
      <c r="V35" s="32">
        <f t="shared" si="39"/>
        <v>-1.5968457368161656E-2</v>
      </c>
      <c r="W35" s="32">
        <f t="shared" si="40"/>
        <v>-1.9437275881733215E-2</v>
      </c>
      <c r="X35" s="32">
        <f t="shared" si="41"/>
        <v>-0.13848549445425173</v>
      </c>
    </row>
    <row r="36" spans="1:24" ht="15.75" thickTop="1" x14ac:dyDescent="0.25">
      <c r="B36" s="2">
        <f>+B35-B21</f>
        <v>0</v>
      </c>
      <c r="C36" s="2">
        <f t="shared" ref="C36:G36" si="50">+C35-C21</f>
        <v>0</v>
      </c>
      <c r="D36" s="2">
        <f t="shared" si="50"/>
        <v>0</v>
      </c>
      <c r="E36" s="2">
        <f t="shared" si="50"/>
        <v>0</v>
      </c>
      <c r="F36" s="2">
        <f t="shared" si="50"/>
        <v>0</v>
      </c>
      <c r="G36" s="2">
        <f t="shared" si="50"/>
        <v>0</v>
      </c>
    </row>
    <row r="37" spans="1:24" x14ac:dyDescent="0.25">
      <c r="A37" s="2" t="s">
        <v>41</v>
      </c>
      <c r="B37" s="2">
        <v>1243</v>
      </c>
      <c r="C37" s="2">
        <v>1235</v>
      </c>
      <c r="D37" s="2">
        <v>1228</v>
      </c>
      <c r="E37" s="2">
        <v>1224</v>
      </c>
      <c r="F37" s="2">
        <v>1224</v>
      </c>
      <c r="G37" s="2">
        <v>1221</v>
      </c>
    </row>
    <row r="38" spans="1:24" x14ac:dyDescent="0.25">
      <c r="A38" s="2" t="s">
        <v>42</v>
      </c>
      <c r="B38" s="2">
        <v>-18</v>
      </c>
      <c r="C38" s="2">
        <v>-11</v>
      </c>
      <c r="D38" s="2">
        <v>-5</v>
      </c>
      <c r="E38" s="2">
        <v>-3</v>
      </c>
      <c r="F38" s="2">
        <v>-4</v>
      </c>
      <c r="G38" s="2">
        <v>-2</v>
      </c>
    </row>
    <row r="39" spans="1:24" ht="15.75" thickBot="1" x14ac:dyDescent="0.3">
      <c r="A39" s="2" t="s">
        <v>43</v>
      </c>
      <c r="B39" s="11">
        <f>+B37+B38</f>
        <v>1225</v>
      </c>
      <c r="C39" s="11">
        <f t="shared" ref="C39:G39" si="51">+C37+C38</f>
        <v>1224</v>
      </c>
      <c r="D39" s="11">
        <f t="shared" si="51"/>
        <v>1223</v>
      </c>
      <c r="E39" s="11">
        <f t="shared" si="51"/>
        <v>1221</v>
      </c>
      <c r="F39" s="11">
        <f t="shared" si="51"/>
        <v>1220</v>
      </c>
      <c r="G39" s="11">
        <f t="shared" si="51"/>
        <v>1219</v>
      </c>
      <c r="H39" s="34"/>
    </row>
    <row r="40" spans="1:24" ht="15.75" thickTop="1" x14ac:dyDescent="0.25">
      <c r="A40" s="2" t="s">
        <v>154</v>
      </c>
      <c r="B40" s="7">
        <v>38.130000000000003</v>
      </c>
      <c r="C40" s="7">
        <v>39.22</v>
      </c>
      <c r="D40" s="7">
        <v>36.380000000000003</v>
      </c>
      <c r="E40" s="7">
        <v>24.77</v>
      </c>
      <c r="F40" s="7">
        <v>33.19</v>
      </c>
      <c r="G40" s="7">
        <v>67.14</v>
      </c>
      <c r="H40" s="7"/>
    </row>
    <row r="41" spans="1:24" x14ac:dyDescent="0.25">
      <c r="A41" s="2" t="s">
        <v>45</v>
      </c>
      <c r="B41" s="8">
        <f>+B39*B40</f>
        <v>46709.25</v>
      </c>
      <c r="C41" s="8">
        <f t="shared" ref="C41:G41" si="52">+C39*C40</f>
        <v>48005.279999999999</v>
      </c>
      <c r="D41" s="8">
        <f t="shared" si="52"/>
        <v>44492.740000000005</v>
      </c>
      <c r="E41" s="8">
        <f t="shared" si="52"/>
        <v>30244.17</v>
      </c>
      <c r="F41" s="8">
        <f t="shared" si="52"/>
        <v>40491.799999999996</v>
      </c>
      <c r="G41" s="8">
        <f t="shared" si="52"/>
        <v>81843.66</v>
      </c>
      <c r="H41" s="8"/>
    </row>
    <row r="43" spans="1:24" s="15" customFormat="1" x14ac:dyDescent="0.25">
      <c r="A43" s="15" t="str">
        <f>+A1</f>
        <v>Kraft Heinz Company</v>
      </c>
      <c r="B43" s="15" t="s">
        <v>139</v>
      </c>
    </row>
    <row r="44" spans="1:24" s="15" customFormat="1" x14ac:dyDescent="0.25">
      <c r="A44" s="15" t="s">
        <v>155</v>
      </c>
    </row>
    <row r="45" spans="1:24" s="15" customFormat="1" x14ac:dyDescent="0.25">
      <c r="A45" s="15" t="str">
        <f>+A3</f>
        <v>in millions except per share data</v>
      </c>
      <c r="F45" s="15" t="s">
        <v>150</v>
      </c>
      <c r="G45" s="16" t="s">
        <v>125</v>
      </c>
      <c r="H45" s="16"/>
    </row>
    <row r="46" spans="1:24" s="15" customFormat="1" ht="15.75" thickBot="1" x14ac:dyDescent="0.3">
      <c r="A46" s="16" t="str">
        <f>+A4</f>
        <v>Year ended near 12/31:</v>
      </c>
      <c r="B46" s="17">
        <v>2022</v>
      </c>
      <c r="C46" s="17">
        <v>2021</v>
      </c>
      <c r="D46" s="17">
        <v>2020</v>
      </c>
      <c r="E46" s="17">
        <v>2019</v>
      </c>
      <c r="F46" s="17">
        <v>2018</v>
      </c>
      <c r="G46" s="17">
        <v>2017</v>
      </c>
      <c r="H46" s="22" t="s">
        <v>157</v>
      </c>
    </row>
    <row r="47" spans="1:24" x14ac:dyDescent="0.25">
      <c r="A47" s="2" t="s">
        <v>156</v>
      </c>
      <c r="B47" s="8">
        <f>+'Phase 2'!B68</f>
        <v>2368</v>
      </c>
      <c r="C47" s="8">
        <f>+'Phase 2'!C68</f>
        <v>1024</v>
      </c>
      <c r="D47" s="8">
        <f>+'Phase 2'!D68</f>
        <v>361</v>
      </c>
      <c r="E47" s="8">
        <f>+'Phase 2'!E68</f>
        <v>1933</v>
      </c>
      <c r="F47" s="8">
        <f>+'Phase 2'!F68</f>
        <v>-10254</v>
      </c>
      <c r="G47" s="8">
        <f>+'Phase 2'!G68</f>
        <v>10932</v>
      </c>
      <c r="H47" s="8">
        <f>SUM(B47:G47)</f>
        <v>6364</v>
      </c>
    </row>
    <row r="48" spans="1:24" x14ac:dyDescent="0.25">
      <c r="A48" s="2" t="s">
        <v>158</v>
      </c>
      <c r="B48" s="2">
        <v>-993</v>
      </c>
      <c r="C48" s="2">
        <v>149</v>
      </c>
      <c r="D48" s="2">
        <v>-78</v>
      </c>
      <c r="E48" s="2">
        <v>-72</v>
      </c>
      <c r="F48" s="2">
        <v>-903</v>
      </c>
      <c r="G48" s="2">
        <v>581</v>
      </c>
      <c r="H48" s="31">
        <f>SUM(B48:G48)</f>
        <v>-1316</v>
      </c>
    </row>
    <row r="49" spans="1:24" x14ac:dyDescent="0.25">
      <c r="A49" s="2" t="s">
        <v>159</v>
      </c>
      <c r="B49" s="6">
        <f t="shared" ref="B49:G49" si="53">SUM(B47:B48)</f>
        <v>1375</v>
      </c>
      <c r="C49" s="6">
        <f t="shared" si="53"/>
        <v>1173</v>
      </c>
      <c r="D49" s="6">
        <f t="shared" si="53"/>
        <v>283</v>
      </c>
      <c r="E49" s="6">
        <f t="shared" si="53"/>
        <v>1861</v>
      </c>
      <c r="F49" s="6">
        <f t="shared" si="53"/>
        <v>-11157</v>
      </c>
      <c r="G49" s="6">
        <f t="shared" si="53"/>
        <v>11513</v>
      </c>
      <c r="H49" s="2">
        <f t="shared" ref="H49:H52" si="54">SUM(B49:G49)</f>
        <v>5048</v>
      </c>
    </row>
    <row r="50" spans="1:24" x14ac:dyDescent="0.25">
      <c r="A50" s="2" t="s">
        <v>160</v>
      </c>
      <c r="B50" s="2">
        <v>-1972</v>
      </c>
      <c r="C50" s="2">
        <v>-1979</v>
      </c>
      <c r="D50" s="2">
        <v>-1973</v>
      </c>
      <c r="E50" s="2">
        <v>-1959</v>
      </c>
      <c r="F50" s="2">
        <v>-3048</v>
      </c>
      <c r="G50" s="2">
        <v>-2988</v>
      </c>
      <c r="H50" s="2">
        <f t="shared" si="54"/>
        <v>-13919</v>
      </c>
    </row>
    <row r="51" spans="1:24" x14ac:dyDescent="0.25">
      <c r="A51" s="2" t="s">
        <v>161</v>
      </c>
      <c r="B51" s="31">
        <f t="shared" ref="B51:G51" si="55">+B52-SUM(B49:B50)</f>
        <v>-21</v>
      </c>
      <c r="C51" s="31">
        <f t="shared" si="55"/>
        <v>11</v>
      </c>
      <c r="D51" s="31">
        <f t="shared" si="55"/>
        <v>184</v>
      </c>
      <c r="E51" s="31">
        <f t="shared" si="55"/>
        <v>72</v>
      </c>
      <c r="F51" s="31">
        <f t="shared" si="55"/>
        <v>-90</v>
      </c>
      <c r="G51" s="31">
        <f t="shared" si="55"/>
        <v>85</v>
      </c>
      <c r="H51" s="31">
        <f t="shared" si="54"/>
        <v>241</v>
      </c>
    </row>
    <row r="52" spans="1:24" x14ac:dyDescent="0.25">
      <c r="A52" s="2" t="s">
        <v>162</v>
      </c>
      <c r="B52" s="2">
        <f>+B54-B53</f>
        <v>-618</v>
      </c>
      <c r="C52" s="2">
        <f t="shared" ref="C52:G52" si="56">+C54-C53</f>
        <v>-795</v>
      </c>
      <c r="D52" s="2">
        <f t="shared" si="56"/>
        <v>-1506</v>
      </c>
      <c r="E52" s="2">
        <f t="shared" si="56"/>
        <v>-26</v>
      </c>
      <c r="F52" s="2">
        <f t="shared" si="56"/>
        <v>-14295</v>
      </c>
      <c r="G52" s="2">
        <f t="shared" si="56"/>
        <v>8610</v>
      </c>
      <c r="H52" s="2">
        <f t="shared" si="54"/>
        <v>-8630</v>
      </c>
    </row>
    <row r="53" spans="1:24" x14ac:dyDescent="0.25">
      <c r="A53" s="2" t="s">
        <v>163</v>
      </c>
      <c r="B53" s="2">
        <f t="shared" ref="B53:E53" si="57">+C54</f>
        <v>49448</v>
      </c>
      <c r="C53" s="2">
        <f t="shared" si="57"/>
        <v>50243</v>
      </c>
      <c r="D53" s="2">
        <f t="shared" si="57"/>
        <v>51749</v>
      </c>
      <c r="E53" s="2">
        <f t="shared" si="57"/>
        <v>51775</v>
      </c>
      <c r="F53" s="2">
        <f>+G54</f>
        <v>66070</v>
      </c>
      <c r="G53" s="2">
        <v>57460</v>
      </c>
      <c r="H53" s="2">
        <f>+G53</f>
        <v>57460</v>
      </c>
    </row>
    <row r="54" spans="1:24" ht="15.75" thickBot="1" x14ac:dyDescent="0.3">
      <c r="A54" s="2" t="s">
        <v>164</v>
      </c>
      <c r="B54" s="9">
        <f t="shared" ref="B54:G54" si="58">+B34</f>
        <v>48830</v>
      </c>
      <c r="C54" s="9">
        <f t="shared" si="58"/>
        <v>49448</v>
      </c>
      <c r="D54" s="9">
        <f t="shared" si="58"/>
        <v>50243</v>
      </c>
      <c r="E54" s="9">
        <f t="shared" si="58"/>
        <v>51749</v>
      </c>
      <c r="F54" s="9">
        <f t="shared" si="58"/>
        <v>51775</v>
      </c>
      <c r="G54" s="9">
        <f t="shared" si="58"/>
        <v>66070</v>
      </c>
      <c r="H54" s="9">
        <f>++H52+H53</f>
        <v>48830</v>
      </c>
    </row>
    <row r="55" spans="1:24" ht="15.75" thickTop="1" x14ac:dyDescent="0.25"/>
    <row r="56" spans="1:24" s="15" customFormat="1" x14ac:dyDescent="0.25">
      <c r="A56" s="15" t="str">
        <f>+A1</f>
        <v>Kraft Heinz Company</v>
      </c>
      <c r="B56" s="15" t="str">
        <f>+B1</f>
        <v>Reclassified</v>
      </c>
      <c r="J56" s="15" t="str">
        <f>+B56</f>
        <v>Reclassified</v>
      </c>
      <c r="R56" s="15" t="str">
        <f>+B56</f>
        <v>Reclassified</v>
      </c>
    </row>
    <row r="57" spans="1:24" s="15" customFormat="1" x14ac:dyDescent="0.25">
      <c r="A57" s="15" t="s">
        <v>46</v>
      </c>
      <c r="J57" s="15" t="s">
        <v>137</v>
      </c>
      <c r="R57" s="15" t="s">
        <v>131</v>
      </c>
    </row>
    <row r="58" spans="1:24" s="15" customFormat="1" x14ac:dyDescent="0.25">
      <c r="A58" s="15" t="str">
        <f>+A3</f>
        <v>in millions except per share data</v>
      </c>
      <c r="F58" s="15" t="s">
        <v>150</v>
      </c>
      <c r="G58" s="16" t="s">
        <v>125</v>
      </c>
      <c r="H58" s="16"/>
      <c r="O58" s="16" t="s">
        <v>125</v>
      </c>
      <c r="P58" s="16"/>
      <c r="R58" s="15" t="s">
        <v>127</v>
      </c>
      <c r="S58" s="15" t="s">
        <v>129</v>
      </c>
      <c r="T58" s="15" t="s">
        <v>132</v>
      </c>
      <c r="U58" s="15" t="s">
        <v>133</v>
      </c>
      <c r="V58" s="15" t="s">
        <v>134</v>
      </c>
      <c r="W58" s="15" t="s">
        <v>135</v>
      </c>
      <c r="X58" s="15" t="s">
        <v>136</v>
      </c>
    </row>
    <row r="59" spans="1:24" s="15" customFormat="1" ht="15.75" thickBot="1" x14ac:dyDescent="0.3">
      <c r="A59" s="16" t="str">
        <f>+A4</f>
        <v>Year ended near 12/31:</v>
      </c>
      <c r="B59" s="17">
        <v>2022</v>
      </c>
      <c r="C59" s="17">
        <v>2021</v>
      </c>
      <c r="D59" s="17">
        <v>2020</v>
      </c>
      <c r="E59" s="17">
        <v>2019</v>
      </c>
      <c r="F59" s="17">
        <v>2018</v>
      </c>
      <c r="G59" s="17">
        <v>2017</v>
      </c>
      <c r="H59" s="17" t="s">
        <v>157</v>
      </c>
      <c r="J59" s="17">
        <v>2022</v>
      </c>
      <c r="K59" s="17">
        <v>2021</v>
      </c>
      <c r="L59" s="17">
        <v>2020</v>
      </c>
      <c r="M59" s="17">
        <v>2019</v>
      </c>
      <c r="N59" s="17">
        <v>2018</v>
      </c>
      <c r="O59" s="17">
        <v>2017</v>
      </c>
      <c r="P59" s="22" t="s">
        <v>157</v>
      </c>
      <c r="R59" s="29" t="s">
        <v>128</v>
      </c>
      <c r="S59" s="29" t="s">
        <v>130</v>
      </c>
      <c r="T59" s="17">
        <v>2022</v>
      </c>
      <c r="U59" s="17">
        <v>2021</v>
      </c>
      <c r="V59" s="17">
        <v>2020</v>
      </c>
      <c r="W59" s="17">
        <v>2019</v>
      </c>
      <c r="X59" s="17">
        <v>2018</v>
      </c>
    </row>
    <row r="60" spans="1:24" x14ac:dyDescent="0.25">
      <c r="A60" s="2" t="s">
        <v>47</v>
      </c>
      <c r="B60" s="8">
        <v>26485</v>
      </c>
      <c r="C60" s="8">
        <v>26042</v>
      </c>
      <c r="D60" s="8">
        <v>26185</v>
      </c>
      <c r="E60" s="8">
        <v>24977</v>
      </c>
      <c r="F60" s="8">
        <v>26268</v>
      </c>
      <c r="G60" s="8">
        <v>26076</v>
      </c>
      <c r="H60" s="8">
        <f>SUM(B60:G60)</f>
        <v>156033</v>
      </c>
      <c r="J60" s="28">
        <f t="shared" ref="J60:P60" si="59">+B60/B$60</f>
        <v>1</v>
      </c>
      <c r="K60" s="28">
        <f t="shared" si="59"/>
        <v>1</v>
      </c>
      <c r="L60" s="28">
        <f t="shared" si="59"/>
        <v>1</v>
      </c>
      <c r="M60" s="28">
        <f t="shared" si="59"/>
        <v>1</v>
      </c>
      <c r="N60" s="28">
        <f t="shared" si="59"/>
        <v>1</v>
      </c>
      <c r="O60" s="28">
        <f t="shared" si="59"/>
        <v>1</v>
      </c>
      <c r="P60" s="28">
        <f t="shared" si="59"/>
        <v>1</v>
      </c>
      <c r="R60" s="28">
        <f t="shared" ref="R60:R151" si="60">RATE(5,0,-G60,B60)</f>
        <v>3.1174860707707231E-3</v>
      </c>
      <c r="S60" s="28">
        <f t="shared" ref="S60:S151" si="61">AVERAGE(T60:X60)</f>
        <v>3.626035362061633E-3</v>
      </c>
      <c r="T60" s="28">
        <f t="shared" ref="T60:X63" si="62">(+B60-C60)/C60</f>
        <v>1.7010982259427078E-2</v>
      </c>
      <c r="U60" s="28">
        <f t="shared" si="62"/>
        <v>-5.4611418751193434E-3</v>
      </c>
      <c r="V60" s="28">
        <f t="shared" si="62"/>
        <v>4.836449533570885E-2</v>
      </c>
      <c r="W60" s="28">
        <f t="shared" si="62"/>
        <v>-4.914725140855794E-2</v>
      </c>
      <c r="X60" s="28">
        <f t="shared" si="62"/>
        <v>7.3630924988495172E-3</v>
      </c>
    </row>
    <row r="61" spans="1:24" x14ac:dyDescent="0.25">
      <c r="A61" s="5" t="s">
        <v>48</v>
      </c>
      <c r="B61" s="2">
        <v>18363</v>
      </c>
      <c r="C61" s="2">
        <v>17360</v>
      </c>
      <c r="D61" s="2">
        <v>17008</v>
      </c>
      <c r="E61" s="2">
        <v>16830</v>
      </c>
      <c r="F61" s="2">
        <v>17347</v>
      </c>
      <c r="G61" s="2">
        <v>17043</v>
      </c>
      <c r="H61" s="2">
        <f>SUM(B61:G61)</f>
        <v>103951</v>
      </c>
      <c r="J61" s="30">
        <f t="shared" ref="J61:J76" si="63">+B61/B$60</f>
        <v>0.69333585048140456</v>
      </c>
      <c r="K61" s="30">
        <f t="shared" ref="K61:P63" si="64">+C61/C$60</f>
        <v>0.66661546732201826</v>
      </c>
      <c r="L61" s="30">
        <f t="shared" si="64"/>
        <v>0.64953217490929926</v>
      </c>
      <c r="M61" s="30">
        <f t="shared" si="64"/>
        <v>0.67381991432117549</v>
      </c>
      <c r="N61" s="30">
        <f t="shared" si="64"/>
        <v>0.66038525963149075</v>
      </c>
      <c r="O61" s="30">
        <f t="shared" si="64"/>
        <v>0.65358950759318912</v>
      </c>
      <c r="P61" s="30">
        <f t="shared" si="64"/>
        <v>0.66621163471829681</v>
      </c>
      <c r="Q61" s="31"/>
      <c r="R61" s="30">
        <f t="shared" si="60"/>
        <v>1.5031495091144084E-2</v>
      </c>
      <c r="S61" s="30">
        <f t="shared" si="61"/>
        <v>1.5416560689107845E-2</v>
      </c>
      <c r="T61" s="30">
        <f t="shared" si="62"/>
        <v>5.7776497695852531E-2</v>
      </c>
      <c r="U61" s="30">
        <f t="shared" si="62"/>
        <v>2.0696142991533398E-2</v>
      </c>
      <c r="V61" s="30">
        <f t="shared" si="62"/>
        <v>1.057635175282234E-2</v>
      </c>
      <c r="W61" s="30">
        <f t="shared" si="62"/>
        <v>-2.9803424223208624E-2</v>
      </c>
      <c r="X61" s="30">
        <f t="shared" si="62"/>
        <v>1.7837235228539576E-2</v>
      </c>
    </row>
    <row r="62" spans="1:24" x14ac:dyDescent="0.25">
      <c r="A62" s="2" t="s">
        <v>49</v>
      </c>
      <c r="B62" s="6">
        <f>+B60-B61</f>
        <v>8122</v>
      </c>
      <c r="C62" s="6">
        <f t="shared" ref="C62:G62" si="65">+C60-C61</f>
        <v>8682</v>
      </c>
      <c r="D62" s="6">
        <f t="shared" si="65"/>
        <v>9177</v>
      </c>
      <c r="E62" s="6">
        <f t="shared" si="65"/>
        <v>8147</v>
      </c>
      <c r="F62" s="6">
        <f t="shared" si="65"/>
        <v>8921</v>
      </c>
      <c r="G62" s="6">
        <f t="shared" si="65"/>
        <v>9033</v>
      </c>
      <c r="H62" s="6">
        <f t="shared" ref="H62:H76" si="66">SUM(B62:G62)</f>
        <v>52082</v>
      </c>
      <c r="J62" s="28">
        <f t="shared" si="63"/>
        <v>0.30666414951859544</v>
      </c>
      <c r="K62" s="28">
        <f t="shared" si="64"/>
        <v>0.33338453267798174</v>
      </c>
      <c r="L62" s="28">
        <f t="shared" si="64"/>
        <v>0.35046782509070079</v>
      </c>
      <c r="M62" s="28">
        <f t="shared" si="64"/>
        <v>0.32618008567882451</v>
      </c>
      <c r="N62" s="28">
        <f t="shared" si="64"/>
        <v>0.33961474036850919</v>
      </c>
      <c r="O62" s="28">
        <f t="shared" si="64"/>
        <v>0.34641049240681088</v>
      </c>
      <c r="P62" s="28">
        <f t="shared" si="64"/>
        <v>0.33378836528170325</v>
      </c>
      <c r="R62" s="28">
        <f t="shared" si="60"/>
        <v>-2.1037186930892088E-2</v>
      </c>
      <c r="S62" s="28">
        <f t="shared" si="61"/>
        <v>-1.8234822504439984E-2</v>
      </c>
      <c r="T62" s="28">
        <f t="shared" si="62"/>
        <v>-6.4501266989172995E-2</v>
      </c>
      <c r="U62" s="28">
        <f t="shared" si="62"/>
        <v>-5.393919581562602E-2</v>
      </c>
      <c r="V62" s="28">
        <f t="shared" si="62"/>
        <v>0.12642690560942679</v>
      </c>
      <c r="W62" s="28">
        <f t="shared" si="62"/>
        <v>-8.6761573814594775E-2</v>
      </c>
      <c r="X62" s="28">
        <f t="shared" si="62"/>
        <v>-1.2398981512232924E-2</v>
      </c>
    </row>
    <row r="63" spans="1:24" x14ac:dyDescent="0.25">
      <c r="A63" s="5" t="s">
        <v>170</v>
      </c>
      <c r="B63" s="2">
        <f>+B232</f>
        <v>2503</v>
      </c>
      <c r="C63" s="2">
        <f t="shared" ref="C63:G63" si="67">+C232</f>
        <v>2409</v>
      </c>
      <c r="D63" s="2">
        <f t="shared" si="67"/>
        <v>2461</v>
      </c>
      <c r="E63" s="2">
        <f t="shared" si="67"/>
        <v>1966</v>
      </c>
      <c r="F63" s="2">
        <f t="shared" si="67"/>
        <v>1941</v>
      </c>
      <c r="G63" s="2">
        <f t="shared" si="67"/>
        <v>1719</v>
      </c>
      <c r="H63" s="2">
        <f t="shared" si="66"/>
        <v>12999</v>
      </c>
      <c r="J63" s="28">
        <f t="shared" si="63"/>
        <v>9.4506324334528977E-2</v>
      </c>
      <c r="K63" s="28">
        <f t="shared" si="64"/>
        <v>9.2504415943475929E-2</v>
      </c>
      <c r="L63" s="28">
        <f t="shared" si="64"/>
        <v>9.3985105976704217E-2</v>
      </c>
      <c r="M63" s="28">
        <f t="shared" si="64"/>
        <v>7.8712415422188417E-2</v>
      </c>
      <c r="N63" s="28">
        <f t="shared" si="64"/>
        <v>7.3892188213796256E-2</v>
      </c>
      <c r="O63" s="28">
        <f t="shared" si="64"/>
        <v>6.5922687528762083E-2</v>
      </c>
      <c r="P63" s="28">
        <f t="shared" si="64"/>
        <v>8.3309299955778585E-2</v>
      </c>
      <c r="R63" s="28">
        <f t="shared" si="60"/>
        <v>7.8045260485801612E-2</v>
      </c>
      <c r="S63" s="28">
        <f t="shared" si="61"/>
        <v>8.2339158644776006E-2</v>
      </c>
      <c r="T63" s="28">
        <f t="shared" si="62"/>
        <v>3.9020340390203405E-2</v>
      </c>
      <c r="U63" s="28">
        <f t="shared" si="62"/>
        <v>-2.1129622104835433E-2</v>
      </c>
      <c r="V63" s="28">
        <f t="shared" si="62"/>
        <v>0.25178026449643948</v>
      </c>
      <c r="W63" s="28">
        <f t="shared" si="62"/>
        <v>1.287995878413189E-2</v>
      </c>
      <c r="X63" s="28">
        <f t="shared" si="62"/>
        <v>0.12914485165794065</v>
      </c>
    </row>
    <row r="64" spans="1:24" x14ac:dyDescent="0.25">
      <c r="A64" s="5" t="s">
        <v>171</v>
      </c>
      <c r="B64" s="2">
        <f>+B167</f>
        <v>945</v>
      </c>
      <c r="C64" s="2">
        <f t="shared" ref="C64:G64" si="68">+C167</f>
        <v>1039</v>
      </c>
      <c r="D64" s="2">
        <f t="shared" si="68"/>
        <v>1070</v>
      </c>
      <c r="E64" s="2">
        <f t="shared" si="68"/>
        <v>1100</v>
      </c>
      <c r="F64" s="2">
        <f t="shared" si="68"/>
        <v>1140</v>
      </c>
      <c r="G64" s="2">
        <f t="shared" si="68"/>
        <v>1115</v>
      </c>
      <c r="H64" s="2">
        <f t="shared" si="66"/>
        <v>6409</v>
      </c>
      <c r="J64" s="28">
        <f t="shared" ref="J64:J65" si="69">+B64/B$60</f>
        <v>3.568057390976024E-2</v>
      </c>
      <c r="K64" s="28">
        <f t="shared" ref="K64:K65" si="70">+C64/C$60</f>
        <v>3.9897089317256738E-2</v>
      </c>
      <c r="L64" s="28">
        <f t="shared" ref="L64:L65" si="71">+D64/D$60</f>
        <v>4.0863089555088793E-2</v>
      </c>
      <c r="M64" s="28">
        <f t="shared" ref="M64:M65" si="72">+E64/E$60</f>
        <v>4.4040517275893823E-2</v>
      </c>
      <c r="N64" s="28">
        <f t="shared" ref="N64:N65" si="73">+F64/F$60</f>
        <v>4.3398812243033345E-2</v>
      </c>
      <c r="O64" s="28">
        <f t="shared" ref="O64:O65" si="74">+G64/G$60</f>
        <v>4.2759625709464642E-2</v>
      </c>
      <c r="P64" s="28">
        <f t="shared" ref="P64:P65" si="75">+H64/H$60</f>
        <v>4.1074644466234704E-2</v>
      </c>
      <c r="R64" s="28"/>
      <c r="S64" s="28"/>
      <c r="T64" s="28"/>
      <c r="U64" s="28"/>
      <c r="V64" s="28"/>
      <c r="W64" s="28"/>
      <c r="X64" s="28"/>
    </row>
    <row r="65" spans="1:24" x14ac:dyDescent="0.25">
      <c r="A65" s="5" t="s">
        <v>169</v>
      </c>
      <c r="B65" s="2">
        <f>+B168</f>
        <v>127</v>
      </c>
      <c r="C65" s="2">
        <f t="shared" ref="C65:G65" si="76">+C168</f>
        <v>140</v>
      </c>
      <c r="D65" s="2">
        <f t="shared" si="76"/>
        <v>119</v>
      </c>
      <c r="E65" s="2">
        <f t="shared" si="76"/>
        <v>112</v>
      </c>
      <c r="F65" s="2">
        <f t="shared" si="76"/>
        <v>109</v>
      </c>
      <c r="G65" s="2">
        <f t="shared" si="76"/>
        <v>93</v>
      </c>
      <c r="H65" s="2">
        <f t="shared" si="66"/>
        <v>700</v>
      </c>
      <c r="J65" s="28">
        <f t="shared" si="69"/>
        <v>4.7951670757032279E-3</v>
      </c>
      <c r="K65" s="28">
        <f t="shared" si="70"/>
        <v>5.3759311880807927E-3</v>
      </c>
      <c r="L65" s="28">
        <f t="shared" si="71"/>
        <v>4.544586595379034E-3</v>
      </c>
      <c r="M65" s="28">
        <f t="shared" si="72"/>
        <v>4.4841253953637342E-3</v>
      </c>
      <c r="N65" s="28">
        <f t="shared" si="73"/>
        <v>4.1495355565707324E-3</v>
      </c>
      <c r="O65" s="28">
        <f t="shared" si="74"/>
        <v>3.5664979291302346E-3</v>
      </c>
      <c r="P65" s="28">
        <f t="shared" si="75"/>
        <v>4.4862304768862995E-3</v>
      </c>
      <c r="R65" s="28"/>
      <c r="S65" s="28"/>
      <c r="T65" s="28"/>
      <c r="U65" s="28"/>
      <c r="V65" s="28"/>
      <c r="W65" s="28"/>
      <c r="X65" s="28"/>
    </row>
    <row r="66" spans="1:24" x14ac:dyDescent="0.25">
      <c r="A66" s="5" t="s">
        <v>51</v>
      </c>
      <c r="B66" s="2">
        <v>444</v>
      </c>
      <c r="C66" s="2">
        <v>318</v>
      </c>
      <c r="D66" s="2">
        <v>2343</v>
      </c>
      <c r="E66" s="2">
        <v>1197</v>
      </c>
      <c r="F66" s="2">
        <v>7008</v>
      </c>
      <c r="G66" s="2">
        <v>0</v>
      </c>
      <c r="H66" s="2">
        <f t="shared" si="66"/>
        <v>11310</v>
      </c>
      <c r="J66" s="28">
        <f t="shared" si="63"/>
        <v>1.6764206154427034E-2</v>
      </c>
      <c r="K66" s="28">
        <f t="shared" ref="K66:K76" si="77">+C66/C$60</f>
        <v>1.2211043698640657E-2</v>
      </c>
      <c r="L66" s="28">
        <f t="shared" ref="L66:L76" si="78">+D66/D$60</f>
        <v>8.9478709184647703E-2</v>
      </c>
      <c r="M66" s="28">
        <f t="shared" ref="M66:M76" si="79">+E66/E$60</f>
        <v>4.7924090162949913E-2</v>
      </c>
      <c r="N66" s="28">
        <f t="shared" ref="N66:N76" si="80">+F66/F$60</f>
        <v>0.26678848789401555</v>
      </c>
      <c r="O66" s="28">
        <f t="shared" ref="O66:O76" si="81">+G66/G$60</f>
        <v>0</v>
      </c>
      <c r="P66" s="28">
        <f t="shared" ref="P66:P76" si="82">+H66/H$60</f>
        <v>7.2484666705120077E-2</v>
      </c>
      <c r="R66" s="28" t="e">
        <f t="shared" si="60"/>
        <v>#NUM!</v>
      </c>
      <c r="S66" s="28" t="e">
        <f t="shared" si="61"/>
        <v>#DIV/0!</v>
      </c>
      <c r="T66" s="28">
        <f t="shared" ref="T66:T76" si="83">(+B66-C66)/C66</f>
        <v>0.39622641509433965</v>
      </c>
      <c r="U66" s="28">
        <f t="shared" ref="U66:U76" si="84">(+C66-D66)/D66</f>
        <v>-0.86427656850192058</v>
      </c>
      <c r="V66" s="28">
        <f t="shared" ref="V66:V76" si="85">(+D66-E66)/E66</f>
        <v>0.95739348370927313</v>
      </c>
      <c r="W66" s="28">
        <f t="shared" ref="W66:W76" si="86">(+E66-F66)/F66</f>
        <v>-0.82919520547945202</v>
      </c>
      <c r="X66" s="28" t="e">
        <f t="shared" ref="X66:X76" si="87">(+F66-G66)/G66</f>
        <v>#DIV/0!</v>
      </c>
    </row>
    <row r="67" spans="1:24" x14ac:dyDescent="0.25">
      <c r="A67" s="5" t="s">
        <v>52</v>
      </c>
      <c r="B67" s="2">
        <v>469</v>
      </c>
      <c r="C67" s="2">
        <v>1316</v>
      </c>
      <c r="D67" s="2">
        <v>1056</v>
      </c>
      <c r="E67" s="2">
        <v>702</v>
      </c>
      <c r="F67" s="2">
        <v>8928</v>
      </c>
      <c r="G67" s="2">
        <v>49</v>
      </c>
      <c r="H67" s="2">
        <f t="shared" si="66"/>
        <v>12520</v>
      </c>
      <c r="J67" s="30">
        <f t="shared" si="63"/>
        <v>1.7708136681140269E-2</v>
      </c>
      <c r="K67" s="30">
        <f t="shared" si="77"/>
        <v>5.0533753167959453E-2</v>
      </c>
      <c r="L67" s="30">
        <f t="shared" si="78"/>
        <v>4.0328432308573609E-2</v>
      </c>
      <c r="M67" s="30">
        <f t="shared" si="79"/>
        <v>2.8105857388797693E-2</v>
      </c>
      <c r="N67" s="30">
        <f t="shared" si="80"/>
        <v>0.33988122430333484</v>
      </c>
      <c r="O67" s="30">
        <f t="shared" si="81"/>
        <v>1.8791225648105538E-3</v>
      </c>
      <c r="P67" s="30">
        <f t="shared" si="82"/>
        <v>8.0239436529452104E-2</v>
      </c>
      <c r="Q67" s="31"/>
      <c r="R67" s="30">
        <f t="shared" si="60"/>
        <v>0.57106933729090092</v>
      </c>
      <c r="S67" s="30">
        <f t="shared" si="61"/>
        <v>36.077915853824031</v>
      </c>
      <c r="T67" s="30">
        <f t="shared" si="83"/>
        <v>-0.6436170212765957</v>
      </c>
      <c r="U67" s="30">
        <f t="shared" si="84"/>
        <v>0.24621212121212122</v>
      </c>
      <c r="V67" s="30">
        <f t="shared" si="85"/>
        <v>0.50427350427350426</v>
      </c>
      <c r="W67" s="30">
        <f t="shared" si="86"/>
        <v>-0.9213709677419355</v>
      </c>
      <c r="X67" s="30">
        <f t="shared" si="87"/>
        <v>181.20408163265307</v>
      </c>
    </row>
    <row r="68" spans="1:24" x14ac:dyDescent="0.25">
      <c r="A68" s="12" t="s">
        <v>53</v>
      </c>
      <c r="B68" s="10">
        <f>SUM(B63:B67)</f>
        <v>4488</v>
      </c>
      <c r="C68" s="10">
        <f t="shared" ref="C68:G68" si="88">SUM(C63:C67)</f>
        <v>5222</v>
      </c>
      <c r="D68" s="10">
        <f t="shared" si="88"/>
        <v>7049</v>
      </c>
      <c r="E68" s="10">
        <f t="shared" si="88"/>
        <v>5077</v>
      </c>
      <c r="F68" s="10">
        <f t="shared" si="88"/>
        <v>19126</v>
      </c>
      <c r="G68" s="10">
        <f t="shared" si="88"/>
        <v>2976</v>
      </c>
      <c r="H68" s="10">
        <f t="shared" si="66"/>
        <v>43938</v>
      </c>
      <c r="J68" s="30">
        <f t="shared" si="63"/>
        <v>0.16945440815555976</v>
      </c>
      <c r="K68" s="30">
        <f t="shared" si="77"/>
        <v>0.20052223331541355</v>
      </c>
      <c r="L68" s="30">
        <f t="shared" si="78"/>
        <v>0.26919992362039336</v>
      </c>
      <c r="M68" s="30">
        <f t="shared" si="79"/>
        <v>0.20326700564519357</v>
      </c>
      <c r="N68" s="30">
        <f t="shared" si="80"/>
        <v>0.72811024821075077</v>
      </c>
      <c r="O68" s="30">
        <f t="shared" si="81"/>
        <v>0.11412793373216751</v>
      </c>
      <c r="P68" s="30">
        <f t="shared" si="82"/>
        <v>0.28159427813347176</v>
      </c>
      <c r="Q68" s="31"/>
      <c r="R68" s="30">
        <f t="shared" si="60"/>
        <v>8.5635370196636043E-2</v>
      </c>
      <c r="S68" s="30">
        <f t="shared" si="61"/>
        <v>0.93617419376710242</v>
      </c>
      <c r="T68" s="30">
        <f t="shared" si="83"/>
        <v>-0.14055917273075449</v>
      </c>
      <c r="U68" s="30">
        <f t="shared" si="84"/>
        <v>-0.25918570009930486</v>
      </c>
      <c r="V68" s="30">
        <f t="shared" si="85"/>
        <v>0.3884183572976167</v>
      </c>
      <c r="W68" s="30">
        <f t="shared" si="86"/>
        <v>-0.73454982746000208</v>
      </c>
      <c r="X68" s="30">
        <f t="shared" si="87"/>
        <v>5.426747311827957</v>
      </c>
    </row>
    <row r="69" spans="1:24" x14ac:dyDescent="0.25">
      <c r="A69" s="2" t="s">
        <v>54</v>
      </c>
      <c r="B69" s="2">
        <f>+B62-B68</f>
        <v>3634</v>
      </c>
      <c r="C69" s="2">
        <f t="shared" ref="C69:G69" si="89">+C62-C68</f>
        <v>3460</v>
      </c>
      <c r="D69" s="2">
        <f t="shared" si="89"/>
        <v>2128</v>
      </c>
      <c r="E69" s="2">
        <f t="shared" si="89"/>
        <v>3070</v>
      </c>
      <c r="F69" s="2">
        <f t="shared" si="89"/>
        <v>-10205</v>
      </c>
      <c r="G69" s="2">
        <f t="shared" si="89"/>
        <v>6057</v>
      </c>
      <c r="H69" s="2">
        <f t="shared" si="66"/>
        <v>8144</v>
      </c>
      <c r="J69" s="28">
        <f t="shared" si="63"/>
        <v>0.13720974136303568</v>
      </c>
      <c r="K69" s="28">
        <f t="shared" si="77"/>
        <v>0.13286229936256816</v>
      </c>
      <c r="L69" s="28">
        <f t="shared" si="78"/>
        <v>8.1267901470307422E-2</v>
      </c>
      <c r="M69" s="28">
        <f t="shared" si="79"/>
        <v>0.12291308003363094</v>
      </c>
      <c r="N69" s="28">
        <f t="shared" si="80"/>
        <v>-0.38849550784224152</v>
      </c>
      <c r="O69" s="28">
        <f t="shared" si="81"/>
        <v>0.23228255867464334</v>
      </c>
      <c r="P69" s="28">
        <f t="shared" si="82"/>
        <v>5.2194087148231462E-2</v>
      </c>
      <c r="R69" s="28">
        <f t="shared" si="60"/>
        <v>-9.7129486369166726E-2</v>
      </c>
      <c r="S69" s="28">
        <f t="shared" si="61"/>
        <v>-0.72325438425943411</v>
      </c>
      <c r="T69" s="28">
        <f t="shared" si="83"/>
        <v>5.0289017341040465E-2</v>
      </c>
      <c r="U69" s="28">
        <f t="shared" si="84"/>
        <v>0.62593984962406013</v>
      </c>
      <c r="V69" s="28">
        <f t="shared" si="85"/>
        <v>-0.30684039087947884</v>
      </c>
      <c r="W69" s="28">
        <f t="shared" si="86"/>
        <v>-1.3008329250367467</v>
      </c>
      <c r="X69" s="28">
        <f t="shared" si="87"/>
        <v>-2.6848274723460457</v>
      </c>
    </row>
    <row r="70" spans="1:24" x14ac:dyDescent="0.25">
      <c r="A70" s="5" t="s">
        <v>55</v>
      </c>
      <c r="B70" s="2">
        <v>921</v>
      </c>
      <c r="C70" s="2">
        <v>2047</v>
      </c>
      <c r="D70" s="2">
        <v>1394</v>
      </c>
      <c r="E70" s="2">
        <v>1361</v>
      </c>
      <c r="F70" s="2">
        <v>1284</v>
      </c>
      <c r="G70" s="2">
        <v>1234</v>
      </c>
      <c r="H70" s="2">
        <f t="shared" si="66"/>
        <v>8241</v>
      </c>
      <c r="J70" s="28">
        <f t="shared" si="63"/>
        <v>3.4774400604115539E-2</v>
      </c>
      <c r="K70" s="28">
        <f t="shared" si="77"/>
        <v>7.860379387143844E-2</v>
      </c>
      <c r="L70" s="28">
        <f t="shared" si="78"/>
        <v>5.3236585831582965E-2</v>
      </c>
      <c r="M70" s="28">
        <f t="shared" si="79"/>
        <v>5.4490130920446814E-2</v>
      </c>
      <c r="N70" s="28">
        <f t="shared" si="80"/>
        <v>4.8880767473732295E-2</v>
      </c>
      <c r="O70" s="28">
        <f t="shared" si="81"/>
        <v>4.7323209081147413E-2</v>
      </c>
      <c r="P70" s="28">
        <f t="shared" si="82"/>
        <v>5.281575051431428E-2</v>
      </c>
      <c r="R70" s="28">
        <f t="shared" si="60"/>
        <v>-5.6832354866180976E-2</v>
      </c>
      <c r="S70" s="28">
        <f t="shared" si="61"/>
        <v>8.6194480407803427E-3</v>
      </c>
      <c r="T70" s="28">
        <f t="shared" si="83"/>
        <v>-0.55007327796775773</v>
      </c>
      <c r="U70" s="28">
        <f t="shared" si="84"/>
        <v>0.4684361549497848</v>
      </c>
      <c r="V70" s="28">
        <f t="shared" si="85"/>
        <v>2.4246877296105803E-2</v>
      </c>
      <c r="W70" s="28">
        <f t="shared" si="86"/>
        <v>5.9968847352024922E-2</v>
      </c>
      <c r="X70" s="28">
        <f t="shared" si="87"/>
        <v>4.0518638573743923E-2</v>
      </c>
    </row>
    <row r="71" spans="1:24" x14ac:dyDescent="0.25">
      <c r="A71" s="5" t="s">
        <v>56</v>
      </c>
      <c r="B71" s="2">
        <v>-253</v>
      </c>
      <c r="C71" s="2">
        <v>-295</v>
      </c>
      <c r="D71" s="2">
        <v>-296</v>
      </c>
      <c r="E71" s="2">
        <v>-952</v>
      </c>
      <c r="F71" s="2">
        <v>-168</v>
      </c>
      <c r="G71" s="2">
        <v>-627</v>
      </c>
      <c r="H71" s="2">
        <f t="shared" si="66"/>
        <v>-2591</v>
      </c>
      <c r="J71" s="30">
        <f t="shared" si="63"/>
        <v>-9.5525769303379266E-3</v>
      </c>
      <c r="K71" s="30">
        <f t="shared" si="77"/>
        <v>-1.1327855003455956E-2</v>
      </c>
      <c r="L71" s="30">
        <f t="shared" si="78"/>
        <v>-1.1304181783463815E-2</v>
      </c>
      <c r="M71" s="30">
        <f t="shared" si="79"/>
        <v>-3.8115065860591747E-2</v>
      </c>
      <c r="N71" s="30">
        <f t="shared" si="80"/>
        <v>-6.395614435815441E-3</v>
      </c>
      <c r="O71" s="30">
        <f t="shared" si="81"/>
        <v>-2.4045098941555453E-2</v>
      </c>
      <c r="P71" s="30">
        <f t="shared" si="82"/>
        <v>-1.6605461665160574E-2</v>
      </c>
      <c r="Q71" s="31"/>
      <c r="R71" s="30">
        <f t="shared" si="60"/>
        <v>-0.16599127110650957</v>
      </c>
      <c r="S71" s="30">
        <f t="shared" si="61"/>
        <v>0.61995647208246263</v>
      </c>
      <c r="T71" s="30">
        <f t="shared" si="83"/>
        <v>-0.14237288135593221</v>
      </c>
      <c r="U71" s="30">
        <f t="shared" si="84"/>
        <v>-3.3783783783783786E-3</v>
      </c>
      <c r="V71" s="30">
        <f t="shared" si="85"/>
        <v>-0.68907563025210083</v>
      </c>
      <c r="W71" s="30">
        <f t="shared" si="86"/>
        <v>4.666666666666667</v>
      </c>
      <c r="X71" s="30">
        <f t="shared" si="87"/>
        <v>-0.73205741626794263</v>
      </c>
    </row>
    <row r="72" spans="1:24" x14ac:dyDescent="0.25">
      <c r="A72" s="2" t="s">
        <v>57</v>
      </c>
      <c r="B72" s="6">
        <f>+B69-B70-B71</f>
        <v>2966</v>
      </c>
      <c r="C72" s="6">
        <f t="shared" ref="C72:G72" si="90">+C69-C70-C71</f>
        <v>1708</v>
      </c>
      <c r="D72" s="6">
        <f t="shared" si="90"/>
        <v>1030</v>
      </c>
      <c r="E72" s="6">
        <f t="shared" si="90"/>
        <v>2661</v>
      </c>
      <c r="F72" s="6">
        <f t="shared" si="90"/>
        <v>-11321</v>
      </c>
      <c r="G72" s="6">
        <f t="shared" si="90"/>
        <v>5450</v>
      </c>
      <c r="H72" s="6">
        <f t="shared" si="66"/>
        <v>2494</v>
      </c>
      <c r="J72" s="28">
        <f t="shared" si="63"/>
        <v>0.11198791768925807</v>
      </c>
      <c r="K72" s="28">
        <f t="shared" si="77"/>
        <v>6.5586360494585674E-2</v>
      </c>
      <c r="L72" s="28">
        <f t="shared" si="78"/>
        <v>3.9335497422188274E-2</v>
      </c>
      <c r="M72" s="28">
        <f t="shared" si="79"/>
        <v>0.10653801497377588</v>
      </c>
      <c r="N72" s="28">
        <f t="shared" si="80"/>
        <v>-0.43098066088015835</v>
      </c>
      <c r="O72" s="28">
        <f t="shared" si="81"/>
        <v>0.2090044485350514</v>
      </c>
      <c r="P72" s="28">
        <f t="shared" si="82"/>
        <v>1.598379829907776E-2</v>
      </c>
      <c r="R72" s="28">
        <f t="shared" si="60"/>
        <v>-0.11456858041064177</v>
      </c>
      <c r="S72" s="28">
        <f t="shared" si="61"/>
        <v>-0.7060877399039478</v>
      </c>
      <c r="T72" s="28">
        <f t="shared" si="83"/>
        <v>0.7365339578454333</v>
      </c>
      <c r="U72" s="28">
        <f t="shared" si="84"/>
        <v>0.65825242718446597</v>
      </c>
      <c r="V72" s="28">
        <f t="shared" si="85"/>
        <v>-0.61292747087561072</v>
      </c>
      <c r="W72" s="28">
        <f t="shared" si="86"/>
        <v>-1.2350499072520096</v>
      </c>
      <c r="X72" s="28">
        <f t="shared" si="87"/>
        <v>-3.0772477064220185</v>
      </c>
    </row>
    <row r="73" spans="1:24" x14ac:dyDescent="0.25">
      <c r="A73" s="5" t="s">
        <v>58</v>
      </c>
      <c r="B73" s="2">
        <v>598</v>
      </c>
      <c r="C73" s="2">
        <v>684</v>
      </c>
      <c r="D73" s="2">
        <v>669</v>
      </c>
      <c r="E73" s="2">
        <v>728</v>
      </c>
      <c r="F73" s="2">
        <v>-1067</v>
      </c>
      <c r="G73" s="2">
        <v>-5482</v>
      </c>
      <c r="H73" s="2">
        <f t="shared" si="66"/>
        <v>-3870</v>
      </c>
      <c r="J73" s="30">
        <f t="shared" si="63"/>
        <v>2.2578818198980555E-2</v>
      </c>
      <c r="K73" s="30">
        <f t="shared" si="77"/>
        <v>2.6265263804623303E-2</v>
      </c>
      <c r="L73" s="30">
        <f t="shared" si="78"/>
        <v>2.5548978422761121E-2</v>
      </c>
      <c r="M73" s="30">
        <f t="shared" si="79"/>
        <v>2.9146815069864274E-2</v>
      </c>
      <c r="N73" s="30">
        <f t="shared" si="80"/>
        <v>-4.0619765494137351E-2</v>
      </c>
      <c r="O73" s="30">
        <f t="shared" si="81"/>
        <v>-0.21023163061819297</v>
      </c>
      <c r="P73" s="30">
        <f t="shared" si="82"/>
        <v>-2.480244563649997E-2</v>
      </c>
      <c r="Q73" s="31"/>
      <c r="R73" s="30" t="e">
        <f t="shared" si="60"/>
        <v>#NUM!</v>
      </c>
      <c r="S73" s="30">
        <f t="shared" si="61"/>
        <v>-0.53440064342280214</v>
      </c>
      <c r="T73" s="30">
        <f t="shared" si="83"/>
        <v>-0.12573099415204678</v>
      </c>
      <c r="U73" s="30">
        <f t="shared" si="84"/>
        <v>2.2421524663677129E-2</v>
      </c>
      <c r="V73" s="30">
        <f t="shared" si="85"/>
        <v>-8.1043956043956047E-2</v>
      </c>
      <c r="W73" s="30">
        <f t="shared" si="86"/>
        <v>-1.6822867853795689</v>
      </c>
      <c r="X73" s="30">
        <f t="shared" si="87"/>
        <v>-0.80536300620211598</v>
      </c>
    </row>
    <row r="74" spans="1:24" x14ac:dyDescent="0.25">
      <c r="A74" s="2" t="s">
        <v>61</v>
      </c>
      <c r="B74" s="6">
        <f>+B72-B73</f>
        <v>2368</v>
      </c>
      <c r="C74" s="6">
        <f t="shared" ref="C74:G74" si="91">+C72-C73</f>
        <v>1024</v>
      </c>
      <c r="D74" s="6">
        <f t="shared" si="91"/>
        <v>361</v>
      </c>
      <c r="E74" s="6">
        <f t="shared" si="91"/>
        <v>1933</v>
      </c>
      <c r="F74" s="6">
        <f t="shared" si="91"/>
        <v>-10254</v>
      </c>
      <c r="G74" s="6">
        <f t="shared" si="91"/>
        <v>10932</v>
      </c>
      <c r="H74" s="6">
        <f t="shared" si="66"/>
        <v>6364</v>
      </c>
      <c r="J74" s="28">
        <f t="shared" si="63"/>
        <v>8.9409099490277519E-2</v>
      </c>
      <c r="K74" s="28">
        <f t="shared" si="77"/>
        <v>3.9321096689962372E-2</v>
      </c>
      <c r="L74" s="28">
        <f t="shared" si="78"/>
        <v>1.3786518999427153E-2</v>
      </c>
      <c r="M74" s="28">
        <f t="shared" si="79"/>
        <v>7.7391199903911592E-2</v>
      </c>
      <c r="N74" s="28">
        <f t="shared" si="80"/>
        <v>-0.39036089538602103</v>
      </c>
      <c r="O74" s="28">
        <f t="shared" si="81"/>
        <v>0.41923607915324435</v>
      </c>
      <c r="P74" s="28">
        <f t="shared" si="82"/>
        <v>4.0786243935577733E-2</v>
      </c>
      <c r="R74" s="28">
        <f t="shared" si="60"/>
        <v>-0.26356161826246205</v>
      </c>
      <c r="S74" s="28">
        <f t="shared" si="61"/>
        <v>-0.15813412150269723</v>
      </c>
      <c r="T74" s="28">
        <f t="shared" si="83"/>
        <v>1.3125</v>
      </c>
      <c r="U74" s="28">
        <f t="shared" si="84"/>
        <v>1.8365650969529086</v>
      </c>
      <c r="V74" s="28">
        <f t="shared" si="85"/>
        <v>-0.81324366270046555</v>
      </c>
      <c r="W74" s="28">
        <f t="shared" si="86"/>
        <v>-1.1885118002730641</v>
      </c>
      <c r="X74" s="28">
        <f t="shared" si="87"/>
        <v>-1.9379802414928651</v>
      </c>
    </row>
    <row r="75" spans="1:24" x14ac:dyDescent="0.25">
      <c r="A75" s="5" t="s">
        <v>38</v>
      </c>
      <c r="B75" s="2">
        <v>5</v>
      </c>
      <c r="C75" s="2">
        <v>12</v>
      </c>
      <c r="D75" s="2">
        <v>5</v>
      </c>
      <c r="E75" s="2">
        <v>-2</v>
      </c>
      <c r="F75" s="2">
        <v>-62</v>
      </c>
      <c r="G75" s="2">
        <v>-9</v>
      </c>
      <c r="H75" s="2">
        <f t="shared" si="66"/>
        <v>-51</v>
      </c>
      <c r="J75" s="28">
        <f t="shared" si="63"/>
        <v>1.8878610534264677E-4</v>
      </c>
      <c r="K75" s="28">
        <f t="shared" si="77"/>
        <v>4.6079410183549652E-4</v>
      </c>
      <c r="L75" s="28">
        <f t="shared" si="78"/>
        <v>1.9094901661256445E-4</v>
      </c>
      <c r="M75" s="28">
        <f t="shared" si="79"/>
        <v>-8.0073667774352406E-5</v>
      </c>
      <c r="N75" s="28">
        <f t="shared" si="80"/>
        <v>-2.3602862798842699E-3</v>
      </c>
      <c r="O75" s="28">
        <f t="shared" si="81"/>
        <v>-3.4514496088357109E-4</v>
      </c>
      <c r="P75" s="28">
        <f t="shared" si="82"/>
        <v>-3.2685393474457324E-4</v>
      </c>
      <c r="R75" s="28" t="e">
        <f t="shared" si="60"/>
        <v>#NUM!</v>
      </c>
      <c r="S75" s="28">
        <f t="shared" si="61"/>
        <v>0.44756272401433694</v>
      </c>
      <c r="T75" s="28">
        <f t="shared" si="83"/>
        <v>-0.58333333333333337</v>
      </c>
      <c r="U75" s="28">
        <f t="shared" si="84"/>
        <v>1.4</v>
      </c>
      <c r="V75" s="28">
        <f t="shared" si="85"/>
        <v>-3.5</v>
      </c>
      <c r="W75" s="28">
        <f t="shared" si="86"/>
        <v>-0.967741935483871</v>
      </c>
      <c r="X75" s="28">
        <f t="shared" si="87"/>
        <v>5.8888888888888893</v>
      </c>
    </row>
    <row r="76" spans="1:24" ht="15.75" thickBot="1" x14ac:dyDescent="0.3">
      <c r="A76" s="2" t="s">
        <v>60</v>
      </c>
      <c r="B76" s="9">
        <f>+B74-B75</f>
        <v>2363</v>
      </c>
      <c r="C76" s="9">
        <f t="shared" ref="C76:G76" si="92">+C74-C75</f>
        <v>1012</v>
      </c>
      <c r="D76" s="9">
        <f t="shared" si="92"/>
        <v>356</v>
      </c>
      <c r="E76" s="9">
        <f t="shared" si="92"/>
        <v>1935</v>
      </c>
      <c r="F76" s="9">
        <f t="shared" si="92"/>
        <v>-10192</v>
      </c>
      <c r="G76" s="9">
        <f t="shared" si="92"/>
        <v>10941</v>
      </c>
      <c r="H76" s="9">
        <f t="shared" si="66"/>
        <v>6415</v>
      </c>
      <c r="J76" s="32">
        <f t="shared" si="63"/>
        <v>8.9220313384934871E-2</v>
      </c>
      <c r="K76" s="32">
        <f t="shared" si="77"/>
        <v>3.8860302588126873E-2</v>
      </c>
      <c r="L76" s="32">
        <f t="shared" si="78"/>
        <v>1.3595569982814588E-2</v>
      </c>
      <c r="M76" s="32">
        <f t="shared" si="79"/>
        <v>7.7471273571685956E-2</v>
      </c>
      <c r="N76" s="32">
        <f t="shared" si="80"/>
        <v>-0.38800060910613676</v>
      </c>
      <c r="O76" s="32">
        <f t="shared" si="81"/>
        <v>0.41958122411412796</v>
      </c>
      <c r="P76" s="32">
        <f t="shared" si="82"/>
        <v>4.1113097870322302E-2</v>
      </c>
      <c r="Q76" s="11"/>
      <c r="R76" s="32">
        <f t="shared" si="60"/>
        <v>-0.26399402380581244</v>
      </c>
      <c r="S76" s="32">
        <f t="shared" si="61"/>
        <v>-0.15194810002519135</v>
      </c>
      <c r="T76" s="32">
        <f t="shared" si="83"/>
        <v>1.3349802371541502</v>
      </c>
      <c r="U76" s="32">
        <f t="shared" si="84"/>
        <v>1.8426966292134832</v>
      </c>
      <c r="V76" s="32">
        <f t="shared" si="85"/>
        <v>-0.81602067183462534</v>
      </c>
      <c r="W76" s="32">
        <f t="shared" si="86"/>
        <v>-1.1898547880690737</v>
      </c>
      <c r="X76" s="32">
        <f t="shared" si="87"/>
        <v>-1.9315419065898913</v>
      </c>
    </row>
    <row r="77" spans="1:24" ht="15.75" thickTop="1" x14ac:dyDescent="0.25">
      <c r="B77" s="2">
        <f>+B76-'Phase 2'!B70</f>
        <v>0</v>
      </c>
      <c r="C77" s="2">
        <f>+C76-'Phase 2'!C70</f>
        <v>0</v>
      </c>
      <c r="D77" s="2">
        <f>+D76-'Phase 2'!D70</f>
        <v>0</v>
      </c>
      <c r="E77" s="2">
        <f>+E76-'Phase 2'!E70</f>
        <v>0</v>
      </c>
      <c r="F77" s="2">
        <f>+F76-'Phase 2'!F70</f>
        <v>0</v>
      </c>
      <c r="G77" s="2">
        <f>+G76-'Phase 2'!G70</f>
        <v>0</v>
      </c>
      <c r="J77" s="28"/>
      <c r="K77" s="28"/>
      <c r="L77" s="28"/>
      <c r="M77" s="28"/>
      <c r="N77" s="28"/>
      <c r="O77" s="28"/>
      <c r="P77" s="28"/>
      <c r="R77" s="28"/>
      <c r="S77" s="28"/>
      <c r="T77" s="28"/>
      <c r="U77" s="28"/>
      <c r="V77" s="28"/>
      <c r="W77" s="28"/>
      <c r="X77" s="28"/>
    </row>
    <row r="78" spans="1:24" x14ac:dyDescent="0.25">
      <c r="A78" s="2" t="s">
        <v>62</v>
      </c>
      <c r="B78" s="21">
        <v>1235</v>
      </c>
      <c r="C78" s="21">
        <v>1236</v>
      </c>
      <c r="D78" s="21">
        <v>1228</v>
      </c>
      <c r="E78" s="21">
        <v>1224</v>
      </c>
      <c r="F78" s="21">
        <v>1219</v>
      </c>
      <c r="G78" s="21">
        <v>1228</v>
      </c>
      <c r="H78" s="21"/>
      <c r="J78" s="28"/>
      <c r="K78" s="28"/>
      <c r="L78" s="28"/>
      <c r="M78" s="28"/>
      <c r="N78" s="28"/>
      <c r="O78" s="28"/>
      <c r="P78" s="28"/>
      <c r="R78" s="28">
        <f t="shared" si="60"/>
        <v>1.1374745049678259E-3</v>
      </c>
      <c r="S78" s="28">
        <f t="shared" si="61"/>
        <v>1.1492605687045796E-3</v>
      </c>
      <c r="T78" s="28">
        <f t="shared" ref="T78:X80" si="93">(+B78-C78)/C78</f>
        <v>-8.090614886731392E-4</v>
      </c>
      <c r="U78" s="28">
        <f t="shared" si="93"/>
        <v>6.5146579804560263E-3</v>
      </c>
      <c r="V78" s="28">
        <f t="shared" si="93"/>
        <v>3.2679738562091504E-3</v>
      </c>
      <c r="W78" s="28">
        <f t="shared" si="93"/>
        <v>4.1017227235438884E-3</v>
      </c>
      <c r="X78" s="28">
        <f t="shared" si="93"/>
        <v>-7.3289902280130291E-3</v>
      </c>
    </row>
    <row r="79" spans="1:24" x14ac:dyDescent="0.25">
      <c r="A79" s="2" t="s">
        <v>63</v>
      </c>
      <c r="B79" s="7">
        <f>+B76/B78</f>
        <v>1.9133603238866397</v>
      </c>
      <c r="C79" s="7">
        <f t="shared" ref="C79:G79" si="94">+C76/C78</f>
        <v>0.81877022653721687</v>
      </c>
      <c r="D79" s="7">
        <f t="shared" si="94"/>
        <v>0.28990228013029318</v>
      </c>
      <c r="E79" s="7">
        <f t="shared" si="94"/>
        <v>1.5808823529411764</v>
      </c>
      <c r="F79" s="7">
        <f t="shared" si="94"/>
        <v>-8.3609515996718624</v>
      </c>
      <c r="G79" s="7">
        <f t="shared" si="94"/>
        <v>8.9096091205211732</v>
      </c>
      <c r="H79" s="7"/>
      <c r="J79" s="28"/>
      <c r="K79" s="28"/>
      <c r="L79" s="28"/>
      <c r="M79" s="28"/>
      <c r="N79" s="28"/>
      <c r="O79" s="28"/>
      <c r="P79" s="28"/>
      <c r="R79" s="28">
        <f t="shared" si="60"/>
        <v>-0.26483026064109128</v>
      </c>
      <c r="S79" s="28">
        <f t="shared" si="61"/>
        <v>-0.15659011145761975</v>
      </c>
      <c r="T79" s="28">
        <f t="shared" si="93"/>
        <v>1.3368709094109552</v>
      </c>
      <c r="U79" s="28">
        <f t="shared" si="93"/>
        <v>1.8242972982800625</v>
      </c>
      <c r="V79" s="28">
        <f t="shared" si="93"/>
        <v>-0.81661995303386115</v>
      </c>
      <c r="W79" s="28">
        <f t="shared" si="93"/>
        <v>-1.1890792374642163</v>
      </c>
      <c r="X79" s="28">
        <f t="shared" si="93"/>
        <v>-1.9384195744810389</v>
      </c>
    </row>
    <row r="80" spans="1:24" x14ac:dyDescent="0.25">
      <c r="A80" s="2" t="s">
        <v>120</v>
      </c>
      <c r="B80" s="27">
        <v>1.6</v>
      </c>
      <c r="C80" s="27">
        <v>1.6</v>
      </c>
      <c r="D80" s="27">
        <v>1.6</v>
      </c>
      <c r="E80" s="27">
        <v>1.6</v>
      </c>
      <c r="F80" s="27">
        <v>2.5</v>
      </c>
      <c r="G80" s="27">
        <v>2.4500000000000002</v>
      </c>
      <c r="H80" s="27"/>
      <c r="J80" s="28"/>
      <c r="K80" s="28"/>
      <c r="L80" s="28"/>
      <c r="M80" s="28"/>
      <c r="N80" s="28"/>
      <c r="O80" s="28"/>
      <c r="P80" s="28"/>
      <c r="R80" s="28">
        <f t="shared" si="60"/>
        <v>-8.1686900081131844E-2</v>
      </c>
      <c r="S80" s="28">
        <f t="shared" si="61"/>
        <v>-6.7918367346938791E-2</v>
      </c>
      <c r="T80" s="28">
        <f t="shared" si="93"/>
        <v>0</v>
      </c>
      <c r="U80" s="28">
        <f t="shared" si="93"/>
        <v>0</v>
      </c>
      <c r="V80" s="28">
        <f t="shared" si="93"/>
        <v>0</v>
      </c>
      <c r="W80" s="28">
        <f t="shared" si="93"/>
        <v>-0.36</v>
      </c>
      <c r="X80" s="28">
        <f t="shared" si="93"/>
        <v>2.0408163265306048E-2</v>
      </c>
    </row>
    <row r="81" spans="1:24" x14ac:dyDescent="0.25">
      <c r="B81" s="7"/>
      <c r="C81" s="7"/>
      <c r="D81" s="7"/>
      <c r="E81" s="7"/>
      <c r="F81" s="7"/>
      <c r="G81" s="7"/>
      <c r="H81" s="7"/>
      <c r="J81" s="28"/>
      <c r="K81" s="28"/>
      <c r="L81" s="28"/>
      <c r="M81" s="28"/>
      <c r="N81" s="28"/>
      <c r="O81" s="28"/>
      <c r="P81" s="28"/>
      <c r="R81" s="28"/>
      <c r="S81" s="28"/>
      <c r="T81" s="28"/>
      <c r="U81" s="28"/>
      <c r="V81" s="28"/>
      <c r="W81" s="28"/>
      <c r="X81" s="28"/>
    </row>
    <row r="82" spans="1:24" x14ac:dyDescent="0.25">
      <c r="A82" s="2" t="s">
        <v>191</v>
      </c>
      <c r="B82" s="28">
        <f>+B73/B72</f>
        <v>0.20161834120026972</v>
      </c>
      <c r="C82" s="28">
        <f t="shared" ref="C82:H82" si="95">+C73/C72</f>
        <v>0.40046838407494145</v>
      </c>
      <c r="D82" s="28">
        <f t="shared" si="95"/>
        <v>0.64951456310679612</v>
      </c>
      <c r="E82" s="28">
        <f t="shared" si="95"/>
        <v>0.27358136039083053</v>
      </c>
      <c r="F82" s="28">
        <f t="shared" si="95"/>
        <v>9.4249624591467185E-2</v>
      </c>
      <c r="G82" s="28">
        <f t="shared" si="95"/>
        <v>-1.0058715596330274</v>
      </c>
      <c r="H82" s="28">
        <f t="shared" si="95"/>
        <v>-1.5517241379310345</v>
      </c>
      <c r="J82" s="28"/>
      <c r="K82" s="28"/>
      <c r="L82" s="28"/>
      <c r="M82" s="28"/>
      <c r="N82" s="28"/>
      <c r="O82" s="28"/>
      <c r="P82" s="28"/>
      <c r="R82" s="28"/>
      <c r="S82" s="28"/>
      <c r="T82" s="28"/>
      <c r="U82" s="28"/>
      <c r="V82" s="28"/>
      <c r="W82" s="28"/>
      <c r="X82" s="28"/>
    </row>
    <row r="83" spans="1:24" x14ac:dyDescent="0.25">
      <c r="B83" s="7"/>
      <c r="C83" s="7"/>
      <c r="D83" s="7"/>
      <c r="E83" s="7"/>
      <c r="F83" s="7"/>
      <c r="G83" s="7"/>
      <c r="H83" s="7"/>
      <c r="J83" s="28"/>
      <c r="K83" s="28"/>
      <c r="L83" s="28"/>
      <c r="M83" s="28"/>
      <c r="N83" s="28"/>
      <c r="O83" s="28"/>
      <c r="P83" s="28"/>
      <c r="R83" s="28"/>
      <c r="S83" s="28"/>
      <c r="T83" s="28"/>
      <c r="U83" s="28"/>
      <c r="V83" s="28"/>
      <c r="W83" s="28"/>
      <c r="X83" s="28"/>
    </row>
    <row r="84" spans="1:24" x14ac:dyDescent="0.25">
      <c r="A84" s="18" t="s">
        <v>172</v>
      </c>
      <c r="J84" s="28"/>
      <c r="K84" s="28"/>
      <c r="L84" s="28"/>
      <c r="M84" s="28"/>
      <c r="N84" s="28"/>
      <c r="O84" s="28"/>
      <c r="P84" s="28"/>
      <c r="R84" s="28"/>
      <c r="S84" s="28"/>
      <c r="T84" s="28"/>
      <c r="U84" s="28"/>
      <c r="V84" s="28"/>
      <c r="W84" s="28"/>
      <c r="X84" s="28"/>
    </row>
    <row r="85" spans="1:24" x14ac:dyDescent="0.25">
      <c r="A85" s="2" t="s">
        <v>59</v>
      </c>
      <c r="B85" s="8">
        <f>+B76</f>
        <v>2363</v>
      </c>
      <c r="C85" s="8">
        <f t="shared" ref="C85:G85" si="96">+C76</f>
        <v>1012</v>
      </c>
      <c r="D85" s="8">
        <f t="shared" si="96"/>
        <v>356</v>
      </c>
      <c r="E85" s="8">
        <f t="shared" si="96"/>
        <v>1935</v>
      </c>
      <c r="F85" s="8">
        <f t="shared" si="96"/>
        <v>-10192</v>
      </c>
      <c r="G85" s="8">
        <f t="shared" si="96"/>
        <v>10941</v>
      </c>
      <c r="J85" s="28"/>
      <c r="K85" s="28"/>
      <c r="L85" s="28"/>
      <c r="M85" s="28"/>
      <c r="N85" s="28"/>
      <c r="O85" s="28"/>
      <c r="P85" s="28"/>
      <c r="R85" s="28"/>
      <c r="S85" s="28"/>
      <c r="T85" s="28"/>
      <c r="U85" s="28"/>
      <c r="V85" s="28"/>
      <c r="W85" s="28"/>
      <c r="X85" s="28"/>
    </row>
    <row r="86" spans="1:24" x14ac:dyDescent="0.25">
      <c r="A86" s="5" t="s">
        <v>173</v>
      </c>
      <c r="B86" s="2">
        <f>+B73</f>
        <v>598</v>
      </c>
      <c r="C86" s="2">
        <f t="shared" ref="C86:G86" si="97">+C73</f>
        <v>684</v>
      </c>
      <c r="D86" s="2">
        <f t="shared" si="97"/>
        <v>669</v>
      </c>
      <c r="E86" s="2">
        <f t="shared" si="97"/>
        <v>728</v>
      </c>
      <c r="F86" s="2">
        <f t="shared" si="97"/>
        <v>-1067</v>
      </c>
      <c r="G86" s="2">
        <f t="shared" si="97"/>
        <v>-5482</v>
      </c>
      <c r="J86" s="28"/>
      <c r="K86" s="28"/>
      <c r="L86" s="28"/>
      <c r="M86" s="28"/>
      <c r="N86" s="28"/>
      <c r="O86" s="28"/>
      <c r="P86" s="28"/>
      <c r="R86" s="28"/>
      <c r="S86" s="28"/>
      <c r="T86" s="28"/>
      <c r="U86" s="28"/>
      <c r="V86" s="28"/>
      <c r="W86" s="28"/>
      <c r="X86" s="28"/>
    </row>
    <row r="87" spans="1:24" x14ac:dyDescent="0.25">
      <c r="A87" s="5" t="s">
        <v>174</v>
      </c>
      <c r="B87" s="31">
        <f>+B70</f>
        <v>921</v>
      </c>
      <c r="C87" s="31">
        <f t="shared" ref="C87:G87" si="98">+C70</f>
        <v>2047</v>
      </c>
      <c r="D87" s="31">
        <f t="shared" si="98"/>
        <v>1394</v>
      </c>
      <c r="E87" s="31">
        <f t="shared" si="98"/>
        <v>1361</v>
      </c>
      <c r="F87" s="31">
        <f t="shared" si="98"/>
        <v>1284</v>
      </c>
      <c r="G87" s="31">
        <f t="shared" si="98"/>
        <v>1234</v>
      </c>
      <c r="J87" s="28"/>
      <c r="K87" s="28"/>
      <c r="L87" s="28"/>
      <c r="M87" s="28"/>
      <c r="N87" s="28"/>
      <c r="O87" s="28"/>
      <c r="P87" s="28"/>
      <c r="R87" s="28"/>
      <c r="S87" s="28"/>
      <c r="T87" s="28"/>
      <c r="U87" s="28"/>
      <c r="V87" s="28"/>
      <c r="W87" s="28"/>
      <c r="X87" s="28"/>
    </row>
    <row r="88" spans="1:24" x14ac:dyDescent="0.25">
      <c r="A88" s="2" t="s">
        <v>175</v>
      </c>
      <c r="B88" s="2">
        <f>SUM(B85:B87)</f>
        <v>3882</v>
      </c>
      <c r="C88" s="2">
        <f t="shared" ref="C88:G88" si="99">SUM(C85:C87)</f>
        <v>3743</v>
      </c>
      <c r="D88" s="2">
        <f t="shared" si="99"/>
        <v>2419</v>
      </c>
      <c r="E88" s="2">
        <f t="shared" si="99"/>
        <v>4024</v>
      </c>
      <c r="F88" s="2">
        <f t="shared" si="99"/>
        <v>-9975</v>
      </c>
      <c r="G88" s="2">
        <f t="shared" si="99"/>
        <v>6693</v>
      </c>
      <c r="J88" s="28"/>
      <c r="K88" s="28"/>
      <c r="L88" s="28"/>
      <c r="M88" s="28"/>
      <c r="N88" s="28"/>
      <c r="O88" s="28"/>
      <c r="P88" s="28"/>
      <c r="R88" s="28"/>
      <c r="S88" s="28"/>
      <c r="T88" s="28"/>
      <c r="U88" s="28"/>
      <c r="V88" s="28"/>
      <c r="W88" s="28"/>
      <c r="X88" s="28"/>
    </row>
    <row r="89" spans="1:24" x14ac:dyDescent="0.25">
      <c r="A89" s="5" t="s">
        <v>176</v>
      </c>
      <c r="B89" s="2">
        <f>+B102</f>
        <v>933</v>
      </c>
      <c r="C89" s="2">
        <f t="shared" ref="C89:G89" si="100">+C102</f>
        <v>910</v>
      </c>
      <c r="D89" s="2">
        <f t="shared" si="100"/>
        <v>969</v>
      </c>
      <c r="E89" s="2">
        <f t="shared" si="100"/>
        <v>994</v>
      </c>
      <c r="F89" s="2">
        <f t="shared" si="100"/>
        <v>983</v>
      </c>
      <c r="G89" s="2">
        <f t="shared" si="100"/>
        <v>1031</v>
      </c>
      <c r="J89" s="28"/>
      <c r="K89" s="28"/>
      <c r="L89" s="28"/>
      <c r="M89" s="28"/>
      <c r="N89" s="28"/>
      <c r="O89" s="28"/>
      <c r="P89" s="28"/>
      <c r="R89" s="28"/>
      <c r="S89" s="28"/>
      <c r="T89" s="28"/>
      <c r="U89" s="28"/>
      <c r="V89" s="28"/>
      <c r="W89" s="28"/>
      <c r="X89" s="28"/>
    </row>
    <row r="90" spans="1:24" ht="15.75" thickBot="1" x14ac:dyDescent="0.3">
      <c r="A90" s="2" t="s">
        <v>177</v>
      </c>
      <c r="B90" s="9">
        <f>+B89+B88</f>
        <v>4815</v>
      </c>
      <c r="C90" s="9">
        <f t="shared" ref="C90:G90" si="101">+C89+C88</f>
        <v>4653</v>
      </c>
      <c r="D90" s="9">
        <f t="shared" si="101"/>
        <v>3388</v>
      </c>
      <c r="E90" s="9">
        <f t="shared" si="101"/>
        <v>5018</v>
      </c>
      <c r="F90" s="9">
        <f t="shared" si="101"/>
        <v>-8992</v>
      </c>
      <c r="G90" s="9">
        <f t="shared" si="101"/>
        <v>7724</v>
      </c>
      <c r="J90" s="28"/>
      <c r="K90" s="28"/>
      <c r="L90" s="28"/>
      <c r="M90" s="28"/>
      <c r="N90" s="28"/>
      <c r="O90" s="28"/>
      <c r="P90" s="28"/>
      <c r="R90" s="28"/>
      <c r="S90" s="28"/>
      <c r="T90" s="28"/>
      <c r="U90" s="28"/>
      <c r="V90" s="28"/>
      <c r="W90" s="28"/>
      <c r="X90" s="28"/>
    </row>
    <row r="91" spans="1:24" ht="15.75" thickTop="1" x14ac:dyDescent="0.25">
      <c r="J91" s="28"/>
      <c r="K91" s="28"/>
      <c r="L91" s="28"/>
      <c r="M91" s="28"/>
      <c r="N91" s="28"/>
      <c r="O91" s="28"/>
      <c r="P91" s="28"/>
      <c r="R91" s="28"/>
      <c r="S91" s="28"/>
      <c r="T91" s="28"/>
      <c r="U91" s="28"/>
      <c r="V91" s="28"/>
      <c r="W91" s="28"/>
      <c r="X91" s="28"/>
    </row>
    <row r="92" spans="1:24" x14ac:dyDescent="0.25">
      <c r="A92" s="2" t="s">
        <v>178</v>
      </c>
      <c r="B92" s="8">
        <f>+B69</f>
        <v>3634</v>
      </c>
      <c r="C92" s="8">
        <f t="shared" ref="C92:G92" si="102">+C69</f>
        <v>3460</v>
      </c>
      <c r="D92" s="8">
        <f t="shared" si="102"/>
        <v>2128</v>
      </c>
      <c r="E92" s="8">
        <f t="shared" si="102"/>
        <v>3070</v>
      </c>
      <c r="F92" s="8">
        <f t="shared" si="102"/>
        <v>-10205</v>
      </c>
      <c r="G92" s="8">
        <f t="shared" si="102"/>
        <v>6057</v>
      </c>
      <c r="J92" s="28"/>
      <c r="K92" s="28"/>
      <c r="L92" s="28"/>
      <c r="M92" s="28"/>
      <c r="N92" s="28"/>
      <c r="O92" s="28"/>
      <c r="P92" s="28"/>
      <c r="R92" s="28"/>
      <c r="S92" s="28"/>
      <c r="T92" s="28"/>
      <c r="U92" s="28"/>
      <c r="V92" s="28"/>
      <c r="W92" s="28"/>
      <c r="X92" s="28"/>
    </row>
    <row r="93" spans="1:24" x14ac:dyDescent="0.25">
      <c r="A93" s="5" t="s">
        <v>179</v>
      </c>
      <c r="B93" s="2">
        <f>-B71</f>
        <v>253</v>
      </c>
      <c r="C93" s="2">
        <f t="shared" ref="C93:G93" si="103">-C71</f>
        <v>295</v>
      </c>
      <c r="D93" s="2">
        <f t="shared" si="103"/>
        <v>296</v>
      </c>
      <c r="E93" s="2">
        <f t="shared" si="103"/>
        <v>952</v>
      </c>
      <c r="F93" s="2">
        <f t="shared" si="103"/>
        <v>168</v>
      </c>
      <c r="G93" s="2">
        <f t="shared" si="103"/>
        <v>627</v>
      </c>
      <c r="J93" s="28"/>
      <c r="K93" s="28"/>
      <c r="L93" s="28"/>
      <c r="M93" s="28"/>
      <c r="N93" s="28"/>
      <c r="O93" s="28"/>
      <c r="P93" s="28"/>
      <c r="R93" s="28"/>
      <c r="S93" s="28"/>
      <c r="T93" s="28"/>
      <c r="U93" s="28"/>
      <c r="V93" s="28"/>
      <c r="W93" s="28"/>
      <c r="X93" s="28"/>
    </row>
    <row r="94" spans="1:24" x14ac:dyDescent="0.25">
      <c r="A94" s="5" t="s">
        <v>38</v>
      </c>
      <c r="B94" s="2">
        <f>-B75</f>
        <v>-5</v>
      </c>
      <c r="C94" s="2">
        <f t="shared" ref="C94:G94" si="104">-C75</f>
        <v>-12</v>
      </c>
      <c r="D94" s="2">
        <f t="shared" si="104"/>
        <v>-5</v>
      </c>
      <c r="E94" s="2">
        <f t="shared" si="104"/>
        <v>2</v>
      </c>
      <c r="F94" s="2">
        <f t="shared" si="104"/>
        <v>62</v>
      </c>
      <c r="G94" s="2">
        <f t="shared" si="104"/>
        <v>9</v>
      </c>
      <c r="J94" s="28"/>
      <c r="K94" s="28"/>
      <c r="L94" s="28"/>
      <c r="M94" s="28"/>
      <c r="N94" s="28"/>
      <c r="O94" s="28"/>
      <c r="P94" s="28"/>
      <c r="R94" s="28"/>
      <c r="S94" s="28"/>
      <c r="T94" s="28"/>
      <c r="U94" s="28"/>
      <c r="V94" s="28"/>
      <c r="W94" s="28"/>
      <c r="X94" s="28"/>
    </row>
    <row r="95" spans="1:24" ht="15.75" thickBot="1" x14ac:dyDescent="0.3">
      <c r="A95" s="2" t="s">
        <v>175</v>
      </c>
      <c r="B95" s="9">
        <f>+SUM(B92:B94)</f>
        <v>3882</v>
      </c>
      <c r="C95" s="9">
        <f t="shared" ref="C95:G95" si="105">+SUM(C92:C94)</f>
        <v>3743</v>
      </c>
      <c r="D95" s="9">
        <f t="shared" si="105"/>
        <v>2419</v>
      </c>
      <c r="E95" s="9">
        <f t="shared" si="105"/>
        <v>4024</v>
      </c>
      <c r="F95" s="9">
        <f t="shared" si="105"/>
        <v>-9975</v>
      </c>
      <c r="G95" s="9">
        <f t="shared" si="105"/>
        <v>6693</v>
      </c>
      <c r="J95" s="28"/>
      <c r="K95" s="28"/>
      <c r="L95" s="28"/>
      <c r="M95" s="28"/>
      <c r="N95" s="28"/>
      <c r="O95" s="28"/>
      <c r="P95" s="28"/>
      <c r="R95" s="28"/>
      <c r="S95" s="28"/>
      <c r="T95" s="28"/>
      <c r="U95" s="28"/>
      <c r="V95" s="28"/>
      <c r="W95" s="28"/>
      <c r="X95" s="28"/>
    </row>
    <row r="96" spans="1:24" ht="15.75" thickTop="1" x14ac:dyDescent="0.25">
      <c r="J96" s="28"/>
      <c r="K96" s="28"/>
      <c r="L96" s="28"/>
      <c r="M96" s="28"/>
      <c r="N96" s="28"/>
      <c r="O96" s="28"/>
      <c r="P96" s="28"/>
      <c r="R96" s="28"/>
      <c r="S96" s="28"/>
      <c r="T96" s="28"/>
      <c r="U96" s="28"/>
      <c r="V96" s="28"/>
      <c r="W96" s="28"/>
      <c r="X96" s="28"/>
    </row>
    <row r="97" spans="1:24" s="15" customFormat="1" x14ac:dyDescent="0.25">
      <c r="A97" s="15" t="str">
        <f>+A1</f>
        <v>Kraft Heinz Company</v>
      </c>
      <c r="B97" s="15" t="str">
        <f>+B1</f>
        <v>Reclassified</v>
      </c>
      <c r="J97" s="15" t="str">
        <f>+B97</f>
        <v>Reclassified</v>
      </c>
      <c r="R97" s="15" t="str">
        <f>+B97</f>
        <v>Reclassified</v>
      </c>
    </row>
    <row r="98" spans="1:24" s="15" customFormat="1" x14ac:dyDescent="0.25">
      <c r="A98" s="15" t="s">
        <v>64</v>
      </c>
      <c r="J98" s="15" t="s">
        <v>138</v>
      </c>
      <c r="R98" s="15" t="s">
        <v>131</v>
      </c>
    </row>
    <row r="99" spans="1:24" s="15" customFormat="1" x14ac:dyDescent="0.25">
      <c r="A99" s="15" t="str">
        <f>+A3</f>
        <v>in millions except per share data</v>
      </c>
      <c r="F99" s="15" t="s">
        <v>150</v>
      </c>
      <c r="G99" s="16" t="s">
        <v>125</v>
      </c>
      <c r="H99" s="16"/>
      <c r="O99" s="16" t="s">
        <v>125</v>
      </c>
      <c r="P99" s="16"/>
      <c r="R99" s="15" t="s">
        <v>127</v>
      </c>
      <c r="S99" s="15" t="s">
        <v>129</v>
      </c>
      <c r="T99" s="15" t="s">
        <v>132</v>
      </c>
      <c r="U99" s="15" t="s">
        <v>133</v>
      </c>
      <c r="V99" s="15" t="s">
        <v>134</v>
      </c>
      <c r="W99" s="15" t="s">
        <v>135</v>
      </c>
      <c r="X99" s="15" t="s">
        <v>136</v>
      </c>
    </row>
    <row r="100" spans="1:24" s="15" customFormat="1" ht="15.75" thickBot="1" x14ac:dyDescent="0.3">
      <c r="A100" s="16" t="str">
        <f>+A4</f>
        <v>Year ended near 12/31:</v>
      </c>
      <c r="B100" s="17">
        <v>2022</v>
      </c>
      <c r="C100" s="17">
        <v>2021</v>
      </c>
      <c r="D100" s="17">
        <v>2020</v>
      </c>
      <c r="E100" s="17">
        <v>2019</v>
      </c>
      <c r="F100" s="17">
        <v>2018</v>
      </c>
      <c r="G100" s="17">
        <v>2017</v>
      </c>
      <c r="H100" s="17" t="s">
        <v>157</v>
      </c>
      <c r="J100" s="17">
        <v>2022</v>
      </c>
      <c r="K100" s="17">
        <v>2021</v>
      </c>
      <c r="L100" s="17">
        <v>2020</v>
      </c>
      <c r="M100" s="17">
        <v>2019</v>
      </c>
      <c r="N100" s="17">
        <v>2018</v>
      </c>
      <c r="O100" s="17">
        <v>2017</v>
      </c>
      <c r="P100" s="22"/>
      <c r="R100" s="29" t="s">
        <v>128</v>
      </c>
      <c r="S100" s="29" t="s">
        <v>130</v>
      </c>
      <c r="T100" s="17">
        <v>2022</v>
      </c>
      <c r="U100" s="17">
        <v>2021</v>
      </c>
      <c r="V100" s="17">
        <v>2020</v>
      </c>
      <c r="W100" s="17">
        <v>2019</v>
      </c>
      <c r="X100" s="17">
        <v>2018</v>
      </c>
    </row>
    <row r="101" spans="1:24" hidden="1" x14ac:dyDescent="0.25">
      <c r="A101" s="2" t="s">
        <v>188</v>
      </c>
      <c r="B101" s="8">
        <f>+'Phase 2'!B68</f>
        <v>2368</v>
      </c>
      <c r="C101" s="8">
        <f>+'Phase 2'!C68</f>
        <v>1024</v>
      </c>
      <c r="D101" s="8">
        <f>+'Phase 2'!D68</f>
        <v>361</v>
      </c>
      <c r="E101" s="8">
        <f>+'Phase 2'!E68</f>
        <v>1933</v>
      </c>
      <c r="F101" s="8">
        <f>+'Phase 2'!F68</f>
        <v>-10254</v>
      </c>
      <c r="G101" s="8">
        <f>+'Phase 2'!G68</f>
        <v>10932</v>
      </c>
      <c r="H101" s="8">
        <f>SUM(B101:G101)</f>
        <v>6364</v>
      </c>
      <c r="J101" s="28"/>
      <c r="K101" s="28"/>
      <c r="L101" s="28"/>
      <c r="M101" s="28"/>
      <c r="N101" s="28"/>
      <c r="O101" s="28"/>
      <c r="P101" s="28"/>
      <c r="R101" s="28">
        <f t="shared" si="60"/>
        <v>-0.26356161826246205</v>
      </c>
      <c r="S101" s="28">
        <f t="shared" si="61"/>
        <v>-0.15813412150269723</v>
      </c>
      <c r="T101" s="28">
        <f t="shared" ref="T101:T121" si="106">(+B101-C101)/C101</f>
        <v>1.3125</v>
      </c>
      <c r="U101" s="28">
        <f t="shared" ref="U101:U121" si="107">(+C101-D101)/D101</f>
        <v>1.8365650969529086</v>
      </c>
      <c r="V101" s="28">
        <f t="shared" ref="V101:V121" si="108">(+D101-E101)/E101</f>
        <v>-0.81324366270046555</v>
      </c>
      <c r="W101" s="28">
        <f t="shared" ref="W101:W121" si="109">(+E101-F101)/F101</f>
        <v>-1.1885118002730641</v>
      </c>
      <c r="X101" s="28">
        <f t="shared" ref="X101:X121" si="110">(+F101-G101)/G101</f>
        <v>-1.9379802414928651</v>
      </c>
    </row>
    <row r="102" spans="1:24" hidden="1" x14ac:dyDescent="0.25">
      <c r="A102" s="5" t="s">
        <v>66</v>
      </c>
      <c r="B102" s="2">
        <v>933</v>
      </c>
      <c r="C102" s="2">
        <v>910</v>
      </c>
      <c r="D102" s="2">
        <v>969</v>
      </c>
      <c r="E102" s="2">
        <v>994</v>
      </c>
      <c r="F102" s="2">
        <v>983</v>
      </c>
      <c r="G102" s="2">
        <v>1031</v>
      </c>
      <c r="H102" s="2">
        <f>SUM(B102:G102)</f>
        <v>5820</v>
      </c>
      <c r="J102" s="28"/>
      <c r="K102" s="28"/>
      <c r="L102" s="28"/>
      <c r="M102" s="28"/>
      <c r="N102" s="28"/>
      <c r="O102" s="28"/>
      <c r="P102" s="28"/>
      <c r="R102" s="28">
        <f t="shared" si="60"/>
        <v>-1.9777661112159107E-2</v>
      </c>
      <c r="S102" s="28">
        <f t="shared" si="61"/>
        <v>-1.9226040021655122E-2</v>
      </c>
      <c r="T102" s="28">
        <f t="shared" si="106"/>
        <v>2.5274725274725275E-2</v>
      </c>
      <c r="U102" s="28">
        <f t="shared" si="107"/>
        <v>-6.0887512899896801E-2</v>
      </c>
      <c r="V102" s="28">
        <f t="shared" si="108"/>
        <v>-2.5150905432595575E-2</v>
      </c>
      <c r="W102" s="28">
        <f t="shared" si="109"/>
        <v>1.1190233977619531E-2</v>
      </c>
      <c r="X102" s="28">
        <f t="shared" si="110"/>
        <v>-4.6556741028128033E-2</v>
      </c>
    </row>
    <row r="103" spans="1:24" hidden="1" x14ac:dyDescent="0.25">
      <c r="A103" s="5" t="s">
        <v>67</v>
      </c>
      <c r="B103" s="2">
        <v>-14</v>
      </c>
      <c r="C103" s="2">
        <v>-7</v>
      </c>
      <c r="D103" s="2">
        <v>-122</v>
      </c>
      <c r="E103" s="2">
        <v>-306</v>
      </c>
      <c r="F103" s="2">
        <v>-339</v>
      </c>
      <c r="G103" s="2">
        <v>-328</v>
      </c>
      <c r="H103" s="2">
        <f t="shared" ref="H103:H121" si="111">SUM(B103:G103)</f>
        <v>-1116</v>
      </c>
      <c r="J103" s="28"/>
      <c r="K103" s="28"/>
      <c r="L103" s="28"/>
      <c r="M103" s="28"/>
      <c r="N103" s="28"/>
      <c r="O103" s="28"/>
      <c r="P103" s="28"/>
      <c r="R103" s="28">
        <f t="shared" si="60"/>
        <v>-0.46782944863591575</v>
      </c>
      <c r="S103" s="28">
        <f t="shared" si="61"/>
        <v>-0.12154773754793299</v>
      </c>
      <c r="T103" s="28">
        <f t="shared" si="106"/>
        <v>1</v>
      </c>
      <c r="U103" s="28">
        <f t="shared" si="107"/>
        <v>-0.94262295081967218</v>
      </c>
      <c r="V103" s="28">
        <f t="shared" si="108"/>
        <v>-0.60130718954248363</v>
      </c>
      <c r="W103" s="28">
        <f t="shared" si="109"/>
        <v>-9.7345132743362831E-2</v>
      </c>
      <c r="X103" s="28">
        <f t="shared" si="110"/>
        <v>3.3536585365853661E-2</v>
      </c>
    </row>
    <row r="104" spans="1:24" hidden="1" x14ac:dyDescent="0.25">
      <c r="A104" s="5" t="s">
        <v>193</v>
      </c>
      <c r="B104" s="2">
        <v>-56</v>
      </c>
      <c r="C104" s="2">
        <v>-4</v>
      </c>
      <c r="D104" s="2">
        <v>0</v>
      </c>
      <c r="E104" s="2">
        <v>0</v>
      </c>
      <c r="F104" s="2">
        <v>0</v>
      </c>
      <c r="G104" s="2">
        <v>0</v>
      </c>
      <c r="H104" s="2">
        <f t="shared" si="111"/>
        <v>-60</v>
      </c>
      <c r="J104" s="28"/>
      <c r="K104" s="28"/>
      <c r="L104" s="28"/>
      <c r="M104" s="28"/>
      <c r="N104" s="28"/>
      <c r="O104" s="28"/>
      <c r="P104" s="28"/>
      <c r="R104" s="28" t="e">
        <f t="shared" si="60"/>
        <v>#NUM!</v>
      </c>
      <c r="S104" s="28" t="e">
        <f t="shared" si="61"/>
        <v>#DIV/0!</v>
      </c>
      <c r="T104" s="28">
        <f t="shared" si="106"/>
        <v>13</v>
      </c>
      <c r="U104" s="28" t="e">
        <f t="shared" si="107"/>
        <v>#DIV/0!</v>
      </c>
      <c r="V104" s="28" t="e">
        <f t="shared" si="108"/>
        <v>#DIV/0!</v>
      </c>
      <c r="W104" s="28" t="e">
        <f t="shared" si="109"/>
        <v>#DIV/0!</v>
      </c>
      <c r="X104" s="28" t="e">
        <f t="shared" si="110"/>
        <v>#DIV/0!</v>
      </c>
    </row>
    <row r="105" spans="1:24" hidden="1" x14ac:dyDescent="0.25">
      <c r="A105" s="5" t="s">
        <v>68</v>
      </c>
      <c r="B105" s="2">
        <v>148</v>
      </c>
      <c r="C105" s="2">
        <v>197</v>
      </c>
      <c r="D105" s="2">
        <v>156</v>
      </c>
      <c r="E105" s="2">
        <v>46</v>
      </c>
      <c r="F105" s="2">
        <v>33</v>
      </c>
      <c r="G105" s="2">
        <v>46</v>
      </c>
      <c r="H105" s="2">
        <f t="shared" si="111"/>
        <v>626</v>
      </c>
      <c r="J105" s="28"/>
      <c r="K105" s="28"/>
      <c r="L105" s="28"/>
      <c r="M105" s="28"/>
      <c r="N105" s="28"/>
      <c r="O105" s="28"/>
      <c r="P105" s="28"/>
      <c r="R105" s="28">
        <f t="shared" si="60"/>
        <v>0.2632833632037212</v>
      </c>
      <c r="S105" s="28">
        <f t="shared" si="61"/>
        <v>0.50334491889336297</v>
      </c>
      <c r="T105" s="28">
        <f t="shared" si="106"/>
        <v>-0.24873096446700507</v>
      </c>
      <c r="U105" s="28">
        <f t="shared" si="107"/>
        <v>0.26282051282051283</v>
      </c>
      <c r="V105" s="28">
        <f t="shared" si="108"/>
        <v>2.3913043478260869</v>
      </c>
      <c r="W105" s="28">
        <f t="shared" si="109"/>
        <v>0.39393939393939392</v>
      </c>
      <c r="X105" s="28">
        <f t="shared" si="110"/>
        <v>-0.28260869565217389</v>
      </c>
    </row>
    <row r="106" spans="1:24" hidden="1" x14ac:dyDescent="0.25">
      <c r="A106" s="5" t="s">
        <v>28</v>
      </c>
      <c r="B106" s="2">
        <v>-278</v>
      </c>
      <c r="C106" s="2">
        <v>-1042</v>
      </c>
      <c r="D106" s="2">
        <v>-343</v>
      </c>
      <c r="E106" s="2">
        <v>-293</v>
      </c>
      <c r="F106" s="2">
        <v>-1967</v>
      </c>
      <c r="G106" s="2">
        <v>-6495</v>
      </c>
      <c r="H106" s="2">
        <f t="shared" si="111"/>
        <v>-10418</v>
      </c>
      <c r="J106" s="28"/>
      <c r="K106" s="28"/>
      <c r="L106" s="28"/>
      <c r="M106" s="28"/>
      <c r="N106" s="28"/>
      <c r="O106" s="28"/>
      <c r="P106" s="28"/>
      <c r="R106" s="28">
        <f t="shared" si="60"/>
        <v>-0.46753247175287116</v>
      </c>
      <c r="S106" s="28">
        <f t="shared" si="61"/>
        <v>-1.4569977367617493E-2</v>
      </c>
      <c r="T106" s="28">
        <f t="shared" si="106"/>
        <v>-0.73320537428023036</v>
      </c>
      <c r="U106" s="28">
        <f t="shared" si="107"/>
        <v>2.0379008746355685</v>
      </c>
      <c r="V106" s="28">
        <f t="shared" si="108"/>
        <v>0.17064846416382254</v>
      </c>
      <c r="W106" s="28">
        <f t="shared" si="109"/>
        <v>-0.85104219623792576</v>
      </c>
      <c r="X106" s="28">
        <f t="shared" si="110"/>
        <v>-0.69715165511932253</v>
      </c>
    </row>
    <row r="107" spans="1:24" hidden="1" x14ac:dyDescent="0.25">
      <c r="A107" s="5" t="s">
        <v>69</v>
      </c>
      <c r="B107" s="2">
        <v>-23</v>
      </c>
      <c r="C107" s="2">
        <v>-27</v>
      </c>
      <c r="D107" s="2">
        <v>-27</v>
      </c>
      <c r="E107" s="2">
        <v>-32</v>
      </c>
      <c r="F107" s="2">
        <v>-76</v>
      </c>
      <c r="G107" s="2">
        <v>-1659</v>
      </c>
      <c r="H107" s="2">
        <f t="shared" si="111"/>
        <v>-1844</v>
      </c>
      <c r="J107" s="28"/>
      <c r="K107" s="28"/>
      <c r="L107" s="28"/>
      <c r="M107" s="28"/>
      <c r="N107" s="28"/>
      <c r="O107" s="28"/>
      <c r="P107" s="28"/>
      <c r="R107" s="28">
        <f t="shared" si="60"/>
        <v>-0.57501236935767197</v>
      </c>
      <c r="S107" s="28">
        <f t="shared" si="61"/>
        <v>-0.36750695744283352</v>
      </c>
      <c r="T107" s="28">
        <f t="shared" si="106"/>
        <v>-0.14814814814814814</v>
      </c>
      <c r="U107" s="28">
        <f t="shared" si="107"/>
        <v>0</v>
      </c>
      <c r="V107" s="28">
        <f t="shared" si="108"/>
        <v>-0.15625</v>
      </c>
      <c r="W107" s="28">
        <f t="shared" si="109"/>
        <v>-0.57894736842105265</v>
      </c>
      <c r="X107" s="28">
        <f t="shared" si="110"/>
        <v>-0.95418927064496684</v>
      </c>
    </row>
    <row r="108" spans="1:24" hidden="1" x14ac:dyDescent="0.25">
      <c r="A108" s="5" t="s">
        <v>70</v>
      </c>
      <c r="B108" s="2">
        <v>913</v>
      </c>
      <c r="C108" s="2">
        <v>1634</v>
      </c>
      <c r="D108" s="2">
        <v>3399</v>
      </c>
      <c r="E108" s="2">
        <v>1899</v>
      </c>
      <c r="F108" s="2">
        <v>15936</v>
      </c>
      <c r="G108" s="2">
        <v>49</v>
      </c>
      <c r="H108" s="2">
        <f t="shared" si="111"/>
        <v>23830</v>
      </c>
      <c r="J108" s="28"/>
      <c r="K108" s="28"/>
      <c r="L108" s="28"/>
      <c r="M108" s="28"/>
      <c r="N108" s="28"/>
      <c r="O108" s="28"/>
      <c r="P108" s="28"/>
      <c r="R108" s="28">
        <f t="shared" si="60"/>
        <v>0.79496068015980603</v>
      </c>
      <c r="S108" s="28">
        <f t="shared" si="61"/>
        <v>64.634604904875033</v>
      </c>
      <c r="T108" s="28">
        <f t="shared" si="106"/>
        <v>-0.44124847001223988</v>
      </c>
      <c r="U108" s="28">
        <f t="shared" si="107"/>
        <v>-0.51927037363930573</v>
      </c>
      <c r="V108" s="28">
        <f t="shared" si="108"/>
        <v>0.78988941548183256</v>
      </c>
      <c r="W108" s="28">
        <f t="shared" si="109"/>
        <v>-0.88083584337349397</v>
      </c>
      <c r="X108" s="28">
        <f t="shared" si="110"/>
        <v>324.22448979591837</v>
      </c>
    </row>
    <row r="109" spans="1:24" hidden="1" x14ac:dyDescent="0.25">
      <c r="A109" s="5" t="s">
        <v>71</v>
      </c>
      <c r="B109" s="2">
        <v>17</v>
      </c>
      <c r="C109" s="2">
        <v>0</v>
      </c>
      <c r="D109" s="2">
        <v>6</v>
      </c>
      <c r="E109" s="2">
        <v>10</v>
      </c>
      <c r="F109" s="2">
        <v>146</v>
      </c>
      <c r="G109" s="2">
        <v>36</v>
      </c>
      <c r="H109" s="2">
        <f t="shared" si="111"/>
        <v>215</v>
      </c>
      <c r="J109" s="28"/>
      <c r="K109" s="28"/>
      <c r="L109" s="28"/>
      <c r="M109" s="28"/>
      <c r="N109" s="28"/>
      <c r="O109" s="28"/>
      <c r="P109" s="28"/>
      <c r="R109" s="28">
        <f t="shared" si="60"/>
        <v>-0.13934462747481444</v>
      </c>
      <c r="S109" s="28" t="e">
        <f t="shared" si="61"/>
        <v>#DIV/0!</v>
      </c>
      <c r="T109" s="28" t="e">
        <f t="shared" si="106"/>
        <v>#DIV/0!</v>
      </c>
      <c r="U109" s="28">
        <f t="shared" si="107"/>
        <v>-1</v>
      </c>
      <c r="V109" s="28">
        <f t="shared" si="108"/>
        <v>-0.4</v>
      </c>
      <c r="W109" s="28">
        <f t="shared" si="109"/>
        <v>-0.93150684931506844</v>
      </c>
      <c r="X109" s="28">
        <f t="shared" si="110"/>
        <v>3.0555555555555554</v>
      </c>
    </row>
    <row r="110" spans="1:24" hidden="1" x14ac:dyDescent="0.25">
      <c r="A110" s="5" t="s">
        <v>72</v>
      </c>
      <c r="B110" s="2">
        <v>-25</v>
      </c>
      <c r="C110" s="2">
        <v>-44</v>
      </c>
      <c r="D110" s="2">
        <v>2</v>
      </c>
      <c r="E110" s="2">
        <v>-420</v>
      </c>
      <c r="F110" s="2">
        <v>15</v>
      </c>
      <c r="G110" s="2">
        <v>0</v>
      </c>
      <c r="H110" s="2">
        <f t="shared" si="111"/>
        <v>-472</v>
      </c>
      <c r="J110" s="28"/>
      <c r="K110" s="28"/>
      <c r="L110" s="28"/>
      <c r="M110" s="28"/>
      <c r="N110" s="28"/>
      <c r="O110" s="28"/>
      <c r="P110" s="28"/>
      <c r="R110" s="28" t="e">
        <f t="shared" si="60"/>
        <v>#NUM!</v>
      </c>
      <c r="S110" s="28" t="e">
        <f t="shared" si="61"/>
        <v>#DIV/0!</v>
      </c>
      <c r="T110" s="28">
        <f t="shared" si="106"/>
        <v>-0.43181818181818182</v>
      </c>
      <c r="U110" s="28">
        <f t="shared" si="107"/>
        <v>-23</v>
      </c>
      <c r="V110" s="28">
        <f t="shared" si="108"/>
        <v>-1.0047619047619047</v>
      </c>
      <c r="W110" s="28">
        <f t="shared" si="109"/>
        <v>-29</v>
      </c>
      <c r="X110" s="28" t="e">
        <f t="shared" si="110"/>
        <v>#DIV/0!</v>
      </c>
    </row>
    <row r="111" spans="1:24" hidden="1" x14ac:dyDescent="0.25">
      <c r="A111" s="5" t="s">
        <v>194</v>
      </c>
      <c r="B111" s="2">
        <v>0</v>
      </c>
      <c r="C111" s="2">
        <v>1587</v>
      </c>
      <c r="D111" s="2">
        <v>0</v>
      </c>
      <c r="E111" s="2">
        <v>0</v>
      </c>
      <c r="F111" s="2">
        <v>0</v>
      </c>
      <c r="G111" s="2">
        <v>0</v>
      </c>
      <c r="H111" s="2">
        <f t="shared" si="111"/>
        <v>1587</v>
      </c>
      <c r="J111" s="28"/>
      <c r="K111" s="28"/>
      <c r="L111" s="28"/>
      <c r="M111" s="28"/>
      <c r="N111" s="28"/>
      <c r="O111" s="28"/>
      <c r="P111" s="28"/>
      <c r="R111" s="28" t="e">
        <f t="shared" si="60"/>
        <v>#NUM!</v>
      </c>
      <c r="S111" s="28" t="e">
        <f t="shared" si="61"/>
        <v>#DIV/0!</v>
      </c>
      <c r="T111" s="28">
        <f t="shared" si="106"/>
        <v>-1</v>
      </c>
      <c r="U111" s="28" t="e">
        <f t="shared" si="107"/>
        <v>#DIV/0!</v>
      </c>
      <c r="V111" s="28" t="e">
        <f t="shared" si="108"/>
        <v>#DIV/0!</v>
      </c>
      <c r="W111" s="28" t="e">
        <f t="shared" si="109"/>
        <v>#DIV/0!</v>
      </c>
      <c r="X111" s="28" t="e">
        <f t="shared" si="110"/>
        <v>#DIV/0!</v>
      </c>
    </row>
    <row r="112" spans="1:24" hidden="1" x14ac:dyDescent="0.25">
      <c r="A112" s="5" t="s">
        <v>74</v>
      </c>
      <c r="B112" s="2">
        <v>-38</v>
      </c>
      <c r="C112" s="2">
        <v>917</v>
      </c>
      <c r="D112" s="2">
        <v>124</v>
      </c>
      <c r="E112" s="2">
        <v>0</v>
      </c>
      <c r="F112" s="2">
        <v>0</v>
      </c>
      <c r="G112" s="2">
        <v>0</v>
      </c>
      <c r="H112" s="2">
        <f t="shared" si="111"/>
        <v>1003</v>
      </c>
      <c r="J112" s="28"/>
      <c r="K112" s="28"/>
      <c r="L112" s="28"/>
      <c r="M112" s="28"/>
      <c r="N112" s="28"/>
      <c r="O112" s="28"/>
      <c r="P112" s="28"/>
      <c r="R112" s="28" t="e">
        <f t="shared" si="60"/>
        <v>#NUM!</v>
      </c>
      <c r="S112" s="28" t="e">
        <f t="shared" si="61"/>
        <v>#DIV/0!</v>
      </c>
      <c r="T112" s="28">
        <f t="shared" si="106"/>
        <v>-1.0414394765539803</v>
      </c>
      <c r="U112" s="28">
        <f t="shared" si="107"/>
        <v>6.395161290322581</v>
      </c>
      <c r="V112" s="28" t="e">
        <f t="shared" si="108"/>
        <v>#DIV/0!</v>
      </c>
      <c r="W112" s="28" t="e">
        <f t="shared" si="109"/>
        <v>#DIV/0!</v>
      </c>
      <c r="X112" s="28" t="e">
        <f t="shared" si="110"/>
        <v>#DIV/0!</v>
      </c>
    </row>
    <row r="113" spans="1:24" hidden="1" x14ac:dyDescent="0.25">
      <c r="A113" s="5" t="s">
        <v>75</v>
      </c>
      <c r="B113" s="2">
        <v>7</v>
      </c>
      <c r="C113" s="2">
        <v>-187</v>
      </c>
      <c r="D113" s="2">
        <v>-54</v>
      </c>
      <c r="E113" s="2">
        <v>-46</v>
      </c>
      <c r="F113" s="2">
        <v>160</v>
      </c>
      <c r="G113" s="2">
        <v>253</v>
      </c>
      <c r="H113" s="2">
        <f t="shared" si="111"/>
        <v>133</v>
      </c>
      <c r="J113" s="28"/>
      <c r="K113" s="28"/>
      <c r="L113" s="28"/>
      <c r="M113" s="28"/>
      <c r="N113" s="28"/>
      <c r="O113" s="28"/>
      <c r="P113" s="28"/>
      <c r="R113" s="30">
        <f t="shared" si="60"/>
        <v>-0.51202732470001944</v>
      </c>
      <c r="S113" s="30">
        <f t="shared" si="61"/>
        <v>-1.1129216289062849E-2</v>
      </c>
      <c r="T113" s="30">
        <f t="shared" si="106"/>
        <v>-1.0374331550802138</v>
      </c>
      <c r="U113" s="30">
        <f t="shared" si="107"/>
        <v>2.4629629629629628</v>
      </c>
      <c r="V113" s="30">
        <f t="shared" si="108"/>
        <v>0.17391304347826086</v>
      </c>
      <c r="W113" s="30">
        <f t="shared" si="109"/>
        <v>-1.2875000000000001</v>
      </c>
      <c r="X113" s="30">
        <f t="shared" si="110"/>
        <v>-0.3675889328063241</v>
      </c>
    </row>
    <row r="114" spans="1:24" hidden="1" x14ac:dyDescent="0.25">
      <c r="A114" s="19" t="s">
        <v>76</v>
      </c>
      <c r="B114" s="20">
        <f>SUM(B101:B113)</f>
        <v>3952</v>
      </c>
      <c r="C114" s="20">
        <f t="shared" ref="C114:G114" si="112">SUM(C101:C113)</f>
        <v>4958</v>
      </c>
      <c r="D114" s="20">
        <f t="shared" si="112"/>
        <v>4471</v>
      </c>
      <c r="E114" s="20">
        <f t="shared" si="112"/>
        <v>3785</v>
      </c>
      <c r="F114" s="20">
        <f t="shared" si="112"/>
        <v>4637</v>
      </c>
      <c r="G114" s="20">
        <f t="shared" si="112"/>
        <v>3865</v>
      </c>
      <c r="H114" s="20">
        <f t="shared" si="111"/>
        <v>25668</v>
      </c>
      <c r="J114" s="28"/>
      <c r="K114" s="28"/>
      <c r="L114" s="28"/>
      <c r="M114" s="28"/>
      <c r="N114" s="28"/>
      <c r="O114" s="28"/>
      <c r="P114" s="28"/>
      <c r="R114" s="28">
        <f t="shared" si="60"/>
        <v>4.461944531612725E-3</v>
      </c>
      <c r="S114" s="28">
        <f t="shared" si="61"/>
        <v>2.0652661175588411E-2</v>
      </c>
      <c r="T114" s="28">
        <f t="shared" si="106"/>
        <v>-0.20290439693424769</v>
      </c>
      <c r="U114" s="28">
        <f t="shared" si="107"/>
        <v>0.1089241780362335</v>
      </c>
      <c r="V114" s="28">
        <f t="shared" si="108"/>
        <v>0.18124174372523116</v>
      </c>
      <c r="W114" s="28">
        <f t="shared" si="109"/>
        <v>-0.18373948673711452</v>
      </c>
      <c r="X114" s="28">
        <f t="shared" si="110"/>
        <v>0.1997412677878396</v>
      </c>
    </row>
    <row r="115" spans="1:24" hidden="1" x14ac:dyDescent="0.25">
      <c r="A115" s="2" t="s">
        <v>77</v>
      </c>
      <c r="H115" s="2">
        <f t="shared" si="111"/>
        <v>0</v>
      </c>
      <c r="J115" s="28"/>
      <c r="K115" s="28"/>
      <c r="L115" s="28"/>
      <c r="M115" s="28"/>
      <c r="N115" s="28"/>
      <c r="O115" s="28"/>
      <c r="P115" s="28"/>
      <c r="R115" s="28" t="e">
        <f t="shared" si="60"/>
        <v>#NUM!</v>
      </c>
      <c r="S115" s="28" t="e">
        <f t="shared" si="61"/>
        <v>#DIV/0!</v>
      </c>
      <c r="T115" s="28" t="e">
        <f t="shared" si="106"/>
        <v>#DIV/0!</v>
      </c>
      <c r="U115" s="28" t="e">
        <f t="shared" si="107"/>
        <v>#DIV/0!</v>
      </c>
      <c r="V115" s="28" t="e">
        <f t="shared" si="108"/>
        <v>#DIV/0!</v>
      </c>
      <c r="W115" s="28" t="e">
        <f t="shared" si="109"/>
        <v>#DIV/0!</v>
      </c>
      <c r="X115" s="28" t="e">
        <f t="shared" si="110"/>
        <v>#DIV/0!</v>
      </c>
    </row>
    <row r="116" spans="1:24" hidden="1" x14ac:dyDescent="0.25">
      <c r="A116" s="5" t="s">
        <v>7</v>
      </c>
      <c r="B116" s="2">
        <v>-228</v>
      </c>
      <c r="C116" s="2">
        <v>87</v>
      </c>
      <c r="D116" s="2">
        <v>-26</v>
      </c>
      <c r="E116" s="2">
        <v>140</v>
      </c>
      <c r="F116" s="2">
        <v>-2280</v>
      </c>
      <c r="G116" s="2">
        <v>-2629</v>
      </c>
      <c r="H116" s="2">
        <f t="shared" si="111"/>
        <v>-4936</v>
      </c>
      <c r="J116" s="28"/>
      <c r="K116" s="28"/>
      <c r="L116" s="28"/>
      <c r="M116" s="28"/>
      <c r="N116" s="28"/>
      <c r="O116" s="28"/>
      <c r="P116" s="28"/>
      <c r="R116" s="28">
        <f t="shared" si="60"/>
        <v>-0.38676229142799318</v>
      </c>
      <c r="S116" s="28">
        <f t="shared" si="61"/>
        <v>-2.069342278181133</v>
      </c>
      <c r="T116" s="28">
        <f t="shared" si="106"/>
        <v>-3.6206896551724137</v>
      </c>
      <c r="U116" s="28">
        <f t="shared" si="107"/>
        <v>-4.3461538461538458</v>
      </c>
      <c r="V116" s="28">
        <f t="shared" si="108"/>
        <v>-1.1857142857142857</v>
      </c>
      <c r="W116" s="28">
        <f t="shared" si="109"/>
        <v>-1.0614035087719298</v>
      </c>
      <c r="X116" s="28">
        <f t="shared" si="110"/>
        <v>-0.13275009509319133</v>
      </c>
    </row>
    <row r="117" spans="1:24" hidden="1" x14ac:dyDescent="0.25">
      <c r="A117" s="5" t="s">
        <v>8</v>
      </c>
      <c r="B117" s="2">
        <v>-1121</v>
      </c>
      <c r="C117" s="2">
        <v>-144</v>
      </c>
      <c r="D117" s="2">
        <v>-249</v>
      </c>
      <c r="E117" s="2">
        <v>-277</v>
      </c>
      <c r="F117" s="2">
        <v>-251</v>
      </c>
      <c r="G117" s="2">
        <v>-236</v>
      </c>
      <c r="H117" s="2">
        <f t="shared" si="111"/>
        <v>-2278</v>
      </c>
      <c r="J117" s="28"/>
      <c r="K117" s="28"/>
      <c r="L117" s="28"/>
      <c r="M117" s="28"/>
      <c r="N117" s="28"/>
      <c r="O117" s="28"/>
      <c r="P117" s="28"/>
      <c r="R117" s="28">
        <f t="shared" si="60"/>
        <v>0.36564783932642692</v>
      </c>
      <c r="S117" s="28">
        <f t="shared" si="61"/>
        <v>1.2858194844295423</v>
      </c>
      <c r="T117" s="28">
        <f t="shared" si="106"/>
        <v>6.7847222222222223</v>
      </c>
      <c r="U117" s="28">
        <f t="shared" si="107"/>
        <v>-0.42168674698795183</v>
      </c>
      <c r="V117" s="28">
        <f t="shared" si="108"/>
        <v>-0.10108303249097472</v>
      </c>
      <c r="W117" s="28">
        <f t="shared" si="109"/>
        <v>0.10358565737051793</v>
      </c>
      <c r="X117" s="28">
        <f t="shared" si="110"/>
        <v>6.3559322033898302E-2</v>
      </c>
    </row>
    <row r="118" spans="1:24" hidden="1" x14ac:dyDescent="0.25">
      <c r="A118" s="5" t="s">
        <v>78</v>
      </c>
      <c r="B118" s="2">
        <v>152</v>
      </c>
      <c r="C118" s="2">
        <v>408</v>
      </c>
      <c r="D118" s="2">
        <v>207</v>
      </c>
      <c r="E118" s="2">
        <v>-58</v>
      </c>
      <c r="F118" s="2">
        <v>-23</v>
      </c>
      <c r="G118" s="2">
        <v>441</v>
      </c>
      <c r="H118" s="2">
        <f t="shared" si="111"/>
        <v>1127</v>
      </c>
      <c r="J118" s="28"/>
      <c r="K118" s="28"/>
      <c r="L118" s="28"/>
      <c r="M118" s="28"/>
      <c r="N118" s="28"/>
      <c r="O118" s="28"/>
      <c r="P118" s="28"/>
      <c r="R118" s="28">
        <f t="shared" si="60"/>
        <v>-0.19187042718273711</v>
      </c>
      <c r="S118" s="28">
        <f t="shared" si="61"/>
        <v>-0.75116341389129349</v>
      </c>
      <c r="T118" s="28">
        <f t="shared" si="106"/>
        <v>-0.62745098039215685</v>
      </c>
      <c r="U118" s="28">
        <f t="shared" si="107"/>
        <v>0.97101449275362317</v>
      </c>
      <c r="V118" s="28">
        <f t="shared" si="108"/>
        <v>-4.568965517241379</v>
      </c>
      <c r="W118" s="28">
        <f t="shared" si="109"/>
        <v>1.5217391304347827</v>
      </c>
      <c r="X118" s="28">
        <f t="shared" si="110"/>
        <v>-1.0521541950113378</v>
      </c>
    </row>
    <row r="119" spans="1:24" hidden="1" x14ac:dyDescent="0.25">
      <c r="A119" s="5" t="s">
        <v>10</v>
      </c>
      <c r="B119" s="2">
        <v>-314</v>
      </c>
      <c r="C119" s="2">
        <v>-32</v>
      </c>
      <c r="D119" s="2">
        <v>40</v>
      </c>
      <c r="E119" s="2">
        <v>52</v>
      </c>
      <c r="F119" s="2">
        <v>-146</v>
      </c>
      <c r="G119" s="2">
        <v>-64</v>
      </c>
      <c r="H119" s="2">
        <f t="shared" si="111"/>
        <v>-464</v>
      </c>
      <c r="J119" s="28"/>
      <c r="K119" s="28"/>
      <c r="L119" s="28"/>
      <c r="M119" s="28"/>
      <c r="N119" s="28"/>
      <c r="O119" s="28"/>
      <c r="P119" s="28"/>
      <c r="R119" s="28">
        <f t="shared" si="60"/>
        <v>0.37451642796623941</v>
      </c>
      <c r="S119" s="28">
        <f t="shared" si="61"/>
        <v>1.3413632771338251</v>
      </c>
      <c r="T119" s="28">
        <f t="shared" si="106"/>
        <v>8.8125</v>
      </c>
      <c r="U119" s="28">
        <f t="shared" si="107"/>
        <v>-1.8</v>
      </c>
      <c r="V119" s="28">
        <f t="shared" si="108"/>
        <v>-0.23076923076923078</v>
      </c>
      <c r="W119" s="28">
        <f t="shared" si="109"/>
        <v>-1.3561643835616439</v>
      </c>
      <c r="X119" s="28">
        <f t="shared" si="110"/>
        <v>1.28125</v>
      </c>
    </row>
    <row r="120" spans="1:24" hidden="1" x14ac:dyDescent="0.25">
      <c r="A120" s="5" t="s">
        <v>24</v>
      </c>
      <c r="B120" s="2">
        <v>28</v>
      </c>
      <c r="C120" s="2">
        <v>87</v>
      </c>
      <c r="D120" s="2">
        <v>486</v>
      </c>
      <c r="E120" s="2">
        <v>-90</v>
      </c>
      <c r="F120" s="2">
        <v>637</v>
      </c>
      <c r="G120" s="2">
        <v>-876</v>
      </c>
      <c r="H120" s="2">
        <f t="shared" si="111"/>
        <v>272</v>
      </c>
      <c r="J120" s="28"/>
      <c r="K120" s="28"/>
      <c r="L120" s="28"/>
      <c r="M120" s="28"/>
      <c r="N120" s="28"/>
      <c r="O120" s="28"/>
      <c r="P120" s="28"/>
      <c r="R120" s="28" t="e">
        <f t="shared" si="60"/>
        <v>#NUM!</v>
      </c>
      <c r="S120" s="28">
        <f t="shared" si="61"/>
        <v>-2.1535209615554671</v>
      </c>
      <c r="T120" s="28">
        <f t="shared" si="106"/>
        <v>-0.67816091954022983</v>
      </c>
      <c r="U120" s="28">
        <f t="shared" si="107"/>
        <v>-0.82098765432098764</v>
      </c>
      <c r="V120" s="28">
        <f t="shared" si="108"/>
        <v>-6.4</v>
      </c>
      <c r="W120" s="28">
        <f t="shared" si="109"/>
        <v>-1.141287284144427</v>
      </c>
      <c r="X120" s="28">
        <f t="shared" si="110"/>
        <v>-1.7271689497716896</v>
      </c>
    </row>
    <row r="121" spans="1:24" hidden="1" x14ac:dyDescent="0.25">
      <c r="A121" s="2" t="s">
        <v>79</v>
      </c>
      <c r="B121" s="10">
        <f>SUM(B114:B120)</f>
        <v>2469</v>
      </c>
      <c r="C121" s="10">
        <f t="shared" ref="C121:G121" si="113">SUM(C114:C120)</f>
        <v>5364</v>
      </c>
      <c r="D121" s="10">
        <f t="shared" si="113"/>
        <v>4929</v>
      </c>
      <c r="E121" s="10">
        <f t="shared" si="113"/>
        <v>3552</v>
      </c>
      <c r="F121" s="10">
        <f t="shared" si="113"/>
        <v>2574</v>
      </c>
      <c r="G121" s="10">
        <f t="shared" si="113"/>
        <v>501</v>
      </c>
      <c r="H121" s="10">
        <f t="shared" si="111"/>
        <v>19389</v>
      </c>
      <c r="J121" s="33">
        <f t="shared" ref="J121:O121" si="114">+B121/B$121</f>
        <v>1</v>
      </c>
      <c r="K121" s="33">
        <f t="shared" si="114"/>
        <v>1</v>
      </c>
      <c r="L121" s="33">
        <f t="shared" si="114"/>
        <v>1</v>
      </c>
      <c r="M121" s="33">
        <f t="shared" si="114"/>
        <v>1</v>
      </c>
      <c r="N121" s="33">
        <f t="shared" si="114"/>
        <v>1</v>
      </c>
      <c r="O121" s="33">
        <f t="shared" si="114"/>
        <v>1</v>
      </c>
      <c r="P121" s="33"/>
      <c r="Q121" s="10"/>
      <c r="R121" s="33">
        <f t="shared" si="60"/>
        <v>0.37574097606482232</v>
      </c>
      <c r="S121" s="33">
        <f t="shared" si="61"/>
        <v>0.89077817457706199</v>
      </c>
      <c r="T121" s="33">
        <f t="shared" si="106"/>
        <v>-0.53970917225950787</v>
      </c>
      <c r="U121" s="33">
        <f t="shared" si="107"/>
        <v>8.825319537431528E-2</v>
      </c>
      <c r="V121" s="33">
        <f t="shared" si="108"/>
        <v>0.38766891891891891</v>
      </c>
      <c r="W121" s="33">
        <f t="shared" si="109"/>
        <v>0.37995337995337997</v>
      </c>
      <c r="X121" s="33">
        <f t="shared" si="110"/>
        <v>4.1377245508982039</v>
      </c>
    </row>
    <row r="122" spans="1:24" x14ac:dyDescent="0.25">
      <c r="A122" s="2" t="s">
        <v>180</v>
      </c>
      <c r="B122" s="34"/>
      <c r="C122" s="34"/>
      <c r="D122" s="34"/>
      <c r="E122" s="34"/>
      <c r="F122" s="34"/>
      <c r="G122" s="34"/>
      <c r="H122" s="34"/>
      <c r="J122" s="37"/>
      <c r="K122" s="37"/>
      <c r="L122" s="37"/>
      <c r="M122" s="37"/>
      <c r="N122" s="37"/>
      <c r="O122" s="37"/>
      <c r="P122" s="37"/>
      <c r="Q122" s="34"/>
      <c r="R122" s="37"/>
      <c r="S122" s="37"/>
      <c r="T122" s="37"/>
      <c r="U122" s="37"/>
      <c r="V122" s="37"/>
      <c r="W122" s="37"/>
      <c r="X122" s="37"/>
    </row>
    <row r="123" spans="1:24" x14ac:dyDescent="0.25">
      <c r="A123" s="5" t="s">
        <v>181</v>
      </c>
      <c r="B123" s="36">
        <f>+B60+B116</f>
        <v>26257</v>
      </c>
      <c r="C123" s="36">
        <f t="shared" ref="C123:G123" si="115">+C60+C116</f>
        <v>26129</v>
      </c>
      <c r="D123" s="36">
        <f t="shared" si="115"/>
        <v>26159</v>
      </c>
      <c r="E123" s="36">
        <f t="shared" si="115"/>
        <v>25117</v>
      </c>
      <c r="F123" s="36">
        <f t="shared" si="115"/>
        <v>23988</v>
      </c>
      <c r="G123" s="36">
        <f t="shared" si="115"/>
        <v>23447</v>
      </c>
      <c r="H123" s="36">
        <f>SUM(B123:G123)</f>
        <v>151097</v>
      </c>
      <c r="J123" s="37"/>
      <c r="K123" s="37"/>
      <c r="L123" s="37"/>
      <c r="M123" s="37"/>
      <c r="N123" s="37"/>
      <c r="O123" s="37"/>
      <c r="P123" s="37"/>
      <c r="Q123" s="34"/>
      <c r="R123" s="37"/>
      <c r="S123" s="37"/>
      <c r="T123" s="37"/>
      <c r="U123" s="37"/>
      <c r="V123" s="37"/>
      <c r="W123" s="37"/>
      <c r="X123" s="37"/>
    </row>
    <row r="124" spans="1:24" x14ac:dyDescent="0.25">
      <c r="A124" s="5" t="s">
        <v>182</v>
      </c>
      <c r="B124" s="34">
        <f>-B61+B117+B118</f>
        <v>-19332</v>
      </c>
      <c r="C124" s="34">
        <f t="shared" ref="C124:G124" si="116">-C61+C117+C118</f>
        <v>-17096</v>
      </c>
      <c r="D124" s="34">
        <f t="shared" si="116"/>
        <v>-17050</v>
      </c>
      <c r="E124" s="34">
        <f t="shared" si="116"/>
        <v>-17165</v>
      </c>
      <c r="F124" s="34">
        <f t="shared" si="116"/>
        <v>-17621</v>
      </c>
      <c r="G124" s="34">
        <f t="shared" si="116"/>
        <v>-16838</v>
      </c>
      <c r="H124" s="34">
        <f t="shared" ref="H124:H154" si="117">SUM(B124:G124)</f>
        <v>-105102</v>
      </c>
      <c r="J124" s="37"/>
      <c r="K124" s="37"/>
      <c r="L124" s="37"/>
      <c r="M124" s="37"/>
      <c r="N124" s="37"/>
      <c r="O124" s="37"/>
      <c r="P124" s="37"/>
      <c r="Q124" s="34"/>
      <c r="R124" s="37"/>
      <c r="S124" s="37"/>
      <c r="T124" s="37"/>
      <c r="U124" s="37"/>
      <c r="V124" s="37"/>
      <c r="W124" s="37"/>
      <c r="X124" s="37"/>
    </row>
    <row r="125" spans="1:24" x14ac:dyDescent="0.25">
      <c r="A125" s="5" t="s">
        <v>183</v>
      </c>
      <c r="B125" s="41">
        <f>+B123+B124</f>
        <v>6925</v>
      </c>
      <c r="C125" s="41">
        <f t="shared" ref="C125:G125" si="118">+C123+C124</f>
        <v>9033</v>
      </c>
      <c r="D125" s="6">
        <f t="shared" si="118"/>
        <v>9109</v>
      </c>
      <c r="E125" s="6">
        <f t="shared" si="118"/>
        <v>7952</v>
      </c>
      <c r="F125" s="6">
        <f t="shared" si="118"/>
        <v>6367</v>
      </c>
      <c r="G125" s="6">
        <f t="shared" si="118"/>
        <v>6609</v>
      </c>
      <c r="H125" s="6">
        <f t="shared" si="117"/>
        <v>45995</v>
      </c>
      <c r="J125" s="37"/>
      <c r="K125" s="37"/>
      <c r="L125" s="37"/>
      <c r="M125" s="37"/>
      <c r="N125" s="37"/>
      <c r="O125" s="37"/>
      <c r="P125" s="37"/>
      <c r="Q125" s="34"/>
      <c r="R125" s="37"/>
      <c r="S125" s="37"/>
      <c r="T125" s="37"/>
      <c r="U125" s="37"/>
      <c r="V125" s="37"/>
      <c r="W125" s="37"/>
      <c r="X125" s="37"/>
    </row>
    <row r="126" spans="1:24" x14ac:dyDescent="0.25">
      <c r="A126" s="5" t="s">
        <v>184</v>
      </c>
      <c r="B126" s="34">
        <f t="shared" ref="B126:G127" si="119">-B159</f>
        <v>-937</v>
      </c>
      <c r="C126" s="34">
        <f t="shared" si="119"/>
        <v>-1196</v>
      </c>
      <c r="D126" s="34">
        <f t="shared" si="119"/>
        <v>-1286</v>
      </c>
      <c r="E126" s="34">
        <f t="shared" si="119"/>
        <v>-1306</v>
      </c>
      <c r="F126" s="34">
        <f t="shared" si="119"/>
        <v>-1322</v>
      </c>
      <c r="G126" s="34">
        <f t="shared" si="119"/>
        <v>-1269</v>
      </c>
      <c r="H126" s="34">
        <f t="shared" si="117"/>
        <v>-7316</v>
      </c>
      <c r="J126" s="37"/>
      <c r="K126" s="37"/>
      <c r="L126" s="37"/>
      <c r="M126" s="37"/>
      <c r="N126" s="37"/>
      <c r="O126" s="37"/>
      <c r="P126" s="37"/>
      <c r="Q126" s="34"/>
      <c r="R126" s="37"/>
      <c r="S126" s="37"/>
      <c r="T126" s="37"/>
      <c r="U126" s="37"/>
      <c r="V126" s="37"/>
      <c r="W126" s="37"/>
      <c r="X126" s="37"/>
    </row>
    <row r="127" spans="1:24" x14ac:dyDescent="0.25">
      <c r="A127" s="5" t="s">
        <v>185</v>
      </c>
      <c r="B127" s="34">
        <f t="shared" si="119"/>
        <v>-1260</v>
      </c>
      <c r="C127" s="34">
        <f t="shared" si="119"/>
        <v>-1295</v>
      </c>
      <c r="D127" s="34">
        <f t="shared" si="119"/>
        <v>-1027</v>
      </c>
      <c r="E127" s="34">
        <f t="shared" si="119"/>
        <v>-974</v>
      </c>
      <c r="F127" s="34">
        <f t="shared" si="119"/>
        <v>-543</v>
      </c>
      <c r="G127" s="34">
        <f t="shared" si="119"/>
        <v>-1206</v>
      </c>
      <c r="H127" s="34">
        <f t="shared" si="117"/>
        <v>-6305</v>
      </c>
      <c r="J127" s="37"/>
      <c r="K127" s="37"/>
      <c r="L127" s="37"/>
      <c r="M127" s="37"/>
      <c r="N127" s="37"/>
      <c r="O127" s="37"/>
      <c r="P127" s="37"/>
      <c r="Q127" s="34"/>
      <c r="R127" s="37"/>
      <c r="S127" s="37"/>
      <c r="T127" s="37"/>
      <c r="U127" s="37"/>
      <c r="V127" s="37"/>
      <c r="W127" s="37"/>
      <c r="X127" s="37"/>
    </row>
    <row r="128" spans="1:24" x14ac:dyDescent="0.25">
      <c r="A128" s="5" t="s">
        <v>192</v>
      </c>
      <c r="B128" s="34">
        <f>+B111</f>
        <v>0</v>
      </c>
      <c r="C128" s="38">
        <f t="shared" ref="C128:G128" si="120">+C111</f>
        <v>1587</v>
      </c>
      <c r="D128" s="34">
        <f t="shared" si="120"/>
        <v>0</v>
      </c>
      <c r="E128" s="34">
        <f t="shared" si="120"/>
        <v>0</v>
      </c>
      <c r="F128" s="34">
        <f t="shared" si="120"/>
        <v>0</v>
      </c>
      <c r="G128" s="34">
        <f t="shared" si="120"/>
        <v>0</v>
      </c>
      <c r="H128" s="34">
        <f t="shared" si="117"/>
        <v>1587</v>
      </c>
      <c r="J128" s="37"/>
      <c r="K128" s="37"/>
      <c r="L128" s="37"/>
      <c r="M128" s="37"/>
      <c r="N128" s="37"/>
      <c r="O128" s="37"/>
      <c r="P128" s="37"/>
      <c r="Q128" s="34"/>
      <c r="R128" s="37"/>
      <c r="S128" s="37"/>
      <c r="T128" s="37"/>
      <c r="U128" s="37"/>
      <c r="V128" s="37"/>
      <c r="W128" s="37"/>
      <c r="X128" s="37"/>
    </row>
    <row r="129" spans="1:24" x14ac:dyDescent="0.25">
      <c r="A129" s="5" t="s">
        <v>69</v>
      </c>
      <c r="B129" s="34">
        <f>+B107</f>
        <v>-23</v>
      </c>
      <c r="C129" s="34">
        <f t="shared" ref="C129:G129" si="121">+C107</f>
        <v>-27</v>
      </c>
      <c r="D129" s="34">
        <f t="shared" si="121"/>
        <v>-27</v>
      </c>
      <c r="E129" s="34">
        <f t="shared" si="121"/>
        <v>-32</v>
      </c>
      <c r="F129" s="34">
        <f t="shared" si="121"/>
        <v>-76</v>
      </c>
      <c r="G129" s="38">
        <f t="shared" si="121"/>
        <v>-1659</v>
      </c>
      <c r="H129" s="34">
        <f t="shared" si="117"/>
        <v>-1844</v>
      </c>
      <c r="J129" s="37"/>
      <c r="K129" s="37"/>
      <c r="L129" s="37"/>
      <c r="M129" s="37"/>
      <c r="N129" s="37"/>
      <c r="O129" s="37"/>
      <c r="P129" s="37"/>
      <c r="Q129" s="34"/>
      <c r="R129" s="37"/>
      <c r="S129" s="37"/>
      <c r="T129" s="37"/>
      <c r="U129" s="37"/>
      <c r="V129" s="37"/>
      <c r="W129" s="37"/>
      <c r="X129" s="37"/>
    </row>
    <row r="130" spans="1:24" x14ac:dyDescent="0.25">
      <c r="A130" s="5" t="s">
        <v>186</v>
      </c>
      <c r="B130" s="34">
        <f>-B161</f>
        <v>-173</v>
      </c>
      <c r="C130" s="34">
        <f t="shared" ref="C130:G130" si="122">-C161</f>
        <v>-176</v>
      </c>
      <c r="D130" s="34">
        <f t="shared" si="122"/>
        <v>-173</v>
      </c>
      <c r="E130" s="34">
        <f t="shared" si="122"/>
        <v>-191</v>
      </c>
      <c r="F130" s="34">
        <f t="shared" si="122"/>
        <v>-200</v>
      </c>
      <c r="G130" s="34">
        <f t="shared" si="122"/>
        <v>-244</v>
      </c>
      <c r="H130" s="34">
        <f t="shared" si="117"/>
        <v>-1157</v>
      </c>
      <c r="J130" s="37"/>
      <c r="K130" s="37"/>
      <c r="L130" s="37"/>
      <c r="M130" s="37"/>
      <c r="N130" s="37"/>
      <c r="O130" s="37"/>
      <c r="P130" s="37"/>
      <c r="Q130" s="34"/>
      <c r="R130" s="37"/>
      <c r="S130" s="37"/>
      <c r="T130" s="37"/>
      <c r="U130" s="37"/>
      <c r="V130" s="37"/>
      <c r="W130" s="37"/>
      <c r="X130" s="37"/>
    </row>
    <row r="131" spans="1:24" x14ac:dyDescent="0.25">
      <c r="A131" s="5" t="s">
        <v>187</v>
      </c>
      <c r="B131" s="34">
        <f t="shared" ref="B131:G131" si="123">+B132-SUM(B125:B130)</f>
        <v>-2063</v>
      </c>
      <c r="C131" s="38">
        <f t="shared" si="123"/>
        <v>-2562</v>
      </c>
      <c r="D131" s="38">
        <f t="shared" si="123"/>
        <v>-1667</v>
      </c>
      <c r="E131" s="34">
        <f t="shared" si="123"/>
        <v>-1897</v>
      </c>
      <c r="F131" s="34">
        <f t="shared" si="123"/>
        <v>-1652</v>
      </c>
      <c r="G131" s="34">
        <f t="shared" si="123"/>
        <v>-1730</v>
      </c>
      <c r="H131" s="34">
        <f t="shared" si="117"/>
        <v>-11571</v>
      </c>
      <c r="J131" s="37"/>
      <c r="K131" s="37"/>
      <c r="L131" s="37"/>
      <c r="M131" s="37"/>
      <c r="N131" s="37"/>
      <c r="O131" s="37"/>
      <c r="P131" s="37"/>
      <c r="Q131" s="34"/>
      <c r="R131" s="37"/>
      <c r="S131" s="37"/>
      <c r="T131" s="37"/>
      <c r="U131" s="37"/>
      <c r="V131" s="37"/>
      <c r="W131" s="37"/>
      <c r="X131" s="37"/>
    </row>
    <row r="132" spans="1:24" x14ac:dyDescent="0.25">
      <c r="A132" s="2" t="s">
        <v>79</v>
      </c>
      <c r="B132" s="10">
        <f>+B121</f>
        <v>2469</v>
      </c>
      <c r="C132" s="10">
        <f t="shared" ref="C132:G132" si="124">+C121</f>
        <v>5364</v>
      </c>
      <c r="D132" s="10">
        <f t="shared" si="124"/>
        <v>4929</v>
      </c>
      <c r="E132" s="10">
        <f t="shared" si="124"/>
        <v>3552</v>
      </c>
      <c r="F132" s="10">
        <f t="shared" si="124"/>
        <v>2574</v>
      </c>
      <c r="G132" s="10">
        <f t="shared" si="124"/>
        <v>501</v>
      </c>
      <c r="H132" s="10">
        <f t="shared" si="117"/>
        <v>19389</v>
      </c>
      <c r="J132" s="37"/>
      <c r="K132" s="37"/>
      <c r="L132" s="37"/>
      <c r="M132" s="37"/>
      <c r="N132" s="37"/>
      <c r="O132" s="37"/>
      <c r="P132" s="37"/>
      <c r="Q132" s="34"/>
      <c r="R132" s="37"/>
      <c r="S132" s="37"/>
      <c r="T132" s="37"/>
      <c r="U132" s="37"/>
      <c r="V132" s="37"/>
      <c r="W132" s="37"/>
      <c r="X132" s="37"/>
    </row>
    <row r="133" spans="1:24" x14ac:dyDescent="0.25">
      <c r="A133" s="2" t="s">
        <v>81</v>
      </c>
      <c r="J133" s="28"/>
      <c r="K133" s="28"/>
      <c r="L133" s="28"/>
      <c r="M133" s="28"/>
      <c r="N133" s="28"/>
      <c r="O133" s="28"/>
      <c r="P133" s="28"/>
      <c r="R133" s="28"/>
      <c r="S133" s="28"/>
      <c r="T133" s="28"/>
      <c r="U133" s="28"/>
      <c r="V133" s="28"/>
      <c r="W133" s="28"/>
      <c r="X133" s="28"/>
    </row>
    <row r="134" spans="1:24" x14ac:dyDescent="0.25">
      <c r="A134" s="5" t="s">
        <v>82</v>
      </c>
      <c r="B134" s="2">
        <v>-916</v>
      </c>
      <c r="C134" s="2">
        <v>-905</v>
      </c>
      <c r="D134" s="2">
        <v>-596</v>
      </c>
      <c r="E134" s="2">
        <v>-768</v>
      </c>
      <c r="F134" s="2">
        <v>-826</v>
      </c>
      <c r="G134" s="2">
        <v>-1194</v>
      </c>
      <c r="H134" s="2">
        <f t="shared" si="117"/>
        <v>-5205</v>
      </c>
      <c r="J134" s="28">
        <f t="shared" ref="J134:O140" si="125">+B134/B$121</f>
        <v>-0.37100040502227621</v>
      </c>
      <c r="K134" s="28">
        <f t="shared" si="125"/>
        <v>-0.16871737509321402</v>
      </c>
      <c r="L134" s="28">
        <f t="shared" si="125"/>
        <v>-0.12091702170825726</v>
      </c>
      <c r="M134" s="28">
        <f t="shared" si="125"/>
        <v>-0.21621621621621623</v>
      </c>
      <c r="N134" s="28">
        <f t="shared" si="125"/>
        <v>-0.3209013209013209</v>
      </c>
      <c r="O134" s="28">
        <f t="shared" si="125"/>
        <v>-2.3832335329341316</v>
      </c>
      <c r="P134" s="28"/>
      <c r="R134" s="28">
        <f t="shared" si="60"/>
        <v>-5.1629078507473856E-2</v>
      </c>
      <c r="S134" s="28">
        <f t="shared" si="61"/>
        <v>-1.4354576845997035E-2</v>
      </c>
      <c r="T134" s="28">
        <f t="shared" ref="T134:X140" si="126">(+B134-C134)/C134</f>
        <v>1.2154696132596685E-2</v>
      </c>
      <c r="U134" s="28">
        <f t="shared" si="126"/>
        <v>0.51845637583892612</v>
      </c>
      <c r="V134" s="28">
        <f t="shared" si="126"/>
        <v>-0.22395833333333334</v>
      </c>
      <c r="W134" s="28">
        <f t="shared" si="126"/>
        <v>-7.0217917675544791E-2</v>
      </c>
      <c r="X134" s="28">
        <f t="shared" si="126"/>
        <v>-0.3082077051926298</v>
      </c>
    </row>
    <row r="135" spans="1:24" x14ac:dyDescent="0.25">
      <c r="A135" s="5" t="s">
        <v>121</v>
      </c>
      <c r="B135" s="2">
        <v>0</v>
      </c>
      <c r="C135" s="2">
        <v>0</v>
      </c>
      <c r="D135" s="2">
        <v>0</v>
      </c>
      <c r="E135" s="2">
        <v>0</v>
      </c>
      <c r="F135" s="2">
        <v>1296</v>
      </c>
      <c r="G135" s="2">
        <v>2286</v>
      </c>
      <c r="H135" s="2">
        <f t="shared" si="117"/>
        <v>3582</v>
      </c>
      <c r="J135" s="28">
        <f t="shared" si="125"/>
        <v>0</v>
      </c>
      <c r="K135" s="28">
        <f t="shared" si="125"/>
        <v>0</v>
      </c>
      <c r="L135" s="28">
        <f t="shared" si="125"/>
        <v>0</v>
      </c>
      <c r="M135" s="28">
        <f t="shared" si="125"/>
        <v>0</v>
      </c>
      <c r="N135" s="28">
        <f t="shared" si="125"/>
        <v>0.50349650349650354</v>
      </c>
      <c r="O135" s="28">
        <f t="shared" si="125"/>
        <v>4.5628742514970062</v>
      </c>
      <c r="P135" s="28"/>
      <c r="R135" s="28">
        <f t="shared" si="60"/>
        <v>-0.99999940914518248</v>
      </c>
      <c r="S135" s="28" t="e">
        <f t="shared" si="61"/>
        <v>#DIV/0!</v>
      </c>
      <c r="T135" s="28" t="e">
        <f t="shared" si="126"/>
        <v>#DIV/0!</v>
      </c>
      <c r="U135" s="28" t="e">
        <f t="shared" si="126"/>
        <v>#DIV/0!</v>
      </c>
      <c r="V135" s="28" t="e">
        <f t="shared" si="126"/>
        <v>#DIV/0!</v>
      </c>
      <c r="W135" s="28">
        <f t="shared" si="126"/>
        <v>-1</v>
      </c>
      <c r="X135" s="28">
        <f t="shared" si="126"/>
        <v>-0.43307086614173229</v>
      </c>
    </row>
    <row r="136" spans="1:24" x14ac:dyDescent="0.25">
      <c r="A136" s="5" t="s">
        <v>83</v>
      </c>
      <c r="B136" s="2">
        <v>-481</v>
      </c>
      <c r="C136" s="2">
        <v>-74</v>
      </c>
      <c r="D136" s="2">
        <v>0</v>
      </c>
      <c r="E136" s="2">
        <v>-199</v>
      </c>
      <c r="F136" s="2">
        <v>-248</v>
      </c>
      <c r="G136" s="2">
        <v>0</v>
      </c>
      <c r="H136" s="2">
        <f t="shared" si="117"/>
        <v>-1002</v>
      </c>
      <c r="J136" s="28">
        <f t="shared" si="125"/>
        <v>-0.19481571486431754</v>
      </c>
      <c r="K136" s="28">
        <f t="shared" si="125"/>
        <v>-1.3795674869500374E-2</v>
      </c>
      <c r="L136" s="28">
        <f t="shared" si="125"/>
        <v>0</v>
      </c>
      <c r="M136" s="28">
        <f t="shared" si="125"/>
        <v>-5.6024774774774772E-2</v>
      </c>
      <c r="N136" s="28">
        <f t="shared" si="125"/>
        <v>-9.6348096348096351E-2</v>
      </c>
      <c r="O136" s="28">
        <f t="shared" si="125"/>
        <v>0</v>
      </c>
      <c r="P136" s="28"/>
      <c r="R136" s="28" t="e">
        <f t="shared" si="60"/>
        <v>#NUM!</v>
      </c>
      <c r="S136" s="28" t="e">
        <f t="shared" si="61"/>
        <v>#DIV/0!</v>
      </c>
      <c r="T136" s="28">
        <f t="shared" si="126"/>
        <v>5.5</v>
      </c>
      <c r="U136" s="28" t="e">
        <f t="shared" si="126"/>
        <v>#DIV/0!</v>
      </c>
      <c r="V136" s="28">
        <f t="shared" si="126"/>
        <v>-1</v>
      </c>
      <c r="W136" s="28">
        <f t="shared" si="126"/>
        <v>-0.19758064516129031</v>
      </c>
      <c r="X136" s="28" t="e">
        <f t="shared" si="126"/>
        <v>#DIV/0!</v>
      </c>
    </row>
    <row r="137" spans="1:24" x14ac:dyDescent="0.25">
      <c r="A137" s="5" t="s">
        <v>84</v>
      </c>
      <c r="B137" s="2">
        <v>208</v>
      </c>
      <c r="C137" s="2">
        <v>-28</v>
      </c>
      <c r="D137" s="2">
        <v>25</v>
      </c>
      <c r="E137" s="2">
        <v>590</v>
      </c>
      <c r="F137" s="2">
        <v>24</v>
      </c>
      <c r="G137" s="2">
        <v>0</v>
      </c>
      <c r="H137" s="2">
        <f t="shared" si="117"/>
        <v>819</v>
      </c>
      <c r="J137" s="28">
        <f t="shared" si="125"/>
        <v>8.4244633454840012E-2</v>
      </c>
      <c r="K137" s="28">
        <f t="shared" si="125"/>
        <v>-5.219985085756898E-3</v>
      </c>
      <c r="L137" s="28">
        <f t="shared" si="125"/>
        <v>5.0720227226617974E-3</v>
      </c>
      <c r="M137" s="28">
        <f t="shared" si="125"/>
        <v>0.1661036036036036</v>
      </c>
      <c r="N137" s="28">
        <f t="shared" si="125"/>
        <v>9.324009324009324E-3</v>
      </c>
      <c r="O137" s="28">
        <f t="shared" si="125"/>
        <v>0</v>
      </c>
      <c r="P137" s="28"/>
      <c r="R137" s="28" t="e">
        <f t="shared" si="60"/>
        <v>#NUM!</v>
      </c>
      <c r="S137" s="28" t="e">
        <f t="shared" si="61"/>
        <v>#DIV/0!</v>
      </c>
      <c r="T137" s="28">
        <f t="shared" si="126"/>
        <v>-8.4285714285714288</v>
      </c>
      <c r="U137" s="28">
        <f t="shared" si="126"/>
        <v>-2.12</v>
      </c>
      <c r="V137" s="28">
        <f t="shared" si="126"/>
        <v>-0.9576271186440678</v>
      </c>
      <c r="W137" s="28">
        <f t="shared" si="126"/>
        <v>23.583333333333332</v>
      </c>
      <c r="X137" s="28" t="e">
        <f t="shared" si="126"/>
        <v>#DIV/0!</v>
      </c>
    </row>
    <row r="138" spans="1:24" x14ac:dyDescent="0.25">
      <c r="A138" s="5" t="s">
        <v>85</v>
      </c>
      <c r="B138" s="2">
        <v>88</v>
      </c>
      <c r="C138" s="2">
        <v>5014</v>
      </c>
      <c r="D138" s="2">
        <v>0</v>
      </c>
      <c r="E138" s="2">
        <v>1875</v>
      </c>
      <c r="F138" s="2">
        <v>18</v>
      </c>
      <c r="G138" s="2">
        <v>0</v>
      </c>
      <c r="H138" s="2">
        <f t="shared" si="117"/>
        <v>6995</v>
      </c>
      <c r="J138" s="28">
        <f t="shared" si="125"/>
        <v>3.5641960307816932E-2</v>
      </c>
      <c r="K138" s="28">
        <f t="shared" si="125"/>
        <v>0.93475018642803875</v>
      </c>
      <c r="L138" s="28">
        <f t="shared" si="125"/>
        <v>0</v>
      </c>
      <c r="M138" s="28">
        <f t="shared" si="125"/>
        <v>0.5278716216216216</v>
      </c>
      <c r="N138" s="28">
        <f t="shared" si="125"/>
        <v>6.993006993006993E-3</v>
      </c>
      <c r="O138" s="28">
        <f t="shared" si="125"/>
        <v>0</v>
      </c>
      <c r="P138" s="28"/>
      <c r="R138" s="28" t="e">
        <f t="shared" si="60"/>
        <v>#NUM!</v>
      </c>
      <c r="S138" s="28" t="e">
        <f t="shared" si="61"/>
        <v>#DIV/0!</v>
      </c>
      <c r="T138" s="28">
        <f t="shared" si="126"/>
        <v>-0.98244914240127645</v>
      </c>
      <c r="U138" s="28" t="e">
        <f t="shared" si="126"/>
        <v>#DIV/0!</v>
      </c>
      <c r="V138" s="28">
        <f t="shared" si="126"/>
        <v>-1</v>
      </c>
      <c r="W138" s="28">
        <f t="shared" si="126"/>
        <v>103.16666666666667</v>
      </c>
      <c r="X138" s="28" t="e">
        <f t="shared" si="126"/>
        <v>#DIV/0!</v>
      </c>
    </row>
    <row r="139" spans="1:24" x14ac:dyDescent="0.25">
      <c r="A139" s="5" t="s">
        <v>86</v>
      </c>
      <c r="B139" s="2">
        <v>10</v>
      </c>
      <c r="C139" s="2">
        <v>31</v>
      </c>
      <c r="D139" s="2">
        <v>49</v>
      </c>
      <c r="E139" s="2">
        <v>13</v>
      </c>
      <c r="F139" s="2">
        <v>24</v>
      </c>
      <c r="G139" s="2">
        <v>85</v>
      </c>
      <c r="H139" s="2">
        <f t="shared" si="117"/>
        <v>212</v>
      </c>
      <c r="J139" s="28">
        <f t="shared" si="125"/>
        <v>4.0502227622519239E-3</v>
      </c>
      <c r="K139" s="28">
        <f t="shared" si="125"/>
        <v>5.779269202087994E-3</v>
      </c>
      <c r="L139" s="28">
        <f t="shared" si="125"/>
        <v>9.9411645364171231E-3</v>
      </c>
      <c r="M139" s="28">
        <f t="shared" si="125"/>
        <v>3.6599099099099098E-3</v>
      </c>
      <c r="N139" s="28">
        <f t="shared" si="125"/>
        <v>9.324009324009324E-3</v>
      </c>
      <c r="O139" s="28">
        <f t="shared" si="125"/>
        <v>0.16966067864271456</v>
      </c>
      <c r="P139" s="28"/>
      <c r="R139" s="28">
        <f t="shared" si="60"/>
        <v>-0.34819721036856505</v>
      </c>
      <c r="S139" s="28">
        <f t="shared" si="61"/>
        <v>0.10969681669193732</v>
      </c>
      <c r="T139" s="28">
        <f t="shared" si="126"/>
        <v>-0.67741935483870963</v>
      </c>
      <c r="U139" s="28">
        <f t="shared" si="126"/>
        <v>-0.36734693877551022</v>
      </c>
      <c r="V139" s="28">
        <f t="shared" si="126"/>
        <v>2.7692307692307692</v>
      </c>
      <c r="W139" s="28">
        <f t="shared" si="126"/>
        <v>-0.45833333333333331</v>
      </c>
      <c r="X139" s="28">
        <f t="shared" si="126"/>
        <v>-0.71764705882352942</v>
      </c>
    </row>
    <row r="140" spans="1:24" x14ac:dyDescent="0.25">
      <c r="A140" s="2" t="s">
        <v>87</v>
      </c>
      <c r="B140" s="10">
        <f>SUM(B134:B139)</f>
        <v>-1091</v>
      </c>
      <c r="C140" s="10">
        <f t="shared" ref="C140:G140" si="127">SUM(C134:C139)</f>
        <v>4038</v>
      </c>
      <c r="D140" s="10">
        <f t="shared" si="127"/>
        <v>-522</v>
      </c>
      <c r="E140" s="10">
        <f t="shared" si="127"/>
        <v>1511</v>
      </c>
      <c r="F140" s="10">
        <f t="shared" si="127"/>
        <v>288</v>
      </c>
      <c r="G140" s="10">
        <f t="shared" si="127"/>
        <v>1177</v>
      </c>
      <c r="H140" s="10">
        <f t="shared" si="117"/>
        <v>5401</v>
      </c>
      <c r="J140" s="33">
        <f t="shared" si="125"/>
        <v>-0.44187930336168491</v>
      </c>
      <c r="K140" s="33">
        <f t="shared" si="125"/>
        <v>0.75279642058165552</v>
      </c>
      <c r="L140" s="33">
        <f t="shared" si="125"/>
        <v>-0.10590383444917834</v>
      </c>
      <c r="M140" s="33">
        <f t="shared" si="125"/>
        <v>0.42539414414414417</v>
      </c>
      <c r="N140" s="33">
        <f t="shared" si="125"/>
        <v>0.11188811188811189</v>
      </c>
      <c r="O140" s="33">
        <f t="shared" si="125"/>
        <v>2.3493013972055889</v>
      </c>
      <c r="P140" s="33"/>
      <c r="Q140" s="10"/>
      <c r="R140" s="33" t="e">
        <f t="shared" si="60"/>
        <v>#NUM!</v>
      </c>
      <c r="S140" s="33">
        <f t="shared" si="61"/>
        <v>-1.5720128708089158</v>
      </c>
      <c r="T140" s="33">
        <f t="shared" si="126"/>
        <v>-1.2701832590391282</v>
      </c>
      <c r="U140" s="33">
        <f t="shared" si="126"/>
        <v>-8.7356321839080469</v>
      </c>
      <c r="V140" s="33">
        <f t="shared" si="126"/>
        <v>-1.3454665784248843</v>
      </c>
      <c r="W140" s="33">
        <f t="shared" si="126"/>
        <v>4.2465277777777777</v>
      </c>
      <c r="X140" s="33">
        <f t="shared" si="126"/>
        <v>-0.75531011045029739</v>
      </c>
    </row>
    <row r="141" spans="1:24" x14ac:dyDescent="0.25">
      <c r="A141" s="2" t="s">
        <v>88</v>
      </c>
      <c r="J141" s="28"/>
      <c r="K141" s="28"/>
      <c r="L141" s="28"/>
      <c r="M141" s="28"/>
      <c r="N141" s="28"/>
      <c r="O141" s="28"/>
      <c r="P141" s="28"/>
      <c r="R141" s="28"/>
      <c r="S141" s="28"/>
      <c r="T141" s="28"/>
      <c r="U141" s="28"/>
      <c r="V141" s="28"/>
      <c r="W141" s="28"/>
      <c r="X141" s="28"/>
    </row>
    <row r="142" spans="1:24" x14ac:dyDescent="0.25">
      <c r="A142" s="35" t="s">
        <v>89</v>
      </c>
      <c r="B142" s="2">
        <v>-1465</v>
      </c>
      <c r="C142" s="2">
        <v>-6202</v>
      </c>
      <c r="D142" s="2">
        <v>-4697</v>
      </c>
      <c r="E142" s="2">
        <v>-4795</v>
      </c>
      <c r="F142" s="2">
        <v>-2713</v>
      </c>
      <c r="G142" s="2">
        <v>-2641</v>
      </c>
      <c r="H142" s="2">
        <f t="shared" si="117"/>
        <v>-22513</v>
      </c>
      <c r="J142" s="28">
        <f t="shared" ref="J142:O148" si="128">+B142/B$121</f>
        <v>-0.59335763466990687</v>
      </c>
      <c r="K142" s="28">
        <f t="shared" si="128"/>
        <v>-1.1562266964951529</v>
      </c>
      <c r="L142" s="28">
        <f t="shared" si="128"/>
        <v>-0.95293162913369855</v>
      </c>
      <c r="M142" s="28">
        <f t="shared" si="128"/>
        <v>-1.3499436936936937</v>
      </c>
      <c r="N142" s="28">
        <f t="shared" si="128"/>
        <v>-1.0540015540015539</v>
      </c>
      <c r="O142" s="28">
        <f t="shared" si="128"/>
        <v>-5.2714570858283434</v>
      </c>
      <c r="P142" s="28"/>
      <c r="R142" s="28">
        <f t="shared" si="60"/>
        <v>-0.11117994623485696</v>
      </c>
      <c r="S142" s="28">
        <f t="shared" si="61"/>
        <v>6.6174400199464883E-2</v>
      </c>
      <c r="T142" s="28">
        <f t="shared" ref="T142:X148" si="129">(+B142-C142)/C142</f>
        <v>-0.76378587552402455</v>
      </c>
      <c r="U142" s="28">
        <f t="shared" si="129"/>
        <v>0.32041728763040239</v>
      </c>
      <c r="V142" s="28">
        <f t="shared" si="129"/>
        <v>-2.0437956204379562E-2</v>
      </c>
      <c r="W142" s="28">
        <f t="shared" si="129"/>
        <v>0.76741614448949502</v>
      </c>
      <c r="X142" s="28">
        <f t="shared" si="129"/>
        <v>2.7262400605831124E-2</v>
      </c>
    </row>
    <row r="143" spans="1:24" x14ac:dyDescent="0.25">
      <c r="A143" s="35" t="s">
        <v>90</v>
      </c>
      <c r="B143" s="2">
        <v>0</v>
      </c>
      <c r="C143" s="2">
        <v>0</v>
      </c>
      <c r="D143" s="2">
        <v>3500</v>
      </c>
      <c r="E143" s="2">
        <v>2967</v>
      </c>
      <c r="F143" s="2">
        <v>2990</v>
      </c>
      <c r="G143" s="2">
        <v>1496</v>
      </c>
      <c r="H143" s="2">
        <f t="shared" si="117"/>
        <v>10953</v>
      </c>
      <c r="J143" s="28">
        <f t="shared" si="128"/>
        <v>0</v>
      </c>
      <c r="K143" s="28">
        <f t="shared" si="128"/>
        <v>0</v>
      </c>
      <c r="L143" s="28">
        <f t="shared" si="128"/>
        <v>0.71008318117265168</v>
      </c>
      <c r="M143" s="28">
        <f t="shared" si="128"/>
        <v>0.83530405405405406</v>
      </c>
      <c r="N143" s="28">
        <f t="shared" si="128"/>
        <v>1.1616161616161615</v>
      </c>
      <c r="O143" s="28">
        <f t="shared" si="128"/>
        <v>2.9860279441117763</v>
      </c>
      <c r="P143" s="28"/>
      <c r="R143" s="28">
        <f t="shared" si="60"/>
        <v>-0.99999940914518248</v>
      </c>
      <c r="S143" s="28" t="e">
        <f t="shared" si="61"/>
        <v>#DIV/0!</v>
      </c>
      <c r="T143" s="28" t="e">
        <f t="shared" si="129"/>
        <v>#DIV/0!</v>
      </c>
      <c r="U143" s="28">
        <f t="shared" si="129"/>
        <v>-1</v>
      </c>
      <c r="V143" s="28">
        <f t="shared" si="129"/>
        <v>0.17964273677114931</v>
      </c>
      <c r="W143" s="28">
        <f t="shared" si="129"/>
        <v>-7.6923076923076927E-3</v>
      </c>
      <c r="X143" s="28">
        <f t="shared" si="129"/>
        <v>0.99866310160427807</v>
      </c>
    </row>
    <row r="144" spans="1:24" x14ac:dyDescent="0.25">
      <c r="A144" s="35" t="s">
        <v>91</v>
      </c>
      <c r="B144" s="2">
        <v>10</v>
      </c>
      <c r="C144" s="2">
        <v>-924</v>
      </c>
      <c r="D144" s="2">
        <v>-116</v>
      </c>
      <c r="E144" s="2">
        <v>-99</v>
      </c>
      <c r="F144" s="2">
        <v>0</v>
      </c>
      <c r="G144" s="2">
        <v>0</v>
      </c>
      <c r="H144" s="2">
        <f t="shared" si="117"/>
        <v>-1129</v>
      </c>
      <c r="J144" s="28">
        <f t="shared" si="128"/>
        <v>4.0502227622519239E-3</v>
      </c>
      <c r="K144" s="28">
        <f t="shared" si="128"/>
        <v>-0.17225950782997762</v>
      </c>
      <c r="L144" s="28">
        <f t="shared" si="128"/>
        <v>-2.353418543315074E-2</v>
      </c>
      <c r="M144" s="28">
        <f t="shared" si="128"/>
        <v>-2.7871621621621621E-2</v>
      </c>
      <c r="N144" s="28">
        <f t="shared" si="128"/>
        <v>0</v>
      </c>
      <c r="O144" s="28">
        <f t="shared" si="128"/>
        <v>0</v>
      </c>
      <c r="P144" s="28"/>
      <c r="R144" s="28" t="e">
        <f t="shared" si="60"/>
        <v>#NUM!</v>
      </c>
      <c r="S144" s="28" t="e">
        <f t="shared" si="61"/>
        <v>#DIV/0!</v>
      </c>
      <c r="T144" s="28">
        <f t="shared" si="129"/>
        <v>-1.0108225108225108</v>
      </c>
      <c r="U144" s="28">
        <f t="shared" si="129"/>
        <v>6.9655172413793105</v>
      </c>
      <c r="V144" s="28">
        <f t="shared" si="129"/>
        <v>0.17171717171717171</v>
      </c>
      <c r="W144" s="28" t="e">
        <f t="shared" si="129"/>
        <v>#DIV/0!</v>
      </c>
      <c r="X144" s="28" t="e">
        <f t="shared" si="129"/>
        <v>#DIV/0!</v>
      </c>
    </row>
    <row r="145" spans="1:24" x14ac:dyDescent="0.25">
      <c r="A145" s="35" t="s">
        <v>92</v>
      </c>
      <c r="B145" s="2">
        <v>0</v>
      </c>
      <c r="C145" s="2">
        <v>0</v>
      </c>
      <c r="D145" s="2">
        <v>4000</v>
      </c>
      <c r="E145" s="2">
        <v>0</v>
      </c>
      <c r="F145" s="2">
        <v>0</v>
      </c>
      <c r="G145" s="2">
        <v>0</v>
      </c>
      <c r="H145" s="2">
        <f t="shared" si="117"/>
        <v>4000</v>
      </c>
      <c r="J145" s="28">
        <f t="shared" si="128"/>
        <v>0</v>
      </c>
      <c r="K145" s="28">
        <f t="shared" si="128"/>
        <v>0</v>
      </c>
      <c r="L145" s="28">
        <f t="shared" si="128"/>
        <v>0.81152363562588758</v>
      </c>
      <c r="M145" s="28">
        <f t="shared" si="128"/>
        <v>0</v>
      </c>
      <c r="N145" s="28">
        <f t="shared" si="128"/>
        <v>0</v>
      </c>
      <c r="O145" s="28">
        <f t="shared" si="128"/>
        <v>0</v>
      </c>
      <c r="P145" s="28"/>
      <c r="R145" s="28" t="e">
        <f t="shared" si="60"/>
        <v>#NUM!</v>
      </c>
      <c r="S145" s="28" t="e">
        <f t="shared" si="61"/>
        <v>#DIV/0!</v>
      </c>
      <c r="T145" s="28" t="e">
        <f t="shared" si="129"/>
        <v>#DIV/0!</v>
      </c>
      <c r="U145" s="28">
        <f t="shared" si="129"/>
        <v>-1</v>
      </c>
      <c r="V145" s="28" t="e">
        <f t="shared" si="129"/>
        <v>#DIV/0!</v>
      </c>
      <c r="W145" s="28" t="e">
        <f t="shared" si="129"/>
        <v>#DIV/0!</v>
      </c>
      <c r="X145" s="28" t="e">
        <f t="shared" si="129"/>
        <v>#DIV/0!</v>
      </c>
    </row>
    <row r="146" spans="1:24" x14ac:dyDescent="0.25">
      <c r="A146" s="35" t="s">
        <v>93</v>
      </c>
      <c r="B146" s="2">
        <v>0</v>
      </c>
      <c r="C146" s="2">
        <v>0</v>
      </c>
      <c r="D146" s="2">
        <v>-4000</v>
      </c>
      <c r="E146" s="2">
        <v>0</v>
      </c>
      <c r="F146" s="2">
        <v>0</v>
      </c>
      <c r="G146" s="2">
        <v>0</v>
      </c>
      <c r="H146" s="2">
        <f t="shared" si="117"/>
        <v>-4000</v>
      </c>
      <c r="J146" s="28">
        <f t="shared" si="128"/>
        <v>0</v>
      </c>
      <c r="K146" s="28">
        <f t="shared" si="128"/>
        <v>0</v>
      </c>
      <c r="L146" s="28">
        <f t="shared" si="128"/>
        <v>-0.81152363562588758</v>
      </c>
      <c r="M146" s="28">
        <f t="shared" si="128"/>
        <v>0</v>
      </c>
      <c r="N146" s="28">
        <f t="shared" si="128"/>
        <v>0</v>
      </c>
      <c r="O146" s="28">
        <f t="shared" si="128"/>
        <v>0</v>
      </c>
      <c r="P146" s="28"/>
      <c r="R146" s="28" t="e">
        <f t="shared" si="60"/>
        <v>#NUM!</v>
      </c>
      <c r="S146" s="28" t="e">
        <f t="shared" si="61"/>
        <v>#DIV/0!</v>
      </c>
      <c r="T146" s="28" t="e">
        <f t="shared" si="129"/>
        <v>#DIV/0!</v>
      </c>
      <c r="U146" s="28">
        <f t="shared" si="129"/>
        <v>-1</v>
      </c>
      <c r="V146" s="28" t="e">
        <f t="shared" si="129"/>
        <v>#DIV/0!</v>
      </c>
      <c r="W146" s="28" t="e">
        <f t="shared" si="129"/>
        <v>#DIV/0!</v>
      </c>
      <c r="X146" s="28" t="e">
        <f t="shared" si="129"/>
        <v>#DIV/0!</v>
      </c>
    </row>
    <row r="147" spans="1:24" x14ac:dyDescent="0.25">
      <c r="A147" s="35" t="s">
        <v>94</v>
      </c>
      <c r="B147" s="2">
        <v>228</v>
      </c>
      <c r="C147" s="2">
        <v>0</v>
      </c>
      <c r="D147" s="2">
        <v>0</v>
      </c>
      <c r="E147" s="2">
        <v>557</v>
      </c>
      <c r="F147" s="2">
        <v>2784</v>
      </c>
      <c r="G147" s="2">
        <v>6043</v>
      </c>
      <c r="H147" s="2">
        <f t="shared" si="117"/>
        <v>9612</v>
      </c>
      <c r="J147" s="28">
        <f t="shared" si="128"/>
        <v>9.2345078979343867E-2</v>
      </c>
      <c r="K147" s="28">
        <f t="shared" si="128"/>
        <v>0</v>
      </c>
      <c r="L147" s="28">
        <f t="shared" si="128"/>
        <v>0</v>
      </c>
      <c r="M147" s="28">
        <f t="shared" si="128"/>
        <v>0.15681306306306306</v>
      </c>
      <c r="N147" s="28">
        <f t="shared" si="128"/>
        <v>1.0815850815850816</v>
      </c>
      <c r="O147" s="28">
        <f t="shared" si="128"/>
        <v>12.061876247504991</v>
      </c>
      <c r="P147" s="28"/>
      <c r="R147" s="28">
        <f t="shared" si="60"/>
        <v>-0.48079788783255906</v>
      </c>
      <c r="S147" s="28" t="e">
        <f t="shared" si="61"/>
        <v>#DIV/0!</v>
      </c>
      <c r="T147" s="28" t="e">
        <f t="shared" si="129"/>
        <v>#DIV/0!</v>
      </c>
      <c r="U147" s="28" t="e">
        <f t="shared" si="129"/>
        <v>#DIV/0!</v>
      </c>
      <c r="V147" s="28">
        <f t="shared" si="129"/>
        <v>-1</v>
      </c>
      <c r="W147" s="28">
        <f t="shared" si="129"/>
        <v>-0.79992816091954022</v>
      </c>
      <c r="X147" s="28">
        <f t="shared" si="129"/>
        <v>-0.53930167135528706</v>
      </c>
    </row>
    <row r="148" spans="1:24" x14ac:dyDescent="0.25">
      <c r="A148" s="35" t="s">
        <v>95</v>
      </c>
      <c r="B148" s="2">
        <v>-228</v>
      </c>
      <c r="C148" s="2">
        <v>0</v>
      </c>
      <c r="D148" s="2">
        <v>0</v>
      </c>
      <c r="E148" s="2">
        <v>-557</v>
      </c>
      <c r="F148" s="2">
        <v>-3213</v>
      </c>
      <c r="G148" s="2">
        <v>-6249</v>
      </c>
      <c r="H148" s="2">
        <f t="shared" si="117"/>
        <v>-10247</v>
      </c>
      <c r="J148" s="28">
        <f t="shared" si="128"/>
        <v>-9.2345078979343867E-2</v>
      </c>
      <c r="K148" s="28">
        <f t="shared" si="128"/>
        <v>0</v>
      </c>
      <c r="L148" s="28">
        <f t="shared" si="128"/>
        <v>0</v>
      </c>
      <c r="M148" s="28">
        <f t="shared" si="128"/>
        <v>-0.15681306306306306</v>
      </c>
      <c r="N148" s="28">
        <f t="shared" si="128"/>
        <v>-1.2482517482517483</v>
      </c>
      <c r="O148" s="28">
        <f t="shared" si="128"/>
        <v>-12.473053892215569</v>
      </c>
      <c r="P148" s="28"/>
      <c r="R148" s="28">
        <f t="shared" si="60"/>
        <v>-0.48426706751700083</v>
      </c>
      <c r="S148" s="28" t="e">
        <f t="shared" si="61"/>
        <v>#DIV/0!</v>
      </c>
      <c r="T148" s="28" t="e">
        <f t="shared" si="129"/>
        <v>#DIV/0!</v>
      </c>
      <c r="U148" s="28" t="e">
        <f t="shared" si="129"/>
        <v>#DIV/0!</v>
      </c>
      <c r="V148" s="28">
        <f t="shared" si="129"/>
        <v>-1</v>
      </c>
      <c r="W148" s="28">
        <f t="shared" si="129"/>
        <v>-0.82664176781823839</v>
      </c>
      <c r="X148" s="28">
        <f t="shared" si="129"/>
        <v>-0.48583773403744601</v>
      </c>
    </row>
    <row r="149" spans="1:24" x14ac:dyDescent="0.25">
      <c r="A149" s="5" t="s">
        <v>189</v>
      </c>
      <c r="B149" s="6">
        <f>SUM(B142:B148)</f>
        <v>-1455</v>
      </c>
      <c r="C149" s="6">
        <f t="shared" ref="C149:G149" si="130">SUM(C142:C148)</f>
        <v>-7126</v>
      </c>
      <c r="D149" s="6">
        <f t="shared" si="130"/>
        <v>-1313</v>
      </c>
      <c r="E149" s="6">
        <f t="shared" si="130"/>
        <v>-1927</v>
      </c>
      <c r="F149" s="6">
        <f t="shared" si="130"/>
        <v>-152</v>
      </c>
      <c r="G149" s="6">
        <f t="shared" si="130"/>
        <v>-1351</v>
      </c>
      <c r="H149" s="6">
        <f t="shared" si="117"/>
        <v>-13324</v>
      </c>
      <c r="J149" s="28"/>
      <c r="K149" s="28"/>
      <c r="L149" s="28"/>
      <c r="M149" s="28"/>
      <c r="N149" s="28"/>
      <c r="O149" s="28"/>
      <c r="P149" s="28"/>
      <c r="R149" s="28"/>
      <c r="S149" s="28"/>
      <c r="T149" s="28"/>
      <c r="U149" s="28"/>
      <c r="V149" s="28"/>
      <c r="W149" s="28"/>
      <c r="X149" s="28"/>
    </row>
    <row r="150" spans="1:24" x14ac:dyDescent="0.25">
      <c r="A150" s="5" t="s">
        <v>96</v>
      </c>
      <c r="B150" s="2">
        <v>-1960</v>
      </c>
      <c r="C150" s="2">
        <v>-1959</v>
      </c>
      <c r="D150" s="2">
        <v>-1958</v>
      </c>
      <c r="E150" s="2">
        <v>-1953</v>
      </c>
      <c r="F150" s="2">
        <v>-3183</v>
      </c>
      <c r="G150" s="2">
        <v>-2888</v>
      </c>
      <c r="H150" s="2">
        <f t="shared" si="117"/>
        <v>-13901</v>
      </c>
      <c r="J150" s="28">
        <f t="shared" ref="J150:O156" si="131">+B150/B$121</f>
        <v>-0.79384366140137708</v>
      </c>
      <c r="K150" s="28">
        <f t="shared" si="131"/>
        <v>-0.36521252796420584</v>
      </c>
      <c r="L150" s="28">
        <f t="shared" si="131"/>
        <v>-0.39724081963887198</v>
      </c>
      <c r="M150" s="28">
        <f t="shared" si="131"/>
        <v>-0.54983108108108103</v>
      </c>
      <c r="N150" s="28">
        <f t="shared" si="131"/>
        <v>-1.2365967365967365</v>
      </c>
      <c r="O150" s="28">
        <f t="shared" si="131"/>
        <v>-5.764471057884232</v>
      </c>
      <c r="P150" s="28"/>
      <c r="R150" s="28">
        <f t="shared" si="60"/>
        <v>-7.4595138905815289E-2</v>
      </c>
      <c r="S150" s="28">
        <f t="shared" si="61"/>
        <v>-5.6139946040355194E-2</v>
      </c>
      <c r="T150" s="28">
        <f t="shared" ref="T150:X156" si="132">(+B150-C150)/C150</f>
        <v>5.1046452271567128E-4</v>
      </c>
      <c r="U150" s="28">
        <f t="shared" si="132"/>
        <v>5.1072522982635344E-4</v>
      </c>
      <c r="V150" s="28">
        <f t="shared" si="132"/>
        <v>2.5601638504864311E-3</v>
      </c>
      <c r="W150" s="28">
        <f t="shared" si="132"/>
        <v>-0.38642789820923656</v>
      </c>
      <c r="X150" s="28">
        <f t="shared" si="132"/>
        <v>0.10214681440443213</v>
      </c>
    </row>
    <row r="151" spans="1:24" x14ac:dyDescent="0.25">
      <c r="A151" s="5" t="s">
        <v>97</v>
      </c>
      <c r="B151" s="2">
        <v>-299</v>
      </c>
      <c r="C151" s="2">
        <v>-259</v>
      </c>
      <c r="D151" s="2">
        <v>-60</v>
      </c>
      <c r="E151" s="2">
        <v>-33</v>
      </c>
      <c r="F151" s="2">
        <v>-28</v>
      </c>
      <c r="G151" s="2">
        <v>18</v>
      </c>
      <c r="H151" s="2">
        <f t="shared" si="117"/>
        <v>-661</v>
      </c>
      <c r="J151" s="28">
        <f t="shared" si="131"/>
        <v>-0.12110166059133252</v>
      </c>
      <c r="K151" s="28">
        <f t="shared" si="131"/>
        <v>-4.8284862043251303E-2</v>
      </c>
      <c r="L151" s="28">
        <f t="shared" si="131"/>
        <v>-1.2172854534388313E-2</v>
      </c>
      <c r="M151" s="28">
        <f t="shared" si="131"/>
        <v>-9.2905405405405411E-3</v>
      </c>
      <c r="N151" s="28">
        <f t="shared" si="131"/>
        <v>-1.0878010878010878E-2</v>
      </c>
      <c r="O151" s="28">
        <f t="shared" si="131"/>
        <v>3.5928143712574849E-2</v>
      </c>
      <c r="P151" s="28"/>
      <c r="R151" s="28" t="e">
        <f t="shared" si="60"/>
        <v>#NUM!</v>
      </c>
      <c r="S151" s="28">
        <f t="shared" si="61"/>
        <v>0.38246090246090264</v>
      </c>
      <c r="T151" s="28">
        <f t="shared" si="132"/>
        <v>0.15444015444015444</v>
      </c>
      <c r="U151" s="28">
        <f t="shared" si="132"/>
        <v>3.3166666666666669</v>
      </c>
      <c r="V151" s="28">
        <f t="shared" si="132"/>
        <v>0.81818181818181823</v>
      </c>
      <c r="W151" s="28">
        <f t="shared" si="132"/>
        <v>0.17857142857142858</v>
      </c>
      <c r="X151" s="28">
        <f t="shared" si="132"/>
        <v>-2.5555555555555554</v>
      </c>
    </row>
    <row r="152" spans="1:24" x14ac:dyDescent="0.25">
      <c r="A152" s="2" t="s">
        <v>98</v>
      </c>
      <c r="B152" s="10">
        <f>SUM(B149:B151)</f>
        <v>-3714</v>
      </c>
      <c r="C152" s="10">
        <f t="shared" ref="C152:G152" si="133">SUM(C149:C151)</f>
        <v>-9344</v>
      </c>
      <c r="D152" s="10">
        <f t="shared" si="133"/>
        <v>-3331</v>
      </c>
      <c r="E152" s="10">
        <f t="shared" si="133"/>
        <v>-3913</v>
      </c>
      <c r="F152" s="10">
        <f t="shared" si="133"/>
        <v>-3363</v>
      </c>
      <c r="G152" s="10">
        <f t="shared" si="133"/>
        <v>-4221</v>
      </c>
      <c r="H152" s="10">
        <f t="shared" si="117"/>
        <v>-27886</v>
      </c>
      <c r="J152" s="33">
        <f t="shared" si="131"/>
        <v>-1.5042527339003646</v>
      </c>
      <c r="K152" s="33">
        <f t="shared" si="131"/>
        <v>-1.7419835943325876</v>
      </c>
      <c r="L152" s="33">
        <f t="shared" si="131"/>
        <v>-0.6757963075674579</v>
      </c>
      <c r="M152" s="33">
        <f t="shared" si="131"/>
        <v>-1.101632882882883</v>
      </c>
      <c r="N152" s="33">
        <f t="shared" si="131"/>
        <v>-1.3065268065268065</v>
      </c>
      <c r="O152" s="33">
        <f t="shared" si="131"/>
        <v>-8.4251497005988032</v>
      </c>
      <c r="P152" s="33"/>
      <c r="Q152" s="10"/>
      <c r="R152" s="33">
        <f t="shared" ref="R152:R156" si="134">RATE(5,0,-G152,B152)</f>
        <v>-2.5267808183075099E-2</v>
      </c>
      <c r="S152" s="33">
        <f t="shared" ref="S152:S156" si="135">AVERAGE(T152:X152)</f>
        <v>0.20283560611242665</v>
      </c>
      <c r="T152" s="33">
        <f t="shared" si="132"/>
        <v>-0.60252568493150682</v>
      </c>
      <c r="U152" s="33">
        <f t="shared" si="132"/>
        <v>1.805163614530171</v>
      </c>
      <c r="V152" s="33">
        <f t="shared" si="132"/>
        <v>-0.14873498594428827</v>
      </c>
      <c r="W152" s="33">
        <f t="shared" si="132"/>
        <v>0.16354445435622955</v>
      </c>
      <c r="X152" s="33">
        <f t="shared" si="132"/>
        <v>-0.20326936744847193</v>
      </c>
    </row>
    <row r="153" spans="1:24" x14ac:dyDescent="0.25">
      <c r="A153" s="2" t="s">
        <v>99</v>
      </c>
      <c r="B153" s="2">
        <v>-69</v>
      </c>
      <c r="C153" s="2">
        <v>-30</v>
      </c>
      <c r="D153" s="2">
        <v>62</v>
      </c>
      <c r="E153" s="2">
        <v>-6</v>
      </c>
      <c r="F153" s="2">
        <v>-132</v>
      </c>
      <c r="G153" s="2">
        <v>57</v>
      </c>
      <c r="H153" s="2">
        <f t="shared" si="117"/>
        <v>-118</v>
      </c>
      <c r="J153" s="33">
        <f t="shared" si="131"/>
        <v>-2.7946537059538274E-2</v>
      </c>
      <c r="K153" s="33">
        <f t="shared" si="131"/>
        <v>-5.5928411633109623E-3</v>
      </c>
      <c r="L153" s="33">
        <f t="shared" si="131"/>
        <v>1.2578616352201259E-2</v>
      </c>
      <c r="M153" s="33">
        <f t="shared" si="131"/>
        <v>-1.6891891891891893E-3</v>
      </c>
      <c r="N153" s="33">
        <f t="shared" si="131"/>
        <v>-5.128205128205128E-2</v>
      </c>
      <c r="O153" s="33">
        <f t="shared" si="131"/>
        <v>0.11377245508982035</v>
      </c>
      <c r="P153" s="33"/>
      <c r="Q153" s="10"/>
      <c r="R153" s="33" t="e">
        <f t="shared" si="134"/>
        <v>#NUM!</v>
      </c>
      <c r="S153" s="33">
        <f t="shared" si="135"/>
        <v>-3.1575078458609869</v>
      </c>
      <c r="T153" s="33">
        <f t="shared" si="132"/>
        <v>1.3</v>
      </c>
      <c r="U153" s="33">
        <f t="shared" si="132"/>
        <v>-1.4838709677419355</v>
      </c>
      <c r="V153" s="33">
        <f t="shared" si="132"/>
        <v>-11.333333333333334</v>
      </c>
      <c r="W153" s="33">
        <f t="shared" si="132"/>
        <v>-0.95454545454545459</v>
      </c>
      <c r="X153" s="33">
        <f t="shared" si="132"/>
        <v>-3.3157894736842106</v>
      </c>
    </row>
    <row r="154" spans="1:24" x14ac:dyDescent="0.25">
      <c r="A154" s="2" t="s">
        <v>100</v>
      </c>
      <c r="B154" s="6">
        <f t="shared" ref="B154:G154" si="136">+B153+B152+B140+B121</f>
        <v>-2405</v>
      </c>
      <c r="C154" s="6">
        <f t="shared" si="136"/>
        <v>28</v>
      </c>
      <c r="D154" s="6">
        <f t="shared" si="136"/>
        <v>1138</v>
      </c>
      <c r="E154" s="6">
        <f t="shared" si="136"/>
        <v>1144</v>
      </c>
      <c r="F154" s="6">
        <f t="shared" si="136"/>
        <v>-633</v>
      </c>
      <c r="G154" s="6">
        <f t="shared" si="136"/>
        <v>-2486</v>
      </c>
      <c r="H154" s="6">
        <f t="shared" si="117"/>
        <v>-3214</v>
      </c>
      <c r="J154" s="28">
        <f t="shared" si="131"/>
        <v>-0.97407857432158773</v>
      </c>
      <c r="K154" s="28">
        <f t="shared" si="131"/>
        <v>5.219985085756898E-3</v>
      </c>
      <c r="L154" s="28">
        <f t="shared" si="131"/>
        <v>0.23087847433556502</v>
      </c>
      <c r="M154" s="28">
        <f t="shared" si="131"/>
        <v>0.32207207207207206</v>
      </c>
      <c r="N154" s="28">
        <f t="shared" si="131"/>
        <v>-0.24592074592074592</v>
      </c>
      <c r="O154" s="28">
        <f t="shared" si="131"/>
        <v>-4.9620758483033933</v>
      </c>
      <c r="P154" s="28"/>
      <c r="R154" s="28">
        <f t="shared" si="134"/>
        <v>-6.6031208578273834E-3</v>
      </c>
      <c r="S154" s="28">
        <f t="shared" si="135"/>
        <v>-18.285227681247186</v>
      </c>
      <c r="T154" s="28">
        <f t="shared" si="132"/>
        <v>-86.892857142857139</v>
      </c>
      <c r="U154" s="28">
        <f t="shared" si="132"/>
        <v>-0.97539543057996481</v>
      </c>
      <c r="V154" s="28">
        <f t="shared" si="132"/>
        <v>-5.244755244755245E-3</v>
      </c>
      <c r="W154" s="28">
        <f t="shared" si="132"/>
        <v>-2.807266982622433</v>
      </c>
      <c r="X154" s="28">
        <f t="shared" si="132"/>
        <v>-0.7453740949316171</v>
      </c>
    </row>
    <row r="155" spans="1:24" x14ac:dyDescent="0.25">
      <c r="A155" s="2" t="s">
        <v>101</v>
      </c>
      <c r="B155" s="2">
        <f>+C156</f>
        <v>3446</v>
      </c>
      <c r="C155" s="2">
        <f t="shared" ref="C155:E155" si="137">+D156</f>
        <v>3418</v>
      </c>
      <c r="D155" s="2">
        <v>2280</v>
      </c>
      <c r="E155" s="2">
        <f t="shared" si="137"/>
        <v>1136</v>
      </c>
      <c r="F155" s="2">
        <v>1769</v>
      </c>
      <c r="G155" s="2">
        <v>4255</v>
      </c>
      <c r="H155" s="2">
        <f>+G155</f>
        <v>4255</v>
      </c>
      <c r="J155" s="28">
        <f t="shared" si="131"/>
        <v>1.3957067638720129</v>
      </c>
      <c r="K155" s="28">
        <f t="shared" si="131"/>
        <v>0.63721103653989564</v>
      </c>
      <c r="L155" s="28">
        <f t="shared" si="131"/>
        <v>0.46256847230675591</v>
      </c>
      <c r="M155" s="28">
        <f t="shared" si="131"/>
        <v>0.31981981981981983</v>
      </c>
      <c r="N155" s="28">
        <f t="shared" si="131"/>
        <v>0.68725718725718721</v>
      </c>
      <c r="O155" s="28">
        <f t="shared" si="131"/>
        <v>8.4930139720558877</v>
      </c>
      <c r="P155" s="28"/>
      <c r="R155" s="28">
        <f t="shared" si="134"/>
        <v>-4.1299085289094761E-2</v>
      </c>
      <c r="S155" s="28">
        <f t="shared" si="135"/>
        <v>0.11445477690487413</v>
      </c>
      <c r="T155" s="28">
        <f t="shared" si="132"/>
        <v>8.1919251023990641E-3</v>
      </c>
      <c r="U155" s="28">
        <f t="shared" si="132"/>
        <v>0.49912280701754386</v>
      </c>
      <c r="V155" s="28">
        <f t="shared" si="132"/>
        <v>1.0070422535211268</v>
      </c>
      <c r="W155" s="28">
        <f t="shared" si="132"/>
        <v>-0.35782928208027132</v>
      </c>
      <c r="X155" s="28">
        <f t="shared" si="132"/>
        <v>-0.5842538190364277</v>
      </c>
    </row>
    <row r="156" spans="1:24" ht="15.75" thickBot="1" x14ac:dyDescent="0.3">
      <c r="A156" s="2" t="s">
        <v>102</v>
      </c>
      <c r="B156" s="9">
        <f>+B155+B154</f>
        <v>1041</v>
      </c>
      <c r="C156" s="9">
        <f t="shared" ref="C156:G156" si="138">+C155+C154</f>
        <v>3446</v>
      </c>
      <c r="D156" s="9">
        <f t="shared" si="138"/>
        <v>3418</v>
      </c>
      <c r="E156" s="9">
        <f t="shared" si="138"/>
        <v>2280</v>
      </c>
      <c r="F156" s="9">
        <f t="shared" si="138"/>
        <v>1136</v>
      </c>
      <c r="G156" s="9">
        <f t="shared" si="138"/>
        <v>1769</v>
      </c>
      <c r="H156" s="9">
        <f>+H155+H154</f>
        <v>1041</v>
      </c>
      <c r="J156" s="32">
        <f t="shared" si="131"/>
        <v>0.42162818955042525</v>
      </c>
      <c r="K156" s="32">
        <f t="shared" si="131"/>
        <v>0.64243102162565247</v>
      </c>
      <c r="L156" s="32">
        <f t="shared" si="131"/>
        <v>0.69344694664232098</v>
      </c>
      <c r="M156" s="32">
        <f t="shared" si="131"/>
        <v>0.64189189189189189</v>
      </c>
      <c r="N156" s="32">
        <f t="shared" si="131"/>
        <v>0.44133644133644134</v>
      </c>
      <c r="O156" s="32">
        <f t="shared" si="131"/>
        <v>3.5309381237524948</v>
      </c>
      <c r="P156" s="32"/>
      <c r="Q156" s="11"/>
      <c r="R156" s="32">
        <f t="shared" si="134"/>
        <v>-0.10061719678040582</v>
      </c>
      <c r="S156" s="32">
        <f t="shared" si="135"/>
        <v>9.1723416510186367E-2</v>
      </c>
      <c r="T156" s="32">
        <f t="shared" si="132"/>
        <v>-0.69791062100986656</v>
      </c>
      <c r="U156" s="32">
        <f t="shared" si="132"/>
        <v>8.1919251023990641E-3</v>
      </c>
      <c r="V156" s="32">
        <f t="shared" si="132"/>
        <v>0.49912280701754386</v>
      </c>
      <c r="W156" s="32">
        <f t="shared" si="132"/>
        <v>1.0070422535211268</v>
      </c>
      <c r="X156" s="32">
        <f t="shared" si="132"/>
        <v>-0.35782928208027132</v>
      </c>
    </row>
    <row r="157" spans="1:24" ht="15.75" thickTop="1" x14ac:dyDescent="0.25">
      <c r="A157" s="3" t="s">
        <v>190</v>
      </c>
      <c r="B157" s="2">
        <f t="shared" ref="B157:G157" si="139">+B156-B6</f>
        <v>1</v>
      </c>
      <c r="C157" s="2">
        <f t="shared" si="139"/>
        <v>1</v>
      </c>
      <c r="D157" s="2">
        <f t="shared" si="139"/>
        <v>1</v>
      </c>
      <c r="E157" s="2">
        <f t="shared" si="139"/>
        <v>1</v>
      </c>
      <c r="F157" s="2">
        <f t="shared" si="139"/>
        <v>6</v>
      </c>
      <c r="G157" s="2">
        <f t="shared" si="139"/>
        <v>140</v>
      </c>
    </row>
    <row r="159" spans="1:24" hidden="1" x14ac:dyDescent="0.25">
      <c r="A159" s="2" t="s">
        <v>103</v>
      </c>
      <c r="B159" s="8">
        <v>937</v>
      </c>
      <c r="C159" s="8">
        <v>1196</v>
      </c>
      <c r="D159" s="8">
        <v>1286</v>
      </c>
      <c r="E159" s="8">
        <v>1306</v>
      </c>
      <c r="F159" s="8">
        <v>1322</v>
      </c>
      <c r="G159" s="8">
        <v>1269</v>
      </c>
      <c r="H159" s="8"/>
    </row>
    <row r="160" spans="1:24" hidden="1" x14ac:dyDescent="0.25">
      <c r="A160" s="2" t="s">
        <v>104</v>
      </c>
      <c r="B160" s="2">
        <v>1260</v>
      </c>
      <c r="C160" s="2">
        <v>1295</v>
      </c>
      <c r="D160" s="2">
        <v>1027</v>
      </c>
      <c r="E160" s="2">
        <v>974</v>
      </c>
      <c r="F160" s="2">
        <v>543</v>
      </c>
      <c r="G160" s="2">
        <v>1206</v>
      </c>
    </row>
    <row r="161" spans="1:8" hidden="1" x14ac:dyDescent="0.25">
      <c r="A161" s="2" t="s">
        <v>105</v>
      </c>
      <c r="B161" s="8">
        <v>173</v>
      </c>
      <c r="C161" s="8">
        <v>176</v>
      </c>
      <c r="D161" s="8">
        <v>173</v>
      </c>
      <c r="E161" s="8">
        <v>191</v>
      </c>
      <c r="F161" s="8">
        <v>200</v>
      </c>
      <c r="G161" s="8">
        <v>244</v>
      </c>
      <c r="H161" s="8"/>
    </row>
    <row r="163" spans="1:8" s="15" customFormat="1" x14ac:dyDescent="0.25">
      <c r="A163" s="15" t="str">
        <f>+A1</f>
        <v>Kraft Heinz Company</v>
      </c>
      <c r="B163" s="15" t="str">
        <f>+B1</f>
        <v>Reclassified</v>
      </c>
    </row>
    <row r="164" spans="1:8" s="15" customFormat="1" x14ac:dyDescent="0.25">
      <c r="A164" s="15" t="s">
        <v>106</v>
      </c>
    </row>
    <row r="165" spans="1:8" s="15" customFormat="1" x14ac:dyDescent="0.25">
      <c r="A165" s="15" t="str">
        <f>+A3</f>
        <v>in millions except per share data</v>
      </c>
      <c r="F165" s="15" t="s">
        <v>150</v>
      </c>
      <c r="G165" s="16" t="s">
        <v>125</v>
      </c>
      <c r="H165" s="16"/>
    </row>
    <row r="166" spans="1:8" s="15" customFormat="1" ht="15.75" thickBot="1" x14ac:dyDescent="0.3">
      <c r="A166" s="16" t="str">
        <f>+A4</f>
        <v>Year ended near 12/31:</v>
      </c>
      <c r="B166" s="17">
        <v>2022</v>
      </c>
      <c r="C166" s="17">
        <v>2021</v>
      </c>
      <c r="D166" s="17">
        <v>2020</v>
      </c>
      <c r="E166" s="17">
        <v>2019</v>
      </c>
      <c r="F166" s="17">
        <v>2018</v>
      </c>
      <c r="G166" s="17">
        <v>2017</v>
      </c>
      <c r="H166" s="22"/>
    </row>
    <row r="167" spans="1:8" s="23" customFormat="1" x14ac:dyDescent="0.25">
      <c r="A167" s="23" t="s">
        <v>122</v>
      </c>
      <c r="B167" s="26">
        <v>945</v>
      </c>
      <c r="C167" s="26">
        <v>1039</v>
      </c>
      <c r="D167" s="26">
        <v>1070</v>
      </c>
      <c r="E167" s="26">
        <v>1100</v>
      </c>
      <c r="F167" s="26">
        <v>1140</v>
      </c>
      <c r="G167" s="26">
        <v>1115</v>
      </c>
      <c r="H167" s="26"/>
    </row>
    <row r="168" spans="1:8" s="23" customFormat="1" x14ac:dyDescent="0.25">
      <c r="A168" s="23" t="s">
        <v>123</v>
      </c>
      <c r="B168" s="25">
        <v>127</v>
      </c>
      <c r="C168" s="25">
        <v>140</v>
      </c>
      <c r="D168" s="25">
        <v>119</v>
      </c>
      <c r="E168" s="25">
        <v>112</v>
      </c>
      <c r="F168" s="25">
        <v>109</v>
      </c>
      <c r="G168" s="25">
        <v>93</v>
      </c>
      <c r="H168" s="25"/>
    </row>
    <row r="169" spans="1:8" s="23" customFormat="1" x14ac:dyDescent="0.25">
      <c r="B169" s="24"/>
      <c r="C169" s="24"/>
      <c r="D169" s="24"/>
      <c r="E169" s="24"/>
      <c r="F169" s="24"/>
      <c r="G169" s="24"/>
      <c r="H169" s="24"/>
    </row>
    <row r="170" spans="1:8" x14ac:dyDescent="0.25">
      <c r="A170" s="2" t="s">
        <v>108</v>
      </c>
      <c r="B170" s="8">
        <v>200</v>
      </c>
      <c r="C170" s="8">
        <v>207</v>
      </c>
      <c r="D170" s="8">
        <v>219</v>
      </c>
      <c r="E170" s="8">
        <v>210</v>
      </c>
      <c r="F170" s="8">
        <v>218</v>
      </c>
      <c r="G170" s="8">
        <v>250</v>
      </c>
      <c r="H170" s="8"/>
    </row>
    <row r="171" spans="1:8" x14ac:dyDescent="0.25">
      <c r="A171" s="2" t="s">
        <v>109</v>
      </c>
      <c r="B171" s="2">
        <v>1161</v>
      </c>
      <c r="C171" s="2">
        <v>1002</v>
      </c>
      <c r="D171" s="2">
        <v>792</v>
      </c>
      <c r="E171" s="2">
        <v>1033</v>
      </c>
      <c r="F171" s="2">
        <v>1165</v>
      </c>
      <c r="G171" s="2">
        <v>1345</v>
      </c>
    </row>
    <row r="172" spans="1:8" x14ac:dyDescent="0.25">
      <c r="A172" s="2" t="s">
        <v>110</v>
      </c>
      <c r="B172" s="2">
        <f>+B173-B171-B170</f>
        <v>9591</v>
      </c>
      <c r="C172" s="2">
        <f t="shared" ref="C172:G172" si="140">+C173-C171-C170</f>
        <v>9465</v>
      </c>
      <c r="D172" s="2">
        <f t="shared" si="140"/>
        <v>9428</v>
      </c>
      <c r="E172" s="2">
        <f t="shared" si="140"/>
        <v>8999</v>
      </c>
      <c r="F172" s="2">
        <f t="shared" si="140"/>
        <v>8279</v>
      </c>
      <c r="G172" s="2">
        <f t="shared" si="140"/>
        <v>7555</v>
      </c>
    </row>
    <row r="173" spans="1:8" x14ac:dyDescent="0.25">
      <c r="A173" s="2" t="s">
        <v>111</v>
      </c>
      <c r="B173" s="6">
        <f>+B175-B174</f>
        <v>10952</v>
      </c>
      <c r="C173" s="6">
        <f t="shared" ref="C173:G173" si="141">+C175-C174</f>
        <v>10674</v>
      </c>
      <c r="D173" s="6">
        <f t="shared" si="141"/>
        <v>10439</v>
      </c>
      <c r="E173" s="6">
        <f t="shared" si="141"/>
        <v>10242</v>
      </c>
      <c r="F173" s="6">
        <f t="shared" si="141"/>
        <v>9662</v>
      </c>
      <c r="G173" s="6">
        <f t="shared" si="141"/>
        <v>9150</v>
      </c>
      <c r="H173" s="34"/>
    </row>
    <row r="174" spans="1:8" x14ac:dyDescent="0.25">
      <c r="A174" s="2" t="s">
        <v>112</v>
      </c>
      <c r="B174" s="2">
        <v>-4212</v>
      </c>
      <c r="C174" s="2">
        <v>-3868</v>
      </c>
      <c r="D174" s="2">
        <v>-3563</v>
      </c>
      <c r="E174" s="2">
        <v>-3187</v>
      </c>
      <c r="F174" s="2">
        <v>-2584</v>
      </c>
      <c r="G174" s="2">
        <v>-2089</v>
      </c>
    </row>
    <row r="175" spans="1:8" ht="15.75" thickBot="1" x14ac:dyDescent="0.3">
      <c r="A175" s="2" t="s">
        <v>113</v>
      </c>
      <c r="B175" s="9">
        <f t="shared" ref="B175:G175" si="142">+B17</f>
        <v>6740</v>
      </c>
      <c r="C175" s="9">
        <f t="shared" si="142"/>
        <v>6806</v>
      </c>
      <c r="D175" s="9">
        <f t="shared" si="142"/>
        <v>6876</v>
      </c>
      <c r="E175" s="9">
        <f t="shared" si="142"/>
        <v>7055</v>
      </c>
      <c r="F175" s="9">
        <f t="shared" si="142"/>
        <v>7078</v>
      </c>
      <c r="G175" s="9">
        <f t="shared" si="142"/>
        <v>7061</v>
      </c>
      <c r="H175" s="36"/>
    </row>
    <row r="176" spans="1:8" ht="15.75" thickTop="1" x14ac:dyDescent="0.25"/>
    <row r="177" spans="1:24" x14ac:dyDescent="0.25">
      <c r="A177" s="2" t="s">
        <v>114</v>
      </c>
      <c r="B177" s="8">
        <v>672</v>
      </c>
      <c r="C177" s="8">
        <v>671</v>
      </c>
      <c r="D177" s="8">
        <v>705</v>
      </c>
      <c r="E177" s="8">
        <v>708</v>
      </c>
      <c r="F177" s="8">
        <v>693</v>
      </c>
      <c r="G177" s="8">
        <v>680</v>
      </c>
      <c r="H177" s="8"/>
    </row>
    <row r="179" spans="1:24" x14ac:dyDescent="0.25">
      <c r="A179" s="2" t="s">
        <v>115</v>
      </c>
      <c r="B179" s="8">
        <v>668</v>
      </c>
      <c r="C179" s="8">
        <v>569</v>
      </c>
      <c r="D179" s="8">
        <v>562</v>
      </c>
      <c r="E179" s="8">
        <v>542</v>
      </c>
      <c r="F179" s="8">
        <v>0</v>
      </c>
      <c r="G179" s="8">
        <v>0</v>
      </c>
      <c r="H179" s="8"/>
    </row>
    <row r="180" spans="1:24" x14ac:dyDescent="0.25">
      <c r="A180" s="2" t="s">
        <v>116</v>
      </c>
      <c r="B180" s="2">
        <v>125</v>
      </c>
      <c r="C180" s="2">
        <v>133</v>
      </c>
      <c r="D180" s="2">
        <v>135</v>
      </c>
      <c r="E180" s="2">
        <v>147</v>
      </c>
      <c r="F180" s="2">
        <v>0</v>
      </c>
      <c r="G180" s="2">
        <v>0</v>
      </c>
    </row>
    <row r="181" spans="1:24" x14ac:dyDescent="0.25">
      <c r="A181" s="2" t="s">
        <v>117</v>
      </c>
      <c r="B181" s="8">
        <v>585</v>
      </c>
      <c r="C181" s="8">
        <v>484</v>
      </c>
      <c r="D181" s="8">
        <v>475</v>
      </c>
      <c r="E181" s="8">
        <v>454</v>
      </c>
      <c r="F181" s="8">
        <v>0</v>
      </c>
      <c r="G181" s="8">
        <v>0</v>
      </c>
      <c r="H181" s="8"/>
    </row>
    <row r="184" spans="1:24" s="13" customFormat="1" x14ac:dyDescent="0.25">
      <c r="A184" s="13" t="str">
        <f>+A1</f>
        <v>Kraft Heinz Company</v>
      </c>
      <c r="B184" s="15" t="str">
        <f>+B1</f>
        <v>Reclassified</v>
      </c>
      <c r="C184" s="15"/>
      <c r="D184" s="15"/>
      <c r="E184" s="15"/>
      <c r="F184" s="15"/>
      <c r="G184" s="15"/>
      <c r="H184" s="15"/>
    </row>
    <row r="185" spans="1:24" s="13" customFormat="1" x14ac:dyDescent="0.25">
      <c r="A185" s="13" t="s">
        <v>146</v>
      </c>
      <c r="B185" s="15"/>
      <c r="C185" s="15"/>
      <c r="D185" s="15"/>
      <c r="E185" s="15"/>
      <c r="F185" s="15"/>
      <c r="G185" s="15"/>
      <c r="H185" s="15"/>
    </row>
    <row r="186" spans="1:24" s="13" customFormat="1" x14ac:dyDescent="0.25">
      <c r="A186" s="13" t="str">
        <f>+A3</f>
        <v>in millions except per share data</v>
      </c>
      <c r="B186" s="15"/>
      <c r="C186" s="15"/>
      <c r="D186" s="15"/>
      <c r="E186" s="15"/>
      <c r="F186" s="15" t="s">
        <v>150</v>
      </c>
      <c r="G186" s="16" t="s">
        <v>125</v>
      </c>
      <c r="H186" s="16"/>
    </row>
    <row r="187" spans="1:24" s="13" customFormat="1" ht="15.75" thickBot="1" x14ac:dyDescent="0.3">
      <c r="A187" s="14" t="str">
        <f>+A4</f>
        <v>Year ended near 12/31:</v>
      </c>
      <c r="B187" s="17">
        <v>2022</v>
      </c>
      <c r="C187" s="17">
        <v>2021</v>
      </c>
      <c r="D187" s="17">
        <v>2020</v>
      </c>
      <c r="E187" s="17">
        <v>2019</v>
      </c>
      <c r="F187" s="17">
        <v>2018</v>
      </c>
      <c r="G187" s="17">
        <v>2017</v>
      </c>
      <c r="H187" s="22"/>
    </row>
    <row r="188" spans="1:24" x14ac:dyDescent="0.25">
      <c r="A188" s="5" t="s">
        <v>124</v>
      </c>
      <c r="B188" s="8">
        <v>0</v>
      </c>
      <c r="C188" s="8">
        <v>0</v>
      </c>
      <c r="D188" s="8">
        <v>0</v>
      </c>
      <c r="E188" s="8">
        <v>0</v>
      </c>
      <c r="F188" s="8">
        <v>152</v>
      </c>
      <c r="G188" s="8">
        <v>538</v>
      </c>
      <c r="H188" s="8"/>
      <c r="J188" s="28">
        <f t="shared" ref="J188:O191" si="143">+B188/B$21</f>
        <v>0</v>
      </c>
      <c r="K188" s="28">
        <f t="shared" si="143"/>
        <v>0</v>
      </c>
      <c r="L188" s="28">
        <f t="shared" si="143"/>
        <v>0</v>
      </c>
      <c r="M188" s="28">
        <f t="shared" si="143"/>
        <v>0</v>
      </c>
      <c r="N188" s="28">
        <f t="shared" si="143"/>
        <v>1.4691526275601434E-3</v>
      </c>
      <c r="O188" s="28">
        <f t="shared" si="143"/>
        <v>4.4798987442960401E-3</v>
      </c>
      <c r="P188" s="28"/>
      <c r="R188" s="28">
        <f t="shared" ref="R188:R191" si="144">RATE(5,0,-G188,B188)</f>
        <v>-0.99999940914518248</v>
      </c>
      <c r="S188" s="28" t="e">
        <f t="shared" ref="S188:S191" si="145">AVERAGE(T188:X188)</f>
        <v>#DIV/0!</v>
      </c>
      <c r="T188" s="28" t="e">
        <f t="shared" ref="T188:T191" si="146">(+B188-C188)/C188</f>
        <v>#DIV/0!</v>
      </c>
      <c r="U188" s="28" t="e">
        <f t="shared" ref="U188:U191" si="147">(+C188-D188)/D188</f>
        <v>#DIV/0!</v>
      </c>
      <c r="V188" s="28" t="e">
        <f t="shared" ref="V188:V191" si="148">(+D188-E188)/E188</f>
        <v>#DIV/0!</v>
      </c>
      <c r="W188" s="28">
        <f t="shared" ref="W188:W191" si="149">(+E188-F188)/F188</f>
        <v>-1</v>
      </c>
      <c r="X188" s="28">
        <f t="shared" ref="X188:X191" si="150">(+F188-G188)/G188</f>
        <v>-0.71747211895910779</v>
      </c>
    </row>
    <row r="189" spans="1:24" x14ac:dyDescent="0.25">
      <c r="A189" s="5" t="s">
        <v>9</v>
      </c>
      <c r="B189" s="2">
        <v>240</v>
      </c>
      <c r="C189" s="2">
        <v>136</v>
      </c>
      <c r="D189" s="2">
        <v>351</v>
      </c>
      <c r="E189" s="2">
        <v>384</v>
      </c>
      <c r="F189" s="2">
        <v>400</v>
      </c>
      <c r="G189" s="2">
        <v>345</v>
      </c>
      <c r="J189" s="28">
        <f t="shared" si="143"/>
        <v>2.6515528156176461E-3</v>
      </c>
      <c r="K189" s="28">
        <f t="shared" si="143"/>
        <v>1.4561963295286636E-3</v>
      </c>
      <c r="L189" s="28">
        <f t="shared" si="143"/>
        <v>3.5159771611739956E-3</v>
      </c>
      <c r="M189" s="28">
        <f t="shared" si="143"/>
        <v>3.7851158206012813E-3</v>
      </c>
      <c r="N189" s="28">
        <f t="shared" si="143"/>
        <v>3.8661911251582724E-3</v>
      </c>
      <c r="O189" s="28">
        <f t="shared" si="143"/>
        <v>2.8727975218998769E-3</v>
      </c>
      <c r="P189" s="28"/>
      <c r="R189" s="28">
        <f t="shared" si="144"/>
        <v>-7.0009677432707695E-2</v>
      </c>
      <c r="S189" s="28">
        <f t="shared" si="145"/>
        <v>3.7130611934480209E-2</v>
      </c>
      <c r="T189" s="28">
        <f t="shared" si="146"/>
        <v>0.76470588235294112</v>
      </c>
      <c r="U189" s="28">
        <f t="shared" si="147"/>
        <v>-0.61253561253561251</v>
      </c>
      <c r="V189" s="28">
        <f t="shared" si="148"/>
        <v>-8.59375E-2</v>
      </c>
      <c r="W189" s="28">
        <f t="shared" si="149"/>
        <v>-0.04</v>
      </c>
      <c r="X189" s="28">
        <f t="shared" si="150"/>
        <v>0.15942028985507245</v>
      </c>
    </row>
    <row r="190" spans="1:24" x14ac:dyDescent="0.25">
      <c r="A190" s="5" t="s">
        <v>10</v>
      </c>
      <c r="B190" s="2">
        <v>842</v>
      </c>
      <c r="C190" s="2">
        <v>716</v>
      </c>
      <c r="D190" s="2">
        <v>574</v>
      </c>
      <c r="E190" s="2">
        <v>618</v>
      </c>
      <c r="F190" s="2">
        <v>1221</v>
      </c>
      <c r="G190" s="2">
        <v>655</v>
      </c>
      <c r="J190" s="28">
        <f t="shared" si="143"/>
        <v>9.3025311281252424E-3</v>
      </c>
      <c r="K190" s="28">
        <f t="shared" si="143"/>
        <v>7.6664453819303164E-3</v>
      </c>
      <c r="L190" s="28">
        <f t="shared" si="143"/>
        <v>5.7497746168486425E-3</v>
      </c>
      <c r="M190" s="28">
        <f t="shared" si="143"/>
        <v>6.091670773780187E-3</v>
      </c>
      <c r="N190" s="28">
        <f t="shared" si="143"/>
        <v>1.1801548409545625E-2</v>
      </c>
      <c r="O190" s="28">
        <f t="shared" si="143"/>
        <v>5.4541518169403461E-3</v>
      </c>
      <c r="P190" s="28"/>
      <c r="R190" s="28">
        <f t="shared" si="144"/>
        <v>5.1511818464607374E-2</v>
      </c>
      <c r="S190" s="28">
        <f t="shared" si="145"/>
        <v>0.1444863291514033</v>
      </c>
      <c r="T190" s="28">
        <f t="shared" si="146"/>
        <v>0.17597765363128492</v>
      </c>
      <c r="U190" s="28">
        <f t="shared" si="147"/>
        <v>0.24738675958188153</v>
      </c>
      <c r="V190" s="28">
        <f t="shared" si="148"/>
        <v>-7.1197411003236247E-2</v>
      </c>
      <c r="W190" s="28">
        <f t="shared" si="149"/>
        <v>-0.49385749385749383</v>
      </c>
      <c r="X190" s="28">
        <f t="shared" si="150"/>
        <v>0.8641221374045801</v>
      </c>
    </row>
    <row r="191" spans="1:24" x14ac:dyDescent="0.25">
      <c r="A191" s="5" t="s">
        <v>11</v>
      </c>
      <c r="B191" s="2">
        <v>4</v>
      </c>
      <c r="C191" s="2">
        <v>11</v>
      </c>
      <c r="D191" s="2">
        <v>1863</v>
      </c>
      <c r="E191" s="2">
        <v>122</v>
      </c>
      <c r="F191" s="2">
        <v>1376</v>
      </c>
      <c r="G191" s="2">
        <v>353</v>
      </c>
      <c r="J191" s="30">
        <f t="shared" si="143"/>
        <v>4.4192546926960765E-5</v>
      </c>
      <c r="K191" s="30">
        <f t="shared" si="143"/>
        <v>1.1778058547658308E-4</v>
      </c>
      <c r="L191" s="30">
        <f t="shared" si="143"/>
        <v>1.8661724932385056E-2</v>
      </c>
      <c r="M191" s="30">
        <f t="shared" si="143"/>
        <v>1.2025628388368655E-3</v>
      </c>
      <c r="N191" s="30">
        <f t="shared" si="143"/>
        <v>1.3299697470544457E-2</v>
      </c>
      <c r="O191" s="30">
        <f t="shared" si="143"/>
        <v>2.9394131166105984E-3</v>
      </c>
      <c r="P191" s="30"/>
      <c r="Q191" s="31"/>
      <c r="R191" s="30">
        <f t="shared" si="144"/>
        <v>-0.59181498497391294</v>
      </c>
      <c r="S191" s="30">
        <f t="shared" si="145"/>
        <v>2.9253424819919362</v>
      </c>
      <c r="T191" s="30">
        <f t="shared" si="146"/>
        <v>-0.63636363636363635</v>
      </c>
      <c r="U191" s="30">
        <f t="shared" si="147"/>
        <v>-0.99409554482018248</v>
      </c>
      <c r="V191" s="30">
        <f t="shared" si="148"/>
        <v>14.270491803278688</v>
      </c>
      <c r="W191" s="30">
        <f t="shared" si="149"/>
        <v>-0.91133720930232553</v>
      </c>
      <c r="X191" s="30">
        <f t="shared" si="150"/>
        <v>2.8980169971671388</v>
      </c>
    </row>
    <row r="192" spans="1:24" ht="15.75" thickBot="1" x14ac:dyDescent="0.3">
      <c r="A192" s="2" t="s">
        <v>10</v>
      </c>
      <c r="B192" s="9">
        <f>SUM(B188:B191)</f>
        <v>1086</v>
      </c>
      <c r="C192" s="9">
        <f t="shared" ref="C192:G192" si="151">SUM(C188:C191)</f>
        <v>863</v>
      </c>
      <c r="D192" s="9">
        <f t="shared" si="151"/>
        <v>2788</v>
      </c>
      <c r="E192" s="9">
        <f t="shared" si="151"/>
        <v>1124</v>
      </c>
      <c r="F192" s="9">
        <f t="shared" si="151"/>
        <v>3149</v>
      </c>
      <c r="G192" s="9">
        <f t="shared" si="151"/>
        <v>1891</v>
      </c>
      <c r="H192" s="36"/>
    </row>
    <row r="193" spans="1:24" ht="15.75" thickTop="1" x14ac:dyDescent="0.25"/>
    <row r="194" spans="1:24" x14ac:dyDescent="0.25">
      <c r="A194" s="5" t="s">
        <v>14</v>
      </c>
      <c r="B194" s="8">
        <v>30833</v>
      </c>
      <c r="C194" s="8">
        <v>31296</v>
      </c>
      <c r="D194" s="8">
        <v>33089</v>
      </c>
      <c r="E194" s="8">
        <v>35546</v>
      </c>
      <c r="F194" s="8">
        <v>36503</v>
      </c>
      <c r="G194" s="8">
        <v>44825</v>
      </c>
      <c r="H194" s="8"/>
      <c r="J194" s="28">
        <f t="shared" ref="J194:O195" si="152">+B194/B$21</f>
        <v>0.34064719984974534</v>
      </c>
      <c r="K194" s="28">
        <f t="shared" si="152"/>
        <v>0.33509647300683126</v>
      </c>
      <c r="L194" s="28">
        <f t="shared" si="152"/>
        <v>0.3314534709005309</v>
      </c>
      <c r="M194" s="28">
        <f t="shared" si="152"/>
        <v>0.35037949728930506</v>
      </c>
      <c r="N194" s="28">
        <f t="shared" si="152"/>
        <v>0.35281893660413105</v>
      </c>
      <c r="O194" s="28">
        <f t="shared" si="152"/>
        <v>0.37325550411351299</v>
      </c>
      <c r="P194" s="28"/>
      <c r="R194" s="28">
        <f t="shared" ref="R194:R195" si="153">RATE(5,0,-G194,B194)</f>
        <v>-7.2104439321893851E-2</v>
      </c>
      <c r="S194" s="28">
        <f t="shared" ref="S194:S195" si="154">AVERAGE(T194:X194)</f>
        <v>-6.999509320131285E-2</v>
      </c>
      <c r="T194" s="28">
        <f t="shared" ref="T194:T195" si="155">(+B194-C194)/C194</f>
        <v>-1.4794222903885481E-2</v>
      </c>
      <c r="U194" s="28">
        <f t="shared" ref="U194:U195" si="156">(+C194-D194)/D194</f>
        <v>-5.4187192118226604E-2</v>
      </c>
      <c r="V194" s="28">
        <f t="shared" ref="V194:V195" si="157">(+D194-E194)/E194</f>
        <v>-6.9121701457266635E-2</v>
      </c>
      <c r="W194" s="28">
        <f t="shared" ref="W194:W195" si="158">(+E194-F194)/F194</f>
        <v>-2.6217023258362327E-2</v>
      </c>
      <c r="X194" s="28">
        <f t="shared" ref="X194:X195" si="159">(+F194-G194)/G194</f>
        <v>-0.1856553262688232</v>
      </c>
    </row>
    <row r="195" spans="1:24" x14ac:dyDescent="0.25">
      <c r="A195" s="5" t="s">
        <v>15</v>
      </c>
      <c r="B195" s="2">
        <v>42649</v>
      </c>
      <c r="C195" s="2">
        <v>43542</v>
      </c>
      <c r="D195" s="2">
        <v>46667</v>
      </c>
      <c r="E195" s="2">
        <v>48652</v>
      </c>
      <c r="F195" s="2">
        <v>49468</v>
      </c>
      <c r="G195" s="2">
        <v>59432</v>
      </c>
      <c r="J195" s="28">
        <f t="shared" si="152"/>
        <v>0.47119198347198743</v>
      </c>
      <c r="K195" s="28">
        <f t="shared" si="152"/>
        <v>0.46621838662012549</v>
      </c>
      <c r="L195" s="28">
        <f t="shared" si="152"/>
        <v>0.46746468997295404</v>
      </c>
      <c r="M195" s="28">
        <f t="shared" si="152"/>
        <v>0.4795662888122228</v>
      </c>
      <c r="N195" s="28">
        <f t="shared" si="152"/>
        <v>0.47813185644832351</v>
      </c>
      <c r="O195" s="28">
        <f t="shared" si="152"/>
        <v>0.49488725310595211</v>
      </c>
      <c r="P195" s="28"/>
      <c r="R195" s="28">
        <f t="shared" si="153"/>
        <v>-6.4211505046658401E-2</v>
      </c>
      <c r="S195" s="28">
        <f t="shared" si="154"/>
        <v>-6.2484401974492662E-2</v>
      </c>
      <c r="T195" s="28">
        <f t="shared" si="155"/>
        <v>-2.050893390289835E-2</v>
      </c>
      <c r="U195" s="28">
        <f t="shared" si="156"/>
        <v>-6.6963807401375711E-2</v>
      </c>
      <c r="V195" s="28">
        <f t="shared" si="157"/>
        <v>-4.0799967113376634E-2</v>
      </c>
      <c r="W195" s="28">
        <f t="shared" si="158"/>
        <v>-1.6495512250343656E-2</v>
      </c>
      <c r="X195" s="28">
        <f t="shared" si="159"/>
        <v>-0.16765378920446897</v>
      </c>
    </row>
    <row r="196" spans="1:24" ht="15.75" thickBot="1" x14ac:dyDescent="0.3">
      <c r="A196" s="2" t="s">
        <v>142</v>
      </c>
      <c r="B196" s="9">
        <f>SUM(B194:B195)</f>
        <v>73482</v>
      </c>
      <c r="C196" s="9">
        <f t="shared" ref="C196:G196" si="160">SUM(C194:C195)</f>
        <v>74838</v>
      </c>
      <c r="D196" s="9">
        <f t="shared" si="160"/>
        <v>79756</v>
      </c>
      <c r="E196" s="9">
        <f t="shared" si="160"/>
        <v>84198</v>
      </c>
      <c r="F196" s="9">
        <f t="shared" si="160"/>
        <v>85971</v>
      </c>
      <c r="G196" s="9">
        <f t="shared" si="160"/>
        <v>104257</v>
      </c>
      <c r="H196" s="36"/>
    </row>
    <row r="197" spans="1:24" ht="15.75" thickTop="1" x14ac:dyDescent="0.25"/>
    <row r="198" spans="1:24" x14ac:dyDescent="0.25">
      <c r="A198" s="5" t="s">
        <v>197</v>
      </c>
      <c r="B198" s="2">
        <v>2394</v>
      </c>
      <c r="C198" s="2">
        <v>2756</v>
      </c>
      <c r="D198" s="2">
        <v>2376</v>
      </c>
      <c r="E198" s="2">
        <v>2100</v>
      </c>
      <c r="F198" s="2">
        <v>1337</v>
      </c>
      <c r="G198" s="2">
        <v>1573</v>
      </c>
    </row>
    <row r="199" spans="1:24" x14ac:dyDescent="0.25">
      <c r="A199" s="5" t="s">
        <v>198</v>
      </c>
      <c r="B199" s="2">
        <f>-B179</f>
        <v>-668</v>
      </c>
      <c r="C199" s="2">
        <f t="shared" ref="C199:G199" si="161">-C179</f>
        <v>-569</v>
      </c>
      <c r="D199" s="2">
        <f t="shared" si="161"/>
        <v>-562</v>
      </c>
      <c r="E199" s="2">
        <f t="shared" si="161"/>
        <v>-542</v>
      </c>
      <c r="F199" s="2">
        <f t="shared" si="161"/>
        <v>0</v>
      </c>
      <c r="G199" s="2">
        <f t="shared" si="161"/>
        <v>0</v>
      </c>
    </row>
    <row r="200" spans="1:24" ht="15.75" thickBot="1" x14ac:dyDescent="0.3">
      <c r="A200" s="2" t="s">
        <v>199</v>
      </c>
      <c r="B200" s="9">
        <f>SUM(B198:B199)</f>
        <v>1726</v>
      </c>
      <c r="C200" s="9">
        <f t="shared" ref="C200:G200" si="162">SUM(C198:C199)</f>
        <v>2187</v>
      </c>
      <c r="D200" s="9">
        <f t="shared" si="162"/>
        <v>1814</v>
      </c>
      <c r="E200" s="9">
        <f t="shared" si="162"/>
        <v>1558</v>
      </c>
      <c r="F200" s="9">
        <f t="shared" si="162"/>
        <v>1337</v>
      </c>
      <c r="G200" s="9">
        <f t="shared" si="162"/>
        <v>1573</v>
      </c>
    </row>
    <row r="201" spans="1:24" ht="15.75" thickTop="1" x14ac:dyDescent="0.25"/>
    <row r="202" spans="1:24" x14ac:dyDescent="0.25">
      <c r="A202" s="5" t="s">
        <v>19</v>
      </c>
      <c r="B202" s="8">
        <v>6</v>
      </c>
      <c r="C202" s="8">
        <v>14</v>
      </c>
      <c r="D202" s="8">
        <v>6</v>
      </c>
      <c r="E202" s="8">
        <v>6</v>
      </c>
      <c r="F202" s="8">
        <v>21</v>
      </c>
      <c r="G202" s="8">
        <v>462</v>
      </c>
      <c r="H202" s="8"/>
      <c r="J202" s="28">
        <f t="shared" ref="J202:O203" si="163">+B202/B$21</f>
        <v>6.6288820390441154E-5</v>
      </c>
      <c r="K202" s="28">
        <f t="shared" si="163"/>
        <v>1.4990256333383302E-4</v>
      </c>
      <c r="L202" s="28">
        <f t="shared" si="163"/>
        <v>6.0102173695281982E-5</v>
      </c>
      <c r="M202" s="28">
        <f t="shared" si="163"/>
        <v>5.914243469689502E-5</v>
      </c>
      <c r="N202" s="28">
        <f t="shared" si="163"/>
        <v>2.0297503407080928E-4</v>
      </c>
      <c r="O202" s="28">
        <f t="shared" si="163"/>
        <v>3.8470505945441828E-3</v>
      </c>
      <c r="P202" s="28"/>
      <c r="R202" s="28">
        <f>RATE(5,0,-G202,B202)</f>
        <v>-0.58052908347039545</v>
      </c>
      <c r="S202" s="28">
        <f t="shared" ref="S202:S217" si="164">AVERAGE(T202:X202)</f>
        <v>-0.1813852813852814</v>
      </c>
      <c r="T202" s="28">
        <f t="shared" ref="T202:X203" si="165">(+B202-C202)/C202</f>
        <v>-0.5714285714285714</v>
      </c>
      <c r="U202" s="28">
        <f t="shared" si="165"/>
        <v>1.3333333333333333</v>
      </c>
      <c r="V202" s="28">
        <f t="shared" si="165"/>
        <v>0</v>
      </c>
      <c r="W202" s="28">
        <f t="shared" si="165"/>
        <v>-0.7142857142857143</v>
      </c>
      <c r="X202" s="28">
        <f t="shared" si="165"/>
        <v>-0.95454545454545459</v>
      </c>
    </row>
    <row r="203" spans="1:24" x14ac:dyDescent="0.25">
      <c r="A203" s="5" t="s">
        <v>20</v>
      </c>
      <c r="B203" s="2">
        <v>831</v>
      </c>
      <c r="C203" s="2">
        <v>740</v>
      </c>
      <c r="D203" s="2">
        <v>230</v>
      </c>
      <c r="E203" s="2">
        <v>1022</v>
      </c>
      <c r="F203" s="2">
        <v>377</v>
      </c>
      <c r="G203" s="2">
        <v>2733</v>
      </c>
      <c r="J203" s="28">
        <f t="shared" si="163"/>
        <v>9.1810016240760992E-3</v>
      </c>
      <c r="K203" s="28">
        <f t="shared" si="163"/>
        <v>7.9234212047883164E-3</v>
      </c>
      <c r="L203" s="28">
        <f t="shared" si="163"/>
        <v>2.3039166583191427E-3</v>
      </c>
      <c r="M203" s="28">
        <f t="shared" si="163"/>
        <v>1.0073928043371119E-2</v>
      </c>
      <c r="N203" s="28">
        <f t="shared" si="163"/>
        <v>3.6438851354616717E-3</v>
      </c>
      <c r="O203" s="28">
        <f t="shared" si="163"/>
        <v>2.2757552543050327E-2</v>
      </c>
      <c r="P203" s="28"/>
      <c r="R203" s="28">
        <f>RATE(5,0,-G203,B203)</f>
        <v>-0.21188012748640178</v>
      </c>
      <c r="S203" s="28">
        <f t="shared" si="164"/>
        <v>0.48284643684593676</v>
      </c>
      <c r="T203" s="28">
        <f t="shared" si="165"/>
        <v>0.12297297297297298</v>
      </c>
      <c r="U203" s="28">
        <f t="shared" si="165"/>
        <v>2.2173913043478262</v>
      </c>
      <c r="V203" s="28">
        <f t="shared" si="165"/>
        <v>-0.77495107632093929</v>
      </c>
      <c r="W203" s="28">
        <f t="shared" si="165"/>
        <v>1.7108753315649867</v>
      </c>
      <c r="X203" s="28">
        <f t="shared" si="165"/>
        <v>-0.86205634833516287</v>
      </c>
    </row>
    <row r="204" spans="1:24" ht="15.75" thickBot="1" x14ac:dyDescent="0.3">
      <c r="A204" s="12" t="s">
        <v>144</v>
      </c>
      <c r="B204" s="9">
        <f>SUM(B202:B203)</f>
        <v>837</v>
      </c>
      <c r="C204" s="9">
        <f t="shared" ref="C204:G204" si="166">SUM(C202:C203)</f>
        <v>754</v>
      </c>
      <c r="D204" s="9">
        <f t="shared" si="166"/>
        <v>236</v>
      </c>
      <c r="E204" s="9">
        <f t="shared" si="166"/>
        <v>1028</v>
      </c>
      <c r="F204" s="9">
        <f t="shared" si="166"/>
        <v>398</v>
      </c>
      <c r="G204" s="9">
        <f t="shared" si="166"/>
        <v>3195</v>
      </c>
      <c r="H204" s="36"/>
      <c r="J204" s="28"/>
      <c r="K204" s="28"/>
      <c r="L204" s="28"/>
      <c r="M204" s="28"/>
      <c r="N204" s="28"/>
      <c r="O204" s="28"/>
      <c r="P204" s="28"/>
      <c r="R204" s="28"/>
      <c r="S204" s="28"/>
      <c r="T204" s="28"/>
      <c r="U204" s="28"/>
      <c r="V204" s="28"/>
      <c r="W204" s="28"/>
      <c r="X204" s="28"/>
    </row>
    <row r="205" spans="1:24" ht="15.75" thickTop="1" x14ac:dyDescent="0.25">
      <c r="A205" s="5"/>
      <c r="J205" s="28"/>
      <c r="K205" s="28"/>
      <c r="L205" s="28"/>
      <c r="M205" s="28"/>
      <c r="N205" s="28"/>
      <c r="O205" s="28"/>
      <c r="P205" s="28"/>
      <c r="R205" s="28"/>
      <c r="S205" s="28"/>
      <c r="T205" s="28"/>
      <c r="U205" s="28"/>
      <c r="V205" s="28"/>
      <c r="W205" s="28"/>
      <c r="X205" s="28"/>
    </row>
    <row r="206" spans="1:24" x14ac:dyDescent="0.25">
      <c r="A206" s="5" t="s">
        <v>26</v>
      </c>
      <c r="B206" s="8">
        <v>749</v>
      </c>
      <c r="C206" s="8">
        <v>804</v>
      </c>
      <c r="D206" s="8">
        <v>946</v>
      </c>
      <c r="E206" s="8">
        <v>647</v>
      </c>
      <c r="F206" s="8">
        <v>722</v>
      </c>
      <c r="G206" s="8">
        <v>689</v>
      </c>
      <c r="H206" s="8"/>
      <c r="J206" s="28">
        <f t="shared" ref="J206:O210" si="167">+B206/B$21</f>
        <v>8.2750544120734036E-3</v>
      </c>
      <c r="K206" s="28">
        <f t="shared" si="167"/>
        <v>8.6086900657429809E-3</v>
      </c>
      <c r="L206" s="28">
        <f t="shared" si="167"/>
        <v>9.4761093859561246E-3</v>
      </c>
      <c r="M206" s="28">
        <f t="shared" si="167"/>
        <v>6.3775258748151797E-3</v>
      </c>
      <c r="N206" s="28">
        <f t="shared" si="167"/>
        <v>6.9784749809106809E-3</v>
      </c>
      <c r="O206" s="28">
        <f t="shared" si="167"/>
        <v>5.7372680944609133E-3</v>
      </c>
      <c r="P206" s="28"/>
      <c r="R206" s="28">
        <f>RATE(5,0,-G206,B206)</f>
        <v>1.6839759291933765E-2</v>
      </c>
      <c r="S206" s="28">
        <f t="shared" si="164"/>
        <v>3.7527327422520657E-2</v>
      </c>
      <c r="T206" s="28">
        <f t="shared" ref="T206:X210" si="168">(+B206-C206)/C206</f>
        <v>-6.8407960199004969E-2</v>
      </c>
      <c r="U206" s="28">
        <f t="shared" si="168"/>
        <v>-0.15010570824524314</v>
      </c>
      <c r="V206" s="28">
        <f t="shared" si="168"/>
        <v>0.46213292117465227</v>
      </c>
      <c r="W206" s="28">
        <f t="shared" si="168"/>
        <v>-0.1038781163434903</v>
      </c>
      <c r="X206" s="28">
        <f t="shared" si="168"/>
        <v>4.7895500725689405E-2</v>
      </c>
    </row>
    <row r="207" spans="1:24" x14ac:dyDescent="0.25">
      <c r="A207" s="5" t="s">
        <v>22</v>
      </c>
      <c r="B207" s="2">
        <v>264</v>
      </c>
      <c r="C207" s="2">
        <v>268</v>
      </c>
      <c r="D207" s="2">
        <v>358</v>
      </c>
      <c r="E207" s="2">
        <v>384</v>
      </c>
      <c r="F207" s="2">
        <v>408</v>
      </c>
      <c r="G207" s="2">
        <v>419</v>
      </c>
      <c r="J207" s="28">
        <f t="shared" si="167"/>
        <v>2.9167080971794108E-3</v>
      </c>
      <c r="K207" s="28">
        <f t="shared" si="167"/>
        <v>2.8695633552476606E-3</v>
      </c>
      <c r="L207" s="28">
        <f t="shared" si="167"/>
        <v>3.5860963638184914E-3</v>
      </c>
      <c r="M207" s="28">
        <f t="shared" si="167"/>
        <v>3.7851158206012813E-3</v>
      </c>
      <c r="N207" s="28">
        <f t="shared" si="167"/>
        <v>3.9435149476614376E-3</v>
      </c>
      <c r="O207" s="28">
        <f t="shared" si="167"/>
        <v>3.4889917729740531E-3</v>
      </c>
      <c r="P207" s="28"/>
      <c r="R207" s="28">
        <f>RATE(5,0,-G207,B207)</f>
        <v>-8.8245362884069409E-2</v>
      </c>
      <c r="S207" s="28">
        <f t="shared" si="164"/>
        <v>-8.3821373443535047E-2</v>
      </c>
      <c r="T207" s="28">
        <f t="shared" si="168"/>
        <v>-1.4925373134328358E-2</v>
      </c>
      <c r="U207" s="28">
        <f t="shared" si="168"/>
        <v>-0.25139664804469275</v>
      </c>
      <c r="V207" s="28">
        <f t="shared" si="168"/>
        <v>-6.7708333333333329E-2</v>
      </c>
      <c r="W207" s="28">
        <f t="shared" si="168"/>
        <v>-5.8823529411764705E-2</v>
      </c>
      <c r="X207" s="28">
        <f t="shared" si="168"/>
        <v>-2.6252983293556086E-2</v>
      </c>
    </row>
    <row r="208" spans="1:24" x14ac:dyDescent="0.25">
      <c r="A208" s="5" t="s">
        <v>23</v>
      </c>
      <c r="B208" s="2">
        <v>136</v>
      </c>
      <c r="C208" s="2">
        <v>541</v>
      </c>
      <c r="D208" s="2">
        <v>0</v>
      </c>
      <c r="E208" s="2">
        <v>0</v>
      </c>
      <c r="F208" s="2">
        <v>0</v>
      </c>
      <c r="G208" s="2">
        <v>0</v>
      </c>
      <c r="J208" s="28">
        <f t="shared" si="167"/>
        <v>1.5025465955166661E-3</v>
      </c>
      <c r="K208" s="28">
        <f t="shared" si="167"/>
        <v>5.7926633402574038E-3</v>
      </c>
      <c r="L208" s="28">
        <f t="shared" si="167"/>
        <v>0</v>
      </c>
      <c r="M208" s="28">
        <f t="shared" si="167"/>
        <v>0</v>
      </c>
      <c r="N208" s="28">
        <f t="shared" si="167"/>
        <v>0</v>
      </c>
      <c r="O208" s="28">
        <f t="shared" si="167"/>
        <v>0</v>
      </c>
      <c r="P208" s="28"/>
      <c r="R208" s="28" t="e">
        <f>RATE(5,0,-G208,B208)</f>
        <v>#NUM!</v>
      </c>
      <c r="S208" s="28" t="e">
        <f t="shared" si="164"/>
        <v>#DIV/0!</v>
      </c>
      <c r="T208" s="28">
        <f t="shared" si="168"/>
        <v>-0.74861367837338266</v>
      </c>
      <c r="U208" s="28" t="e">
        <f t="shared" si="168"/>
        <v>#DIV/0!</v>
      </c>
      <c r="V208" s="28" t="e">
        <f t="shared" si="168"/>
        <v>#DIV/0!</v>
      </c>
      <c r="W208" s="28" t="e">
        <f t="shared" si="168"/>
        <v>#DIV/0!</v>
      </c>
      <c r="X208" s="28" t="e">
        <f t="shared" si="168"/>
        <v>#DIV/0!</v>
      </c>
    </row>
    <row r="209" spans="1:24" x14ac:dyDescent="0.25">
      <c r="A209" s="5" t="s">
        <v>118</v>
      </c>
      <c r="B209" s="2">
        <v>0</v>
      </c>
      <c r="C209" s="2">
        <v>0</v>
      </c>
      <c r="D209" s="2">
        <v>17</v>
      </c>
      <c r="E209" s="2">
        <v>9</v>
      </c>
      <c r="F209" s="2">
        <v>55</v>
      </c>
      <c r="G209" s="2">
        <v>0</v>
      </c>
      <c r="J209" s="28">
        <f t="shared" si="167"/>
        <v>0</v>
      </c>
      <c r="K209" s="28">
        <f t="shared" si="167"/>
        <v>0</v>
      </c>
      <c r="L209" s="28">
        <f t="shared" si="167"/>
        <v>1.7028949213663226E-4</v>
      </c>
      <c r="M209" s="28">
        <f t="shared" si="167"/>
        <v>8.8713652045342527E-5</v>
      </c>
      <c r="N209" s="28">
        <f t="shared" si="167"/>
        <v>5.3160127970926241E-4</v>
      </c>
      <c r="O209" s="28">
        <f t="shared" si="167"/>
        <v>0</v>
      </c>
      <c r="P209" s="28"/>
      <c r="R209" s="28" t="e">
        <f>RATE(5,0,-G209,B209)</f>
        <v>#NUM!</v>
      </c>
      <c r="S209" s="28" t="e">
        <f t="shared" si="164"/>
        <v>#DIV/0!</v>
      </c>
      <c r="T209" s="28" t="e">
        <f t="shared" si="168"/>
        <v>#DIV/0!</v>
      </c>
      <c r="U209" s="28">
        <f t="shared" si="168"/>
        <v>-1</v>
      </c>
      <c r="V209" s="28">
        <f t="shared" si="168"/>
        <v>0.88888888888888884</v>
      </c>
      <c r="W209" s="28">
        <f t="shared" si="168"/>
        <v>-0.83636363636363631</v>
      </c>
      <c r="X209" s="28" t="e">
        <f t="shared" si="168"/>
        <v>#DIV/0!</v>
      </c>
    </row>
    <row r="210" spans="1:24" x14ac:dyDescent="0.25">
      <c r="A210" s="5" t="s">
        <v>24</v>
      </c>
      <c r="B210" s="34">
        <v>2194</v>
      </c>
      <c r="C210" s="34">
        <v>1944</v>
      </c>
      <c r="D210" s="34">
        <v>2200</v>
      </c>
      <c r="E210" s="34">
        <v>1804</v>
      </c>
      <c r="F210" s="34">
        <v>1767</v>
      </c>
      <c r="G210" s="34">
        <v>1489</v>
      </c>
      <c r="H210" s="34"/>
      <c r="J210" s="30">
        <f t="shared" si="167"/>
        <v>2.4239611989437981E-2</v>
      </c>
      <c r="K210" s="30">
        <f t="shared" si="167"/>
        <v>2.0815041651497956E-2</v>
      </c>
      <c r="L210" s="30">
        <f t="shared" si="167"/>
        <v>2.2037463688270059E-2</v>
      </c>
      <c r="M210" s="30">
        <f t="shared" si="167"/>
        <v>1.7782158698866436E-2</v>
      </c>
      <c r="N210" s="30">
        <f t="shared" si="167"/>
        <v>1.7078899295386668E-2</v>
      </c>
      <c r="O210" s="30">
        <f t="shared" si="167"/>
        <v>1.2398827565533092E-2</v>
      </c>
      <c r="P210" s="30"/>
      <c r="Q210" s="31"/>
      <c r="R210" s="30">
        <f>RATE(5,0,-G210,B210)</f>
        <v>8.0608514301309969E-2</v>
      </c>
      <c r="S210" s="30">
        <f t="shared" si="164"/>
        <v>8.7878262416086469E-2</v>
      </c>
      <c r="T210" s="30">
        <f t="shared" si="168"/>
        <v>0.12860082304526749</v>
      </c>
      <c r="U210" s="30">
        <f t="shared" si="168"/>
        <v>-0.11636363636363636</v>
      </c>
      <c r="V210" s="30">
        <f t="shared" si="168"/>
        <v>0.21951219512195122</v>
      </c>
      <c r="W210" s="30">
        <f t="shared" si="168"/>
        <v>2.0939445387662705E-2</v>
      </c>
      <c r="X210" s="30">
        <f t="shared" si="168"/>
        <v>0.18670248488918736</v>
      </c>
    </row>
    <row r="211" spans="1:24" x14ac:dyDescent="0.25">
      <c r="A211" s="5" t="s">
        <v>201</v>
      </c>
      <c r="B211" s="34">
        <f>-B180</f>
        <v>-125</v>
      </c>
      <c r="C211" s="34">
        <f t="shared" ref="C211:G211" si="169">-C180</f>
        <v>-133</v>
      </c>
      <c r="D211" s="34">
        <f t="shared" si="169"/>
        <v>-135</v>
      </c>
      <c r="E211" s="34">
        <f t="shared" si="169"/>
        <v>-147</v>
      </c>
      <c r="F211" s="34">
        <f t="shared" si="169"/>
        <v>0</v>
      </c>
      <c r="G211" s="34">
        <f t="shared" si="169"/>
        <v>0</v>
      </c>
      <c r="H211" s="34"/>
      <c r="J211" s="37"/>
      <c r="K211" s="37"/>
      <c r="L211" s="37"/>
      <c r="M211" s="37"/>
      <c r="N211" s="37"/>
      <c r="O211" s="37"/>
      <c r="P211" s="37"/>
      <c r="Q211" s="34"/>
      <c r="R211" s="37"/>
      <c r="S211" s="37"/>
      <c r="T211" s="37"/>
      <c r="U211" s="37"/>
      <c r="V211" s="37"/>
      <c r="W211" s="37"/>
      <c r="X211" s="37"/>
    </row>
    <row r="212" spans="1:24" ht="15.75" thickBot="1" x14ac:dyDescent="0.3">
      <c r="A212" s="2" t="s">
        <v>24</v>
      </c>
      <c r="B212" s="9">
        <f>SUM(B206:B211)</f>
        <v>3218</v>
      </c>
      <c r="C212" s="9">
        <f t="shared" ref="C212:G212" si="170">SUM(C206:C211)</f>
        <v>3424</v>
      </c>
      <c r="D212" s="9">
        <f t="shared" si="170"/>
        <v>3386</v>
      </c>
      <c r="E212" s="9">
        <f t="shared" si="170"/>
        <v>2697</v>
      </c>
      <c r="F212" s="9">
        <f t="shared" si="170"/>
        <v>2952</v>
      </c>
      <c r="G212" s="9">
        <f t="shared" si="170"/>
        <v>2597</v>
      </c>
      <c r="H212" s="36"/>
      <c r="J212" s="28">
        <f>+B212/B$21</f>
        <v>3.5552904002739937E-2</v>
      </c>
      <c r="K212" s="28"/>
      <c r="L212" s="28"/>
      <c r="M212" s="28"/>
      <c r="N212" s="28"/>
      <c r="O212" s="28"/>
      <c r="P212" s="28"/>
      <c r="R212" s="28"/>
      <c r="S212" s="28"/>
      <c r="T212" s="28"/>
      <c r="U212" s="28"/>
      <c r="V212" s="28"/>
      <c r="W212" s="28"/>
      <c r="X212" s="28"/>
    </row>
    <row r="213" spans="1:24" ht="15.75" thickTop="1" x14ac:dyDescent="0.25">
      <c r="B213" s="34"/>
      <c r="C213" s="34"/>
      <c r="D213" s="34"/>
      <c r="E213" s="34"/>
      <c r="F213" s="34"/>
      <c r="G213" s="34"/>
      <c r="H213" s="34"/>
      <c r="J213" s="28"/>
      <c r="K213" s="28"/>
      <c r="L213" s="28"/>
      <c r="M213" s="28"/>
      <c r="N213" s="28"/>
      <c r="O213" s="28"/>
      <c r="P213" s="28"/>
      <c r="R213" s="28"/>
      <c r="S213" s="28"/>
      <c r="T213" s="28"/>
      <c r="U213" s="28"/>
      <c r="V213" s="28"/>
      <c r="W213" s="28"/>
      <c r="X213" s="28"/>
    </row>
    <row r="214" spans="1:24" x14ac:dyDescent="0.25">
      <c r="A214" s="5" t="s">
        <v>28</v>
      </c>
      <c r="B214" s="8">
        <v>10152</v>
      </c>
      <c r="C214" s="8">
        <v>10536</v>
      </c>
      <c r="D214" s="8">
        <v>11462</v>
      </c>
      <c r="E214" s="8">
        <v>11878</v>
      </c>
      <c r="F214" s="8">
        <v>12202</v>
      </c>
      <c r="G214" s="8">
        <v>14039</v>
      </c>
      <c r="H214" s="8"/>
      <c r="J214" s="28">
        <f t="shared" ref="J214:O217" si="171">+B214/B$21</f>
        <v>0.11216068410062643</v>
      </c>
      <c r="K214" s="28">
        <f t="shared" si="171"/>
        <v>0.11281238623466175</v>
      </c>
      <c r="L214" s="28">
        <f t="shared" si="171"/>
        <v>0.11481518581588701</v>
      </c>
      <c r="M214" s="28">
        <f t="shared" si="171"/>
        <v>0.11708230655495318</v>
      </c>
      <c r="N214" s="28">
        <f t="shared" si="171"/>
        <v>0.11793816027295309</v>
      </c>
      <c r="O214" s="28">
        <f t="shared" si="171"/>
        <v>0.11690204176797789</v>
      </c>
      <c r="P214" s="28"/>
      <c r="R214" s="28">
        <f>RATE(5,0,-G214,B214)</f>
        <v>-6.2776678206707098E-2</v>
      </c>
      <c r="S214" s="28">
        <f t="shared" si="164"/>
        <v>-6.1932138628004139E-2</v>
      </c>
      <c r="T214" s="28">
        <f t="shared" ref="T214:X217" si="172">(+B214-C214)/C214</f>
        <v>-3.644646924829157E-2</v>
      </c>
      <c r="U214" s="28">
        <f t="shared" si="172"/>
        <v>-8.0788693072762166E-2</v>
      </c>
      <c r="V214" s="28">
        <f t="shared" si="172"/>
        <v>-3.5022731099511699E-2</v>
      </c>
      <c r="W214" s="28">
        <f t="shared" si="172"/>
        <v>-2.6553024094410752E-2</v>
      </c>
      <c r="X214" s="28">
        <f t="shared" si="172"/>
        <v>-0.13084977562504452</v>
      </c>
    </row>
    <row r="215" spans="1:24" x14ac:dyDescent="0.25">
      <c r="A215" s="5" t="s">
        <v>119</v>
      </c>
      <c r="B215" s="2">
        <v>144</v>
      </c>
      <c r="C215" s="2">
        <v>205</v>
      </c>
      <c r="D215" s="2">
        <v>243</v>
      </c>
      <c r="E215" s="2">
        <v>273</v>
      </c>
      <c r="F215" s="2">
        <v>306</v>
      </c>
      <c r="G215" s="2">
        <v>427</v>
      </c>
      <c r="J215" s="28">
        <f t="shared" si="171"/>
        <v>1.5909316893705876E-3</v>
      </c>
      <c r="K215" s="28">
        <f t="shared" si="171"/>
        <v>2.1950018202454118E-3</v>
      </c>
      <c r="L215" s="28">
        <f t="shared" si="171"/>
        <v>2.43413803465892E-3</v>
      </c>
      <c r="M215" s="28">
        <f t="shared" si="171"/>
        <v>2.6909807787087233E-3</v>
      </c>
      <c r="N215" s="28">
        <f t="shared" si="171"/>
        <v>2.9576362107460782E-3</v>
      </c>
      <c r="O215" s="28">
        <f t="shared" si="171"/>
        <v>3.5556073676847751E-3</v>
      </c>
      <c r="P215" s="28"/>
      <c r="R215" s="28">
        <f>RATE(5,0,-G215,B215)</f>
        <v>-0.19538722547686657</v>
      </c>
      <c r="S215" s="28">
        <f t="shared" si="164"/>
        <v>-0.19100903778347836</v>
      </c>
      <c r="T215" s="28">
        <f t="shared" si="172"/>
        <v>-0.29756097560975608</v>
      </c>
      <c r="U215" s="28">
        <f t="shared" si="172"/>
        <v>-0.15637860082304528</v>
      </c>
      <c r="V215" s="28">
        <f t="shared" si="172"/>
        <v>-0.10989010989010989</v>
      </c>
      <c r="W215" s="28">
        <f t="shared" si="172"/>
        <v>-0.10784313725490197</v>
      </c>
      <c r="X215" s="28">
        <f t="shared" si="172"/>
        <v>-0.28337236533957844</v>
      </c>
    </row>
    <row r="216" spans="1:24" x14ac:dyDescent="0.25">
      <c r="A216" s="5" t="s">
        <v>29</v>
      </c>
      <c r="B216" s="2">
        <v>1477</v>
      </c>
      <c r="C216" s="2">
        <v>1534</v>
      </c>
      <c r="D216" s="2">
        <v>0</v>
      </c>
      <c r="E216" s="2">
        <v>0</v>
      </c>
      <c r="F216" s="2">
        <v>0</v>
      </c>
      <c r="G216" s="2">
        <v>0</v>
      </c>
      <c r="J216" s="28">
        <f t="shared" si="171"/>
        <v>1.6318097952780265E-2</v>
      </c>
      <c r="K216" s="28">
        <f t="shared" si="171"/>
        <v>1.6425038011007132E-2</v>
      </c>
      <c r="L216" s="28">
        <f t="shared" si="171"/>
        <v>0</v>
      </c>
      <c r="M216" s="28">
        <f t="shared" si="171"/>
        <v>0</v>
      </c>
      <c r="N216" s="28">
        <f t="shared" si="171"/>
        <v>0</v>
      </c>
      <c r="O216" s="28">
        <f t="shared" si="171"/>
        <v>0</v>
      </c>
      <c r="P216" s="28"/>
      <c r="R216" s="28" t="e">
        <f>RATE(5,0,-G216,B216)</f>
        <v>#NUM!</v>
      </c>
      <c r="S216" s="28" t="e">
        <f t="shared" si="164"/>
        <v>#DIV/0!</v>
      </c>
      <c r="T216" s="28">
        <f t="shared" si="172"/>
        <v>-3.7157757496740544E-2</v>
      </c>
      <c r="U216" s="28" t="e">
        <f t="shared" si="172"/>
        <v>#DIV/0!</v>
      </c>
      <c r="V216" s="28" t="e">
        <f t="shared" si="172"/>
        <v>#DIV/0!</v>
      </c>
      <c r="W216" s="28" t="e">
        <f t="shared" si="172"/>
        <v>#DIV/0!</v>
      </c>
      <c r="X216" s="28" t="e">
        <f t="shared" si="172"/>
        <v>#DIV/0!</v>
      </c>
    </row>
    <row r="217" spans="1:24" x14ac:dyDescent="0.25">
      <c r="A217" s="5" t="s">
        <v>30</v>
      </c>
      <c r="B217" s="2">
        <v>1609</v>
      </c>
      <c r="C217" s="2">
        <v>1542</v>
      </c>
      <c r="D217" s="2">
        <v>1751</v>
      </c>
      <c r="E217" s="2">
        <v>1459</v>
      </c>
      <c r="F217" s="2">
        <v>902</v>
      </c>
      <c r="G217" s="2">
        <v>1088</v>
      </c>
      <c r="J217" s="30">
        <f t="shared" si="171"/>
        <v>1.7776452001369968E-2</v>
      </c>
      <c r="K217" s="30">
        <f t="shared" si="171"/>
        <v>1.6510696618626464E-2</v>
      </c>
      <c r="L217" s="30">
        <f t="shared" si="171"/>
        <v>1.7539817690073123E-2</v>
      </c>
      <c r="M217" s="30">
        <f t="shared" si="171"/>
        <v>1.4381468703794973E-2</v>
      </c>
      <c r="N217" s="30">
        <f t="shared" si="171"/>
        <v>8.7182609872319041E-3</v>
      </c>
      <c r="O217" s="30">
        <f t="shared" si="171"/>
        <v>9.0597208806581613E-3</v>
      </c>
      <c r="P217" s="30"/>
      <c r="Q217" s="31"/>
      <c r="R217" s="30">
        <f>RATE(5,0,-G217,B217)</f>
        <v>8.1397670613528067E-2</v>
      </c>
      <c r="S217" s="30">
        <f t="shared" si="164"/>
        <v>0.11415750537922809</v>
      </c>
      <c r="T217" s="30">
        <f t="shared" si="172"/>
        <v>4.3450064850843059E-2</v>
      </c>
      <c r="U217" s="30">
        <f t="shared" si="172"/>
        <v>-0.11936036550542548</v>
      </c>
      <c r="V217" s="30">
        <f t="shared" si="172"/>
        <v>0.20013708019191226</v>
      </c>
      <c r="W217" s="30">
        <f t="shared" si="172"/>
        <v>0.6175166297117517</v>
      </c>
      <c r="X217" s="30">
        <f t="shared" si="172"/>
        <v>-0.17095588235294118</v>
      </c>
    </row>
    <row r="218" spans="1:24" x14ac:dyDescent="0.25">
      <c r="A218" s="5" t="s">
        <v>203</v>
      </c>
      <c r="B218" s="2">
        <f>-B181</f>
        <v>-585</v>
      </c>
      <c r="C218" s="2">
        <f t="shared" ref="C218:G218" si="173">-C181</f>
        <v>-484</v>
      </c>
      <c r="D218" s="2">
        <f t="shared" si="173"/>
        <v>-475</v>
      </c>
      <c r="E218" s="2">
        <f t="shared" si="173"/>
        <v>-454</v>
      </c>
      <c r="F218" s="2">
        <f t="shared" si="173"/>
        <v>0</v>
      </c>
      <c r="G218" s="2">
        <f t="shared" si="173"/>
        <v>0</v>
      </c>
      <c r="J218" s="37"/>
      <c r="K218" s="37"/>
      <c r="L218" s="37"/>
      <c r="M218" s="37"/>
      <c r="N218" s="37"/>
      <c r="O218" s="37"/>
      <c r="P218" s="37"/>
      <c r="Q218" s="34"/>
      <c r="R218" s="37"/>
      <c r="S218" s="37"/>
      <c r="T218" s="37"/>
      <c r="U218" s="37"/>
      <c r="V218" s="37"/>
      <c r="W218" s="37"/>
      <c r="X218" s="37"/>
    </row>
    <row r="219" spans="1:24" ht="15.75" thickBot="1" x14ac:dyDescent="0.3">
      <c r="A219" s="2" t="s">
        <v>145</v>
      </c>
      <c r="B219" s="9">
        <f>SUM(B214:B218)</f>
        <v>12797</v>
      </c>
      <c r="C219" s="9">
        <f t="shared" ref="C219:G219" si="174">SUM(C214:C218)</f>
        <v>13333</v>
      </c>
      <c r="D219" s="9">
        <f t="shared" si="174"/>
        <v>12981</v>
      </c>
      <c r="E219" s="9">
        <f t="shared" si="174"/>
        <v>13156</v>
      </c>
      <c r="F219" s="9">
        <f t="shared" si="174"/>
        <v>13410</v>
      </c>
      <c r="G219" s="9">
        <f t="shared" si="174"/>
        <v>15554</v>
      </c>
      <c r="H219" s="36"/>
    </row>
    <row r="220" spans="1:24" ht="15.75" thickTop="1" x14ac:dyDescent="0.25"/>
    <row r="221" spans="1:24" x14ac:dyDescent="0.25">
      <c r="A221" s="5" t="s">
        <v>33</v>
      </c>
      <c r="B221" s="8">
        <v>12</v>
      </c>
      <c r="C221" s="8">
        <v>12</v>
      </c>
      <c r="D221" s="8">
        <v>12</v>
      </c>
      <c r="E221" s="8">
        <v>12</v>
      </c>
      <c r="F221" s="8">
        <v>12</v>
      </c>
      <c r="G221" s="8">
        <v>12</v>
      </c>
      <c r="H221" s="8"/>
      <c r="J221" s="28">
        <f t="shared" ref="J221:J227" si="175">+B221/B$21</f>
        <v>1.3257764078088231E-4</v>
      </c>
      <c r="K221" s="28">
        <f t="shared" ref="K221:K227" si="176">+C221/C$21</f>
        <v>1.2848791142899973E-4</v>
      </c>
      <c r="L221" s="28">
        <f t="shared" ref="L221:L227" si="177">+D221/D$21</f>
        <v>1.2020434739056396E-4</v>
      </c>
      <c r="M221" s="28">
        <f t="shared" ref="M221:M227" si="178">+E221/E$21</f>
        <v>1.1828486939379004E-4</v>
      </c>
      <c r="N221" s="28">
        <f t="shared" ref="N221:N227" si="179">+F221/F$21</f>
        <v>1.1598573375474817E-4</v>
      </c>
      <c r="O221" s="28">
        <f t="shared" ref="O221:O227" si="180">+G221/G$21</f>
        <v>9.9923392066082669E-5</v>
      </c>
      <c r="P221" s="28"/>
      <c r="R221" s="28">
        <f t="shared" ref="R221:R227" si="181">RATE(5,0,-G221,B221)</f>
        <v>1.1505115232739206E-16</v>
      </c>
      <c r="S221" s="28">
        <f t="shared" ref="S221:S227" si="182">AVERAGE(T221:X221)</f>
        <v>0</v>
      </c>
      <c r="T221" s="28">
        <f t="shared" ref="T221:T227" si="183">(+B221-C221)/C221</f>
        <v>0</v>
      </c>
      <c r="U221" s="28">
        <f t="shared" ref="U221:U227" si="184">(+C221-D221)/D221</f>
        <v>0</v>
      </c>
      <c r="V221" s="28">
        <f t="shared" ref="V221:V227" si="185">(+D221-E221)/E221</f>
        <v>0</v>
      </c>
      <c r="W221" s="28">
        <f t="shared" ref="W221:W227" si="186">(+E221-F221)/F221</f>
        <v>0</v>
      </c>
      <c r="X221" s="28">
        <f t="shared" ref="X221:X227" si="187">(+F221-G221)/G221</f>
        <v>0</v>
      </c>
    </row>
    <row r="222" spans="1:24" x14ac:dyDescent="0.25">
      <c r="A222" s="5" t="s">
        <v>34</v>
      </c>
      <c r="B222" s="2">
        <v>51834</v>
      </c>
      <c r="C222" s="2">
        <v>53379</v>
      </c>
      <c r="D222" s="2">
        <v>55096</v>
      </c>
      <c r="E222" s="2">
        <v>56828</v>
      </c>
      <c r="F222" s="2">
        <v>58723</v>
      </c>
      <c r="G222" s="2">
        <v>58634</v>
      </c>
      <c r="J222" s="28">
        <f t="shared" si="175"/>
        <v>0.57266911935302112</v>
      </c>
      <c r="K222" s="28">
        <f t="shared" si="176"/>
        <v>0.57154635201404802</v>
      </c>
      <c r="L222" s="28">
        <f t="shared" si="177"/>
        <v>0.55189822698587598</v>
      </c>
      <c r="M222" s="28">
        <f t="shared" si="178"/>
        <v>0.56015771315919172</v>
      </c>
      <c r="N222" s="28">
        <f t="shared" si="179"/>
        <v>0.56758585360667302</v>
      </c>
      <c r="O222" s="28">
        <f t="shared" si="180"/>
        <v>0.48824234753355761</v>
      </c>
      <c r="P222" s="28"/>
      <c r="R222" s="28">
        <f t="shared" si="181"/>
        <v>-2.4352265709732968E-2</v>
      </c>
      <c r="S222" s="28">
        <f t="shared" si="182"/>
        <v>-2.4267589205706836E-2</v>
      </c>
      <c r="T222" s="28">
        <f t="shared" si="183"/>
        <v>-2.8943966728488733E-2</v>
      </c>
      <c r="U222" s="28">
        <f t="shared" si="184"/>
        <v>-3.1163786844780019E-2</v>
      </c>
      <c r="V222" s="28">
        <f t="shared" si="185"/>
        <v>-3.0477933413106215E-2</v>
      </c>
      <c r="W222" s="28">
        <f t="shared" si="186"/>
        <v>-3.2270149685813057E-2</v>
      </c>
      <c r="X222" s="28">
        <f t="shared" si="187"/>
        <v>1.5178906436538527E-3</v>
      </c>
    </row>
    <row r="223" spans="1:24" x14ac:dyDescent="0.25">
      <c r="A223" s="5" t="s">
        <v>35</v>
      </c>
      <c r="B223" s="2">
        <v>489</v>
      </c>
      <c r="C223" s="2">
        <v>-1682</v>
      </c>
      <c r="D223" s="2">
        <v>-2694</v>
      </c>
      <c r="E223" s="2">
        <v>-3060</v>
      </c>
      <c r="F223" s="2">
        <v>-4853</v>
      </c>
      <c r="G223" s="2">
        <v>8495</v>
      </c>
      <c r="J223" s="28">
        <f t="shared" si="175"/>
        <v>5.4025388618209541E-3</v>
      </c>
      <c r="K223" s="28">
        <f t="shared" si="176"/>
        <v>-1.8009722251964795E-2</v>
      </c>
      <c r="L223" s="28">
        <f t="shared" si="177"/>
        <v>-2.6985875989181608E-2</v>
      </c>
      <c r="M223" s="28">
        <f t="shared" si="178"/>
        <v>-3.0162641695416461E-2</v>
      </c>
      <c r="N223" s="28">
        <f t="shared" si="179"/>
        <v>-4.6906563825982739E-2</v>
      </c>
      <c r="O223" s="28">
        <f t="shared" si="180"/>
        <v>7.0737434633447685E-2</v>
      </c>
      <c r="P223" s="28"/>
      <c r="R223" s="28">
        <f t="shared" si="181"/>
        <v>-0.43502517645517697</v>
      </c>
      <c r="S223" s="28">
        <f t="shared" si="182"/>
        <v>-0.7453444344093002</v>
      </c>
      <c r="T223" s="28">
        <f t="shared" si="183"/>
        <v>-1.2907253269916765</v>
      </c>
      <c r="U223" s="28">
        <f t="shared" si="184"/>
        <v>-0.37564959168522644</v>
      </c>
      <c r="V223" s="28">
        <f t="shared" si="185"/>
        <v>-0.11960784313725491</v>
      </c>
      <c r="W223" s="28">
        <f t="shared" si="186"/>
        <v>-0.36946218833711109</v>
      </c>
      <c r="X223" s="28">
        <f t="shared" si="187"/>
        <v>-1.5712772218952324</v>
      </c>
    </row>
    <row r="224" spans="1:24" x14ac:dyDescent="0.25">
      <c r="A224" s="5" t="s">
        <v>36</v>
      </c>
      <c r="B224" s="2">
        <v>-2810</v>
      </c>
      <c r="C224" s="2">
        <v>-1824</v>
      </c>
      <c r="D224" s="2">
        <v>-1967</v>
      </c>
      <c r="E224" s="2">
        <v>-1886</v>
      </c>
      <c r="F224" s="2">
        <v>-1943</v>
      </c>
      <c r="G224" s="2">
        <v>-1054</v>
      </c>
      <c r="J224" s="28">
        <f t="shared" si="175"/>
        <v>-3.104526421618994E-2</v>
      </c>
      <c r="K224" s="28">
        <f t="shared" si="176"/>
        <v>-1.9530162537207959E-2</v>
      </c>
      <c r="L224" s="28">
        <f t="shared" si="177"/>
        <v>-1.9703495943103274E-2</v>
      </c>
      <c r="M224" s="28">
        <f t="shared" si="178"/>
        <v>-1.8590438639724E-2</v>
      </c>
      <c r="N224" s="28">
        <f t="shared" si="179"/>
        <v>-1.8780023390456306E-2</v>
      </c>
      <c r="O224" s="28">
        <f t="shared" si="180"/>
        <v>-8.776604603137594E-3</v>
      </c>
      <c r="P224" s="28"/>
      <c r="R224" s="28">
        <f t="shared" si="181"/>
        <v>0.21667095873235825</v>
      </c>
      <c r="S224" s="28">
        <f t="shared" si="182"/>
        <v>0.26498722067421782</v>
      </c>
      <c r="T224" s="28">
        <f t="shared" si="183"/>
        <v>0.54057017543859653</v>
      </c>
      <c r="U224" s="28">
        <f t="shared" si="184"/>
        <v>-7.2699542450432128E-2</v>
      </c>
      <c r="V224" s="28">
        <f t="shared" si="185"/>
        <v>4.2948038176033931E-2</v>
      </c>
      <c r="W224" s="28">
        <f t="shared" si="186"/>
        <v>-2.9336078229541946E-2</v>
      </c>
      <c r="X224" s="28">
        <f t="shared" si="187"/>
        <v>0.84345351043643269</v>
      </c>
    </row>
    <row r="225" spans="1:24" x14ac:dyDescent="0.25">
      <c r="A225" s="5" t="s">
        <v>37</v>
      </c>
      <c r="B225" s="2">
        <v>-847</v>
      </c>
      <c r="C225" s="2">
        <v>-587</v>
      </c>
      <c r="D225" s="2">
        <v>-344</v>
      </c>
      <c r="E225" s="2">
        <v>-271</v>
      </c>
      <c r="F225" s="2">
        <v>-282</v>
      </c>
      <c r="G225" s="2">
        <v>-224</v>
      </c>
      <c r="J225" s="28">
        <f t="shared" si="175"/>
        <v>-9.357771811783943E-3</v>
      </c>
      <c r="K225" s="28">
        <f t="shared" si="176"/>
        <v>-6.28520033406857E-3</v>
      </c>
      <c r="L225" s="28">
        <f t="shared" si="177"/>
        <v>-3.4458579585295002E-3</v>
      </c>
      <c r="M225" s="28">
        <f t="shared" si="178"/>
        <v>-2.6712666338097584E-3</v>
      </c>
      <c r="N225" s="28">
        <f t="shared" si="179"/>
        <v>-2.7256647432365817E-3</v>
      </c>
      <c r="O225" s="28">
        <f t="shared" si="180"/>
        <v>-1.8652366519002097E-3</v>
      </c>
      <c r="P225" s="28"/>
      <c r="R225" s="28">
        <f t="shared" si="181"/>
        <v>0.30474931763943724</v>
      </c>
      <c r="S225" s="28">
        <f t="shared" si="182"/>
        <v>0.32772393502322256</v>
      </c>
      <c r="T225" s="28">
        <f t="shared" si="183"/>
        <v>0.44293015332197616</v>
      </c>
      <c r="U225" s="28">
        <f t="shared" si="184"/>
        <v>0.70639534883720934</v>
      </c>
      <c r="V225" s="28">
        <f t="shared" si="185"/>
        <v>0.26937269372693728</v>
      </c>
      <c r="W225" s="28">
        <f t="shared" si="186"/>
        <v>-3.9007092198581561E-2</v>
      </c>
      <c r="X225" s="28">
        <f t="shared" si="187"/>
        <v>0.25892857142857145</v>
      </c>
    </row>
    <row r="226" spans="1:24" x14ac:dyDescent="0.25">
      <c r="A226" s="5" t="s">
        <v>38</v>
      </c>
      <c r="B226" s="2">
        <v>152</v>
      </c>
      <c r="C226" s="2">
        <v>150</v>
      </c>
      <c r="D226" s="2">
        <v>140</v>
      </c>
      <c r="E226" s="2">
        <v>126</v>
      </c>
      <c r="F226" s="2">
        <v>118</v>
      </c>
      <c r="G226" s="2">
        <v>207</v>
      </c>
      <c r="J226" s="30">
        <f t="shared" si="175"/>
        <v>1.6793167832245093E-3</v>
      </c>
      <c r="K226" s="30">
        <f t="shared" si="176"/>
        <v>1.6060988928624964E-3</v>
      </c>
      <c r="L226" s="30">
        <f t="shared" si="177"/>
        <v>1.4023840528899129E-3</v>
      </c>
      <c r="M226" s="30">
        <f t="shared" si="178"/>
        <v>1.2419911286347955E-3</v>
      </c>
      <c r="N226" s="30">
        <f t="shared" si="179"/>
        <v>1.1405263819216902E-3</v>
      </c>
      <c r="O226" s="30">
        <f t="shared" si="180"/>
        <v>1.7236785131399261E-3</v>
      </c>
      <c r="P226" s="30"/>
      <c r="Q226" s="31"/>
      <c r="R226" s="30">
        <f t="shared" si="181"/>
        <v>-5.9898710260960809E-2</v>
      </c>
      <c r="S226" s="30">
        <f t="shared" si="182"/>
        <v>-3.3256412955749735E-2</v>
      </c>
      <c r="T226" s="30">
        <f t="shared" si="183"/>
        <v>1.3333333333333334E-2</v>
      </c>
      <c r="U226" s="30">
        <f t="shared" si="184"/>
        <v>7.1428571428571425E-2</v>
      </c>
      <c r="V226" s="30">
        <f t="shared" si="185"/>
        <v>0.1111111111111111</v>
      </c>
      <c r="W226" s="30">
        <f t="shared" si="186"/>
        <v>6.7796610169491525E-2</v>
      </c>
      <c r="X226" s="30">
        <f t="shared" si="187"/>
        <v>-0.42995169082125606</v>
      </c>
    </row>
    <row r="227" spans="1:24" ht="15.75" thickBot="1" x14ac:dyDescent="0.3">
      <c r="A227" s="2" t="s">
        <v>40</v>
      </c>
      <c r="B227" s="9">
        <f>SUM(B221:B226)</f>
        <v>48830</v>
      </c>
      <c r="C227" s="9">
        <f t="shared" ref="C227" si="188">SUM(C221:C226)</f>
        <v>49448</v>
      </c>
      <c r="D227" s="9">
        <f t="shared" ref="D227" si="189">SUM(D221:D226)</f>
        <v>50243</v>
      </c>
      <c r="E227" s="9">
        <f t="shared" ref="E227" si="190">SUM(E221:E226)</f>
        <v>51749</v>
      </c>
      <c r="F227" s="9">
        <f t="shared" ref="F227" si="191">SUM(F221:F226)</f>
        <v>51775</v>
      </c>
      <c r="G227" s="9">
        <f t="shared" ref="G227" si="192">SUM(G221:G226)</f>
        <v>66070</v>
      </c>
      <c r="H227" s="36"/>
      <c r="J227" s="28">
        <f t="shared" si="175"/>
        <v>0.53948051661087359</v>
      </c>
      <c r="K227" s="28">
        <f t="shared" si="176"/>
        <v>0.52945585369509818</v>
      </c>
      <c r="L227" s="28">
        <f t="shared" si="177"/>
        <v>0.50328558549534208</v>
      </c>
      <c r="M227" s="28">
        <f t="shared" si="178"/>
        <v>0.51009364218827014</v>
      </c>
      <c r="N227" s="28">
        <f t="shared" si="179"/>
        <v>0.50043011376267388</v>
      </c>
      <c r="O227" s="28">
        <f t="shared" si="180"/>
        <v>0.55016154281717355</v>
      </c>
      <c r="P227" s="28"/>
      <c r="R227" s="28">
        <f t="shared" si="181"/>
        <v>-5.8681739699202047E-2</v>
      </c>
      <c r="S227" s="28">
        <f t="shared" si="182"/>
        <v>-5.4857339349412525E-2</v>
      </c>
      <c r="T227" s="28">
        <f t="shared" si="183"/>
        <v>-1.2497977673515612E-2</v>
      </c>
      <c r="U227" s="28">
        <f t="shared" si="184"/>
        <v>-1.5823099735286509E-2</v>
      </c>
      <c r="V227" s="28">
        <f t="shared" si="185"/>
        <v>-2.9102011633075034E-2</v>
      </c>
      <c r="W227" s="28">
        <f t="shared" si="186"/>
        <v>-5.0217286335103818E-4</v>
      </c>
      <c r="X227" s="28">
        <f t="shared" si="187"/>
        <v>-0.21636143484183443</v>
      </c>
    </row>
    <row r="228" spans="1:24" ht="15.75" thickTop="1" x14ac:dyDescent="0.25"/>
    <row r="229" spans="1:24" x14ac:dyDescent="0.25">
      <c r="A229" s="5" t="s">
        <v>165</v>
      </c>
      <c r="B229" s="8">
        <v>3575</v>
      </c>
      <c r="C229" s="8">
        <v>3588</v>
      </c>
      <c r="D229" s="8">
        <v>3650</v>
      </c>
      <c r="E229" s="8">
        <v>3178</v>
      </c>
      <c r="F229" s="8">
        <v>3190</v>
      </c>
      <c r="G229" s="8">
        <v>2927</v>
      </c>
      <c r="J229" s="28">
        <f t="shared" ref="J229" si="193">+B229/B$60</f>
        <v>0.13498206531999246</v>
      </c>
      <c r="K229" s="28">
        <f>+C229/C$60</f>
        <v>0.13777743644881346</v>
      </c>
      <c r="L229" s="28">
        <f>+D229/D$60</f>
        <v>0.13939278212717204</v>
      </c>
      <c r="M229" s="28">
        <f>+E229/E$60</f>
        <v>0.12723705809344596</v>
      </c>
      <c r="N229" s="28">
        <f>+F229/F$60</f>
        <v>0.12144053601340034</v>
      </c>
      <c r="O229" s="28">
        <f>+G229/G$60</f>
        <v>0.11224881116735695</v>
      </c>
      <c r="P229" s="28"/>
      <c r="R229" s="28">
        <f t="shared" ref="R229" si="194">RATE(5,0,-G229,B229)</f>
        <v>4.080810314999915E-2</v>
      </c>
      <c r="S229" s="28">
        <f t="shared" ref="S229" si="195">AVERAGE(T229:X229)</f>
        <v>4.2800585816641215E-2</v>
      </c>
      <c r="T229" s="28">
        <f>(+B229-C229)/C229</f>
        <v>-3.6231884057971015E-3</v>
      </c>
      <c r="U229" s="28">
        <f>(+C229-D229)/D229</f>
        <v>-1.6986301369863014E-2</v>
      </c>
      <c r="V229" s="28">
        <f>(+D229-E229)/E229</f>
        <v>0.1485210824417873</v>
      </c>
      <c r="W229" s="28">
        <f>(+E229-F229)/F229</f>
        <v>-3.761755485893417E-3</v>
      </c>
      <c r="X229" s="28">
        <f>(+F229-G229)/G229</f>
        <v>8.9853091902972332E-2</v>
      </c>
    </row>
    <row r="230" spans="1:24" x14ac:dyDescent="0.25">
      <c r="A230" s="5" t="s">
        <v>166</v>
      </c>
      <c r="B230" s="2">
        <f>-B168</f>
        <v>-127</v>
      </c>
      <c r="C230" s="2">
        <f t="shared" ref="C230:G230" si="196">-C168</f>
        <v>-140</v>
      </c>
      <c r="D230" s="2">
        <f t="shared" si="196"/>
        <v>-119</v>
      </c>
      <c r="E230" s="2">
        <f t="shared" si="196"/>
        <v>-112</v>
      </c>
      <c r="F230" s="2">
        <f t="shared" si="196"/>
        <v>-109</v>
      </c>
      <c r="G230" s="2">
        <f t="shared" si="196"/>
        <v>-93</v>
      </c>
      <c r="J230" s="28">
        <f t="shared" ref="J230:J232" si="197">+B230/B$60</f>
        <v>-4.7951670757032279E-3</v>
      </c>
      <c r="K230" s="28">
        <f t="shared" ref="K230:K232" si="198">+C230/C$60</f>
        <v>-5.3759311880807927E-3</v>
      </c>
      <c r="L230" s="28">
        <f t="shared" ref="L230:L232" si="199">+D230/D$60</f>
        <v>-4.544586595379034E-3</v>
      </c>
      <c r="M230" s="28">
        <f t="shared" ref="M230:M232" si="200">+E230/E$60</f>
        <v>-4.4841253953637342E-3</v>
      </c>
      <c r="N230" s="28">
        <f t="shared" ref="N230:N232" si="201">+F230/F$60</f>
        <v>-4.1495355565707324E-3</v>
      </c>
      <c r="O230" s="28">
        <f t="shared" ref="O230:O232" si="202">+G230/G$60</f>
        <v>-3.5664979291302346E-3</v>
      </c>
      <c r="P230" s="28"/>
      <c r="R230" s="28">
        <f t="shared" ref="R230:R232" si="203">RATE(5,0,-G230,B230)</f>
        <v>6.4300226266165716E-2</v>
      </c>
      <c r="S230" s="28">
        <f t="shared" ref="S230:S232" si="204">AVERAGE(T230:X230)</f>
        <v>6.91358783821312E-2</v>
      </c>
      <c r="T230" s="28">
        <f t="shared" ref="T230:T232" si="205">(+B230-C230)/C230</f>
        <v>-9.285714285714286E-2</v>
      </c>
      <c r="U230" s="28">
        <f t="shared" ref="U230:U232" si="206">(+C230-D230)/D230</f>
        <v>0.17647058823529413</v>
      </c>
      <c r="V230" s="28">
        <f t="shared" ref="V230:V232" si="207">(+D230-E230)/E230</f>
        <v>6.25E-2</v>
      </c>
      <c r="W230" s="28">
        <f t="shared" ref="W230:W232" si="208">(+E230-F230)/F230</f>
        <v>2.7522935779816515E-2</v>
      </c>
      <c r="X230" s="28">
        <f t="shared" ref="X230:X232" si="209">(+F230-G230)/G230</f>
        <v>0.17204301075268819</v>
      </c>
    </row>
    <row r="231" spans="1:24" x14ac:dyDescent="0.25">
      <c r="A231" s="5" t="s">
        <v>167</v>
      </c>
      <c r="B231" s="2">
        <f>-B167</f>
        <v>-945</v>
      </c>
      <c r="C231" s="2">
        <f t="shared" ref="C231:G231" si="210">-C167</f>
        <v>-1039</v>
      </c>
      <c r="D231" s="2">
        <f t="shared" si="210"/>
        <v>-1070</v>
      </c>
      <c r="E231" s="2">
        <f t="shared" si="210"/>
        <v>-1100</v>
      </c>
      <c r="F231" s="2">
        <f t="shared" si="210"/>
        <v>-1140</v>
      </c>
      <c r="G231" s="2">
        <f t="shared" si="210"/>
        <v>-1115</v>
      </c>
      <c r="J231" s="28">
        <f t="shared" si="197"/>
        <v>-3.568057390976024E-2</v>
      </c>
      <c r="K231" s="28">
        <f t="shared" si="198"/>
        <v>-3.9897089317256738E-2</v>
      </c>
      <c r="L231" s="28">
        <f t="shared" si="199"/>
        <v>-4.0863089555088793E-2</v>
      </c>
      <c r="M231" s="28">
        <f t="shared" si="200"/>
        <v>-4.4040517275893823E-2</v>
      </c>
      <c r="N231" s="28">
        <f t="shared" si="201"/>
        <v>-4.3398812243033345E-2</v>
      </c>
      <c r="O231" s="28">
        <f t="shared" si="202"/>
        <v>-4.2759625709464642E-2</v>
      </c>
      <c r="P231" s="28"/>
      <c r="R231" s="28">
        <f t="shared" si="203"/>
        <v>-3.254363055898047E-2</v>
      </c>
      <c r="S231" s="28">
        <f t="shared" si="204"/>
        <v>-3.1876498367768777E-2</v>
      </c>
      <c r="T231" s="28">
        <f t="shared" si="205"/>
        <v>-9.0471607314725699E-2</v>
      </c>
      <c r="U231" s="28">
        <f t="shared" si="206"/>
        <v>-2.897196261682243E-2</v>
      </c>
      <c r="V231" s="28">
        <f t="shared" si="207"/>
        <v>-2.7272727272727271E-2</v>
      </c>
      <c r="W231" s="28">
        <f t="shared" si="208"/>
        <v>-3.5087719298245612E-2</v>
      </c>
      <c r="X231" s="28">
        <f t="shared" si="209"/>
        <v>2.2421524663677129E-2</v>
      </c>
    </row>
    <row r="232" spans="1:24" ht="15.75" thickBot="1" x14ac:dyDescent="0.3">
      <c r="A232" s="2" t="s">
        <v>168</v>
      </c>
      <c r="B232" s="9">
        <f>SUM(B229:B231)</f>
        <v>2503</v>
      </c>
      <c r="C232" s="9">
        <f t="shared" ref="C232:G232" si="211">SUM(C229:C231)</f>
        <v>2409</v>
      </c>
      <c r="D232" s="39">
        <f t="shared" si="211"/>
        <v>2461</v>
      </c>
      <c r="E232" s="39">
        <f t="shared" si="211"/>
        <v>1966</v>
      </c>
      <c r="F232" s="9">
        <f t="shared" si="211"/>
        <v>1941</v>
      </c>
      <c r="G232" s="9">
        <f t="shared" si="211"/>
        <v>1719</v>
      </c>
      <c r="J232" s="28">
        <f t="shared" si="197"/>
        <v>9.4506324334528977E-2</v>
      </c>
      <c r="K232" s="28">
        <f t="shared" si="198"/>
        <v>9.2504415943475929E-2</v>
      </c>
      <c r="L232" s="28">
        <f t="shared" si="199"/>
        <v>9.3985105976704217E-2</v>
      </c>
      <c r="M232" s="28">
        <f t="shared" si="200"/>
        <v>7.8712415422188417E-2</v>
      </c>
      <c r="N232" s="28">
        <f t="shared" si="201"/>
        <v>7.3892188213796256E-2</v>
      </c>
      <c r="O232" s="28">
        <f t="shared" si="202"/>
        <v>6.5922687528762083E-2</v>
      </c>
      <c r="P232" s="28"/>
      <c r="R232" s="28">
        <f t="shared" si="203"/>
        <v>7.8045260485801612E-2</v>
      </c>
      <c r="S232" s="28">
        <f t="shared" si="204"/>
        <v>8.2339158644776006E-2</v>
      </c>
      <c r="T232" s="28">
        <f t="shared" si="205"/>
        <v>3.9020340390203405E-2</v>
      </c>
      <c r="U232" s="28">
        <f t="shared" si="206"/>
        <v>-2.1129622104835433E-2</v>
      </c>
      <c r="V232" s="40">
        <f t="shared" si="207"/>
        <v>0.25178026449643948</v>
      </c>
      <c r="W232" s="28">
        <f t="shared" si="208"/>
        <v>1.287995878413189E-2</v>
      </c>
      <c r="X232" s="28">
        <f t="shared" si="209"/>
        <v>0.12914485165794065</v>
      </c>
    </row>
    <row r="233" spans="1:24" ht="15.75" thickTop="1" x14ac:dyDescent="0.25"/>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E989-BCD5-4A81-955F-2DA0AE4C5F28}">
  <dimension ref="A1:Y272"/>
  <sheetViews>
    <sheetView topLeftCell="A144" workbookViewId="0">
      <selection activeCell="A141" sqref="A141"/>
    </sheetView>
  </sheetViews>
  <sheetFormatPr defaultRowHeight="15" x14ac:dyDescent="0.25"/>
  <cols>
    <col min="1" max="1" width="40.7109375" style="2" customWidth="1"/>
    <col min="2" max="9" width="10.7109375" style="2" customWidth="1"/>
    <col min="10" max="10" width="9.140625" style="2"/>
    <col min="11" max="25" width="8.7109375" style="2" customWidth="1"/>
    <col min="26" max="16384" width="9.140625" style="2"/>
  </cols>
  <sheetData>
    <row r="1" spans="1:25" s="15" customFormat="1" x14ac:dyDescent="0.25">
      <c r="A1" s="15" t="s">
        <v>0</v>
      </c>
      <c r="B1" s="15" t="s">
        <v>139</v>
      </c>
      <c r="K1" s="15" t="str">
        <f>+B1</f>
        <v>Reclassified</v>
      </c>
      <c r="S1" s="15" t="str">
        <f>+B1</f>
        <v>Reclassified</v>
      </c>
    </row>
    <row r="2" spans="1:25" s="15" customFormat="1" x14ac:dyDescent="0.25">
      <c r="A2" s="15" t="s">
        <v>1</v>
      </c>
      <c r="K2" s="15" t="s">
        <v>126</v>
      </c>
      <c r="S2" s="15" t="s">
        <v>131</v>
      </c>
    </row>
    <row r="3" spans="1:25" s="15" customFormat="1" x14ac:dyDescent="0.25">
      <c r="A3" s="15" t="s">
        <v>2</v>
      </c>
      <c r="F3" s="15" t="s">
        <v>150</v>
      </c>
      <c r="G3" s="16" t="s">
        <v>125</v>
      </c>
      <c r="H3" s="16"/>
      <c r="I3" s="16"/>
      <c r="P3" s="16" t="s">
        <v>125</v>
      </c>
      <c r="Q3" s="16"/>
      <c r="S3" s="15" t="s">
        <v>127</v>
      </c>
      <c r="T3" s="15" t="s">
        <v>129</v>
      </c>
      <c r="U3" s="15" t="s">
        <v>132</v>
      </c>
      <c r="V3" s="15" t="s">
        <v>133</v>
      </c>
      <c r="W3" s="15" t="s">
        <v>134</v>
      </c>
      <c r="X3" s="15" t="s">
        <v>135</v>
      </c>
      <c r="Y3" s="15" t="s">
        <v>136</v>
      </c>
    </row>
    <row r="4" spans="1:25" s="15" customFormat="1" ht="15.75" thickBot="1" x14ac:dyDescent="0.3">
      <c r="A4" s="16" t="s">
        <v>3</v>
      </c>
      <c r="B4" s="17">
        <v>2022</v>
      </c>
      <c r="C4" s="17">
        <v>2021</v>
      </c>
      <c r="D4" s="17">
        <v>2020</v>
      </c>
      <c r="E4" s="17">
        <v>2019</v>
      </c>
      <c r="F4" s="17">
        <v>2018</v>
      </c>
      <c r="G4" s="17">
        <v>2017</v>
      </c>
      <c r="H4" s="17">
        <v>2016</v>
      </c>
      <c r="I4" s="22"/>
      <c r="K4" s="17">
        <v>2022</v>
      </c>
      <c r="L4" s="17">
        <v>2021</v>
      </c>
      <c r="M4" s="17">
        <v>2020</v>
      </c>
      <c r="N4" s="17">
        <v>2019</v>
      </c>
      <c r="O4" s="17">
        <v>2018</v>
      </c>
      <c r="P4" s="17">
        <v>2017</v>
      </c>
      <c r="Q4" s="22"/>
      <c r="S4" s="29" t="s">
        <v>128</v>
      </c>
      <c r="T4" s="29" t="s">
        <v>130</v>
      </c>
      <c r="U4" s="17">
        <v>2022</v>
      </c>
      <c r="V4" s="17">
        <v>2021</v>
      </c>
      <c r="W4" s="17">
        <v>2020</v>
      </c>
      <c r="X4" s="17">
        <v>2019</v>
      </c>
      <c r="Y4" s="17">
        <v>2018</v>
      </c>
    </row>
    <row r="5" spans="1:25" x14ac:dyDescent="0.25">
      <c r="A5" s="2" t="s">
        <v>5</v>
      </c>
    </row>
    <row r="6" spans="1:25" x14ac:dyDescent="0.25">
      <c r="A6" s="5" t="s">
        <v>6</v>
      </c>
      <c r="B6" s="8">
        <v>1040</v>
      </c>
      <c r="C6" s="8">
        <v>3445</v>
      </c>
      <c r="D6" s="8">
        <v>3417</v>
      </c>
      <c r="E6" s="8">
        <v>2279</v>
      </c>
      <c r="F6" s="8">
        <v>1130</v>
      </c>
      <c r="G6" s="8">
        <v>1629</v>
      </c>
      <c r="H6" s="8"/>
      <c r="I6" s="8"/>
      <c r="K6" s="28">
        <f t="shared" ref="K6:P6" si="0">+B6/B$21</f>
        <v>1.14900622010098E-2</v>
      </c>
      <c r="L6" s="28">
        <f t="shared" si="0"/>
        <v>3.6886737906075336E-2</v>
      </c>
      <c r="M6" s="28">
        <f t="shared" si="0"/>
        <v>3.4228187919463089E-2</v>
      </c>
      <c r="N6" s="28">
        <f t="shared" si="0"/>
        <v>2.2464268112370626E-2</v>
      </c>
      <c r="O6" s="28">
        <f t="shared" si="0"/>
        <v>1.0921989928572119E-2</v>
      </c>
      <c r="P6" s="28">
        <f t="shared" si="0"/>
        <v>1.3564600472970723E-2</v>
      </c>
      <c r="Q6" s="28"/>
      <c r="S6" s="28">
        <f>RATE(5,0,-G6,B6)</f>
        <v>-8.5839501919465239E-2</v>
      </c>
      <c r="T6" s="28">
        <f>AVERAGE(U6:Y6)</f>
        <v>0.10398283867061812</v>
      </c>
      <c r="U6" s="28">
        <f>(+B6-C6)/C6</f>
        <v>-0.69811320754716977</v>
      </c>
      <c r="V6" s="28">
        <f>(+C6-D6)/D6</f>
        <v>8.194322505121452E-3</v>
      </c>
      <c r="W6" s="28">
        <f>(+D6-E6)/E6</f>
        <v>0.49934181658622201</v>
      </c>
      <c r="X6" s="28">
        <f>(+E6-F6)/F6</f>
        <v>1.0168141592920354</v>
      </c>
      <c r="Y6" s="28">
        <f>(+F6-G6)/G6</f>
        <v>-0.30632289748311847</v>
      </c>
    </row>
    <row r="7" spans="1:25" x14ac:dyDescent="0.25">
      <c r="A7" s="5" t="s">
        <v>140</v>
      </c>
      <c r="B7" s="2">
        <v>0</v>
      </c>
      <c r="C7" s="2">
        <v>0</v>
      </c>
      <c r="D7" s="2">
        <v>0</v>
      </c>
      <c r="E7" s="2">
        <v>0</v>
      </c>
      <c r="F7" s="2">
        <v>0</v>
      </c>
      <c r="G7" s="2">
        <v>0</v>
      </c>
      <c r="K7" s="28"/>
      <c r="L7" s="28"/>
      <c r="M7" s="28"/>
      <c r="N7" s="28"/>
      <c r="O7" s="28"/>
      <c r="P7" s="28"/>
      <c r="Q7" s="28"/>
      <c r="S7" s="28"/>
      <c r="T7" s="28"/>
      <c r="U7" s="28"/>
      <c r="V7" s="28"/>
      <c r="W7" s="28"/>
      <c r="X7" s="28"/>
      <c r="Y7" s="28"/>
    </row>
    <row r="8" spans="1:25" x14ac:dyDescent="0.25">
      <c r="A8" s="5" t="s">
        <v>7</v>
      </c>
      <c r="B8" s="2">
        <v>2120</v>
      </c>
      <c r="C8" s="2">
        <v>1957</v>
      </c>
      <c r="D8" s="2">
        <v>2063</v>
      </c>
      <c r="E8" s="2">
        <v>1973</v>
      </c>
      <c r="F8" s="2">
        <v>2129</v>
      </c>
      <c r="G8" s="2">
        <v>921</v>
      </c>
      <c r="K8" s="28">
        <f t="shared" ref="K8:K17" si="1">+B8/B$21</f>
        <v>2.3422049871289208E-2</v>
      </c>
      <c r="L8" s="28">
        <f t="shared" ref="L8:L17" si="2">+C8/C$21</f>
        <v>2.095423688887937E-2</v>
      </c>
      <c r="M8" s="28">
        <f t="shared" ref="M8:M17" si="3">+D8/D$21</f>
        <v>2.0665130722227788E-2</v>
      </c>
      <c r="N8" s="28">
        <f t="shared" ref="N8:N17" si="4">+E8/E$21</f>
        <v>1.944800394282898E-2</v>
      </c>
      <c r="O8" s="28">
        <f t="shared" ref="O8:O17" si="5">+F8/F$21</f>
        <v>2.0577802263654903E-2</v>
      </c>
      <c r="P8" s="28">
        <f t="shared" ref="P8:P17" si="6">+G8/G$21</f>
        <v>7.669120341071845E-3</v>
      </c>
      <c r="Q8" s="28"/>
      <c r="S8" s="28">
        <f t="shared" ref="S8:S17" si="7">RATE(5,0,-G8,B8)</f>
        <v>0.18144972663460698</v>
      </c>
      <c r="T8" s="28">
        <f t="shared" ref="T8:T21" si="8">AVERAGE(U8:Y8)</f>
        <v>0.26317381012087437</v>
      </c>
      <c r="U8" s="28">
        <f t="shared" ref="U8:U17" si="9">(+B8-C8)/C8</f>
        <v>8.3290751149718956E-2</v>
      </c>
      <c r="V8" s="28">
        <f t="shared" ref="V8:V17" si="10">(+C8-D8)/D8</f>
        <v>-5.1381483276781388E-2</v>
      </c>
      <c r="W8" s="28">
        <f t="shared" ref="W8:W17" si="11">(+D8-E8)/E8</f>
        <v>4.5615813482007099E-2</v>
      </c>
      <c r="X8" s="28">
        <f t="shared" ref="X8:X17" si="12">(+E8-F8)/F8</f>
        <v>-7.3273837482386098E-2</v>
      </c>
      <c r="Y8" s="28">
        <f t="shared" ref="Y8:Y17" si="13">(+F8-G8)/G8</f>
        <v>1.3116178067318132</v>
      </c>
    </row>
    <row r="9" spans="1:25" x14ac:dyDescent="0.25">
      <c r="A9" s="5" t="s">
        <v>8</v>
      </c>
      <c r="B9" s="2">
        <v>3651</v>
      </c>
      <c r="C9" s="2">
        <v>2729</v>
      </c>
      <c r="D9" s="2">
        <v>2554</v>
      </c>
      <c r="E9" s="2">
        <v>2721</v>
      </c>
      <c r="F9" s="2">
        <v>2667</v>
      </c>
      <c r="G9" s="2">
        <v>2760</v>
      </c>
      <c r="K9" s="28">
        <f t="shared" si="1"/>
        <v>4.0336747207583443E-2</v>
      </c>
      <c r="L9" s="28">
        <f t="shared" si="2"/>
        <v>2.9220292524145021E-2</v>
      </c>
      <c r="M9" s="28">
        <f t="shared" si="3"/>
        <v>2.5583491936291697E-2</v>
      </c>
      <c r="N9" s="28">
        <f t="shared" si="4"/>
        <v>2.6821094135041891E-2</v>
      </c>
      <c r="O9" s="28">
        <f t="shared" si="5"/>
        <v>2.5777829326992779E-2</v>
      </c>
      <c r="P9" s="28">
        <f t="shared" si="6"/>
        <v>2.2982380175199015E-2</v>
      </c>
      <c r="Q9" s="28"/>
      <c r="S9" s="28">
        <f t="shared" si="7"/>
        <v>5.7549124818983735E-2</v>
      </c>
      <c r="T9" s="28">
        <f t="shared" si="8"/>
        <v>6.6309996838441923E-2</v>
      </c>
      <c r="U9" s="28">
        <f t="shared" si="9"/>
        <v>0.337852693294247</v>
      </c>
      <c r="V9" s="28">
        <f t="shared" si="10"/>
        <v>6.8519968676585746E-2</v>
      </c>
      <c r="W9" s="28">
        <f t="shared" si="11"/>
        <v>-6.1374494671076807E-2</v>
      </c>
      <c r="X9" s="28">
        <f t="shared" si="12"/>
        <v>2.0247469066366704E-2</v>
      </c>
      <c r="Y9" s="28">
        <f t="shared" si="13"/>
        <v>-3.3695652173913043E-2</v>
      </c>
    </row>
    <row r="10" spans="1:25" x14ac:dyDescent="0.25">
      <c r="A10" s="5" t="s">
        <v>10</v>
      </c>
      <c r="B10" s="2">
        <f t="shared" ref="B10:G10" si="14">+B231</f>
        <v>1086</v>
      </c>
      <c r="C10" s="2">
        <f t="shared" si="14"/>
        <v>863</v>
      </c>
      <c r="D10" s="2">
        <f t="shared" si="14"/>
        <v>2788</v>
      </c>
      <c r="E10" s="2">
        <f t="shared" si="14"/>
        <v>1124</v>
      </c>
      <c r="F10" s="2">
        <f t="shared" si="14"/>
        <v>3149</v>
      </c>
      <c r="G10" s="2">
        <f t="shared" si="14"/>
        <v>1891</v>
      </c>
      <c r="K10" s="30">
        <f t="shared" si="1"/>
        <v>1.1998276490669849E-2</v>
      </c>
      <c r="L10" s="30">
        <f t="shared" si="2"/>
        <v>9.2404222969355628E-3</v>
      </c>
      <c r="M10" s="30">
        <f t="shared" si="3"/>
        <v>2.7927476710407694E-2</v>
      </c>
      <c r="N10" s="30">
        <f t="shared" si="4"/>
        <v>1.1079349433218335E-2</v>
      </c>
      <c r="O10" s="30">
        <f t="shared" si="5"/>
        <v>3.0436589632808497E-2</v>
      </c>
      <c r="P10" s="30">
        <f t="shared" si="6"/>
        <v>1.5746261199746862E-2</v>
      </c>
      <c r="Q10" s="30"/>
      <c r="R10" s="31"/>
      <c r="S10" s="30">
        <f t="shared" si="7"/>
        <v>-0.10499047081771275</v>
      </c>
      <c r="T10" s="30">
        <f t="shared" si="8"/>
        <v>0.2141128103088957</v>
      </c>
      <c r="U10" s="30">
        <f t="shared" si="9"/>
        <v>0.25840092699884126</v>
      </c>
      <c r="V10" s="30">
        <f t="shared" si="10"/>
        <v>-0.69045911047345765</v>
      </c>
      <c r="W10" s="30">
        <f t="shared" si="11"/>
        <v>1.4804270462633451</v>
      </c>
      <c r="X10" s="30">
        <f t="shared" si="12"/>
        <v>-0.64306128929818995</v>
      </c>
      <c r="Y10" s="30">
        <f t="shared" si="13"/>
        <v>0.66525647805393973</v>
      </c>
    </row>
    <row r="11" spans="1:25" x14ac:dyDescent="0.25">
      <c r="A11" s="2" t="s">
        <v>12</v>
      </c>
      <c r="B11" s="6">
        <f t="shared" ref="B11:G11" si="15">SUM(B6:B10)</f>
        <v>7897</v>
      </c>
      <c r="C11" s="6">
        <f t="shared" si="15"/>
        <v>8994</v>
      </c>
      <c r="D11" s="6">
        <f t="shared" si="15"/>
        <v>10822</v>
      </c>
      <c r="E11" s="6">
        <f t="shared" si="15"/>
        <v>8097</v>
      </c>
      <c r="F11" s="6">
        <f t="shared" si="15"/>
        <v>9075</v>
      </c>
      <c r="G11" s="6">
        <f t="shared" si="15"/>
        <v>7201</v>
      </c>
      <c r="H11" s="34"/>
      <c r="I11" s="34"/>
      <c r="K11" s="28">
        <f t="shared" si="1"/>
        <v>8.7247135770552292E-2</v>
      </c>
      <c r="L11" s="28">
        <f t="shared" si="2"/>
        <v>9.6301689616035288E-2</v>
      </c>
      <c r="M11" s="28">
        <f t="shared" si="3"/>
        <v>0.10840428728839026</v>
      </c>
      <c r="N11" s="28">
        <f t="shared" si="4"/>
        <v>7.9812715623459832E-2</v>
      </c>
      <c r="O11" s="28">
        <f t="shared" si="5"/>
        <v>8.7714211152028307E-2</v>
      </c>
      <c r="P11" s="28">
        <f t="shared" si="6"/>
        <v>5.9962362188988441E-2</v>
      </c>
      <c r="Q11" s="28"/>
      <c r="S11" s="28">
        <f t="shared" si="7"/>
        <v>1.8623908433372451E-2</v>
      </c>
      <c r="T11" s="28">
        <f t="shared" si="8"/>
        <v>3.9626412414418111E-2</v>
      </c>
      <c r="U11" s="28">
        <f t="shared" si="9"/>
        <v>-0.12197020235712697</v>
      </c>
      <c r="V11" s="28">
        <f t="shared" si="10"/>
        <v>-0.16891517279615598</v>
      </c>
      <c r="W11" s="28">
        <f t="shared" si="11"/>
        <v>0.33654439916018281</v>
      </c>
      <c r="X11" s="28">
        <f t="shared" si="12"/>
        <v>-0.10776859504132232</v>
      </c>
      <c r="Y11" s="28">
        <f t="shared" si="13"/>
        <v>0.26024163310651299</v>
      </c>
    </row>
    <row r="12" spans="1:25" x14ac:dyDescent="0.25">
      <c r="A12" s="35" t="s">
        <v>108</v>
      </c>
      <c r="B12" s="34">
        <f t="shared" ref="B12:G16" si="16">+B209</f>
        <v>200</v>
      </c>
      <c r="C12" s="34">
        <f t="shared" si="16"/>
        <v>207</v>
      </c>
      <c r="D12" s="34">
        <f t="shared" si="16"/>
        <v>219</v>
      </c>
      <c r="E12" s="34">
        <f t="shared" si="16"/>
        <v>210</v>
      </c>
      <c r="F12" s="34">
        <f t="shared" si="16"/>
        <v>218</v>
      </c>
      <c r="G12" s="34">
        <f t="shared" si="16"/>
        <v>250</v>
      </c>
      <c r="H12" s="34"/>
      <c r="I12" s="34"/>
      <c r="K12" s="28">
        <f t="shared" si="1"/>
        <v>2.2096273463480384E-3</v>
      </c>
      <c r="L12" s="28">
        <f t="shared" si="2"/>
        <v>2.2164164721502452E-3</v>
      </c>
      <c r="M12" s="28">
        <f t="shared" si="3"/>
        <v>2.1937293398777923E-3</v>
      </c>
      <c r="N12" s="28">
        <f t="shared" si="4"/>
        <v>2.0699852143913258E-3</v>
      </c>
      <c r="O12" s="28">
        <f t="shared" si="5"/>
        <v>2.1070741632112583E-3</v>
      </c>
      <c r="P12" s="28">
        <f t="shared" si="6"/>
        <v>2.0817373347100554E-3</v>
      </c>
      <c r="Q12" s="28"/>
      <c r="S12" s="28">
        <f t="shared" si="7"/>
        <v>-4.3647500209735325E-2</v>
      </c>
      <c r="T12" s="28">
        <f t="shared" si="8"/>
        <v>-4.2090210103599465E-2</v>
      </c>
      <c r="U12" s="28">
        <f t="shared" si="9"/>
        <v>-3.3816425120772944E-2</v>
      </c>
      <c r="V12" s="28">
        <f t="shared" si="10"/>
        <v>-5.4794520547945202E-2</v>
      </c>
      <c r="W12" s="28">
        <f t="shared" si="11"/>
        <v>4.2857142857142858E-2</v>
      </c>
      <c r="X12" s="28">
        <f t="shared" si="12"/>
        <v>-3.669724770642202E-2</v>
      </c>
      <c r="Y12" s="28">
        <f t="shared" si="13"/>
        <v>-0.128</v>
      </c>
    </row>
    <row r="13" spans="1:25" x14ac:dyDescent="0.25">
      <c r="A13" s="35" t="s">
        <v>109</v>
      </c>
      <c r="B13" s="34">
        <f t="shared" si="16"/>
        <v>1161</v>
      </c>
      <c r="C13" s="34">
        <f t="shared" si="16"/>
        <v>1002</v>
      </c>
      <c r="D13" s="34">
        <f t="shared" si="16"/>
        <v>792</v>
      </c>
      <c r="E13" s="34">
        <f t="shared" si="16"/>
        <v>1033</v>
      </c>
      <c r="F13" s="34">
        <f t="shared" si="16"/>
        <v>1165</v>
      </c>
      <c r="G13" s="34">
        <f t="shared" si="16"/>
        <v>1345</v>
      </c>
      <c r="H13" s="34"/>
      <c r="I13" s="34"/>
      <c r="K13" s="28">
        <f t="shared" si="1"/>
        <v>1.2826886745550364E-2</v>
      </c>
      <c r="L13" s="28">
        <f t="shared" si="2"/>
        <v>1.0728740604321477E-2</v>
      </c>
      <c r="M13" s="28">
        <f t="shared" si="3"/>
        <v>7.9334869277772214E-3</v>
      </c>
      <c r="N13" s="28">
        <f t="shared" si="4"/>
        <v>1.0182355840315425E-2</v>
      </c>
      <c r="O13" s="28">
        <f t="shared" si="5"/>
        <v>1.1260281652023467E-2</v>
      </c>
      <c r="P13" s="28">
        <f t="shared" si="6"/>
        <v>1.1199746860740099E-2</v>
      </c>
      <c r="Q13" s="28"/>
      <c r="S13" s="28">
        <f t="shared" si="7"/>
        <v>-2.8993835467276595E-2</v>
      </c>
      <c r="T13" s="28">
        <f t="shared" si="8"/>
        <v>-1.1320126458029781E-2</v>
      </c>
      <c r="U13" s="28">
        <f t="shared" si="9"/>
        <v>0.15868263473053892</v>
      </c>
      <c r="V13" s="28">
        <f t="shared" si="10"/>
        <v>0.26515151515151514</v>
      </c>
      <c r="W13" s="28">
        <f t="shared" si="11"/>
        <v>-0.23330106485963215</v>
      </c>
      <c r="X13" s="28">
        <f t="shared" si="12"/>
        <v>-0.11330472103004292</v>
      </c>
      <c r="Y13" s="28">
        <f t="shared" si="13"/>
        <v>-0.13382899628252787</v>
      </c>
    </row>
    <row r="14" spans="1:25" x14ac:dyDescent="0.25">
      <c r="A14" s="35" t="s">
        <v>110</v>
      </c>
      <c r="B14" s="31">
        <f t="shared" si="16"/>
        <v>9591</v>
      </c>
      <c r="C14" s="31">
        <f t="shared" si="16"/>
        <v>9465</v>
      </c>
      <c r="D14" s="31">
        <f t="shared" si="16"/>
        <v>9428</v>
      </c>
      <c r="E14" s="31">
        <f t="shared" si="16"/>
        <v>8999</v>
      </c>
      <c r="F14" s="31">
        <f t="shared" si="16"/>
        <v>8279</v>
      </c>
      <c r="G14" s="31">
        <f t="shared" si="16"/>
        <v>7555</v>
      </c>
      <c r="H14" s="34"/>
      <c r="I14" s="34"/>
      <c r="K14" s="30">
        <f t="shared" si="1"/>
        <v>0.10596267939412018</v>
      </c>
      <c r="L14" s="30">
        <f t="shared" si="2"/>
        <v>0.10134484013962353</v>
      </c>
      <c r="M14" s="30">
        <f t="shared" si="3"/>
        <v>9.4440548933186416E-2</v>
      </c>
      <c r="N14" s="30">
        <f t="shared" si="4"/>
        <v>8.8703794972893046E-2</v>
      </c>
      <c r="O14" s="30">
        <f t="shared" si="5"/>
        <v>8.0020490812963335E-2</v>
      </c>
      <c r="P14" s="30">
        <f t="shared" si="6"/>
        <v>6.2910102254937886E-2</v>
      </c>
      <c r="Q14" s="30"/>
      <c r="R14" s="31"/>
      <c r="S14" s="30">
        <f t="shared" si="7"/>
        <v>4.8880193408491791E-2</v>
      </c>
      <c r="T14" s="30">
        <f t="shared" si="8"/>
        <v>4.9541249491260528E-2</v>
      </c>
      <c r="U14" s="30">
        <f t="shared" si="9"/>
        <v>1.3312202852614897E-2</v>
      </c>
      <c r="V14" s="30">
        <f t="shared" si="10"/>
        <v>3.9244802715316081E-3</v>
      </c>
      <c r="W14" s="30">
        <f t="shared" si="11"/>
        <v>4.7671963551505721E-2</v>
      </c>
      <c r="X14" s="30">
        <f t="shared" si="12"/>
        <v>8.6967025003019685E-2</v>
      </c>
      <c r="Y14" s="30">
        <f t="shared" si="13"/>
        <v>9.5830575777630711E-2</v>
      </c>
    </row>
    <row r="15" spans="1:25" x14ac:dyDescent="0.25">
      <c r="A15" s="35" t="s">
        <v>141</v>
      </c>
      <c r="B15" s="34">
        <f t="shared" si="16"/>
        <v>10952</v>
      </c>
      <c r="C15" s="34">
        <f t="shared" si="16"/>
        <v>10674</v>
      </c>
      <c r="D15" s="34">
        <f t="shared" si="16"/>
        <v>10439</v>
      </c>
      <c r="E15" s="34">
        <f t="shared" si="16"/>
        <v>10242</v>
      </c>
      <c r="F15" s="34">
        <f t="shared" si="16"/>
        <v>9662</v>
      </c>
      <c r="G15" s="34">
        <f t="shared" si="16"/>
        <v>9150</v>
      </c>
      <c r="H15" s="34"/>
      <c r="I15" s="34"/>
      <c r="K15" s="28">
        <f t="shared" si="1"/>
        <v>0.12099919348601858</v>
      </c>
      <c r="L15" s="28">
        <f t="shared" si="2"/>
        <v>0.11428999721609526</v>
      </c>
      <c r="M15" s="28">
        <f t="shared" si="3"/>
        <v>0.10456776520084143</v>
      </c>
      <c r="N15" s="28">
        <f t="shared" si="4"/>
        <v>0.1009561360275998</v>
      </c>
      <c r="O15" s="28">
        <f t="shared" si="5"/>
        <v>9.338784662819806E-2</v>
      </c>
      <c r="P15" s="28">
        <f t="shared" si="6"/>
        <v>7.6191586450388038E-2</v>
      </c>
      <c r="Q15" s="28"/>
      <c r="S15" s="28">
        <f t="shared" si="7"/>
        <v>3.6607790043669146E-2</v>
      </c>
      <c r="T15" s="28">
        <f t="shared" si="8"/>
        <v>3.6755223469835667E-2</v>
      </c>
      <c r="U15" s="28">
        <f t="shared" si="9"/>
        <v>2.6044594341390295E-2</v>
      </c>
      <c r="V15" s="28">
        <f t="shared" si="10"/>
        <v>2.2511734840501965E-2</v>
      </c>
      <c r="W15" s="28">
        <f t="shared" si="11"/>
        <v>1.9234524506932239E-2</v>
      </c>
      <c r="X15" s="28">
        <f t="shared" si="12"/>
        <v>6.0028979507348375E-2</v>
      </c>
      <c r="Y15" s="28">
        <f t="shared" si="13"/>
        <v>5.5956284153005464E-2</v>
      </c>
    </row>
    <row r="16" spans="1:25" x14ac:dyDescent="0.25">
      <c r="A16" s="35" t="s">
        <v>112</v>
      </c>
      <c r="B16" s="31">
        <f t="shared" si="16"/>
        <v>-4212</v>
      </c>
      <c r="C16" s="31">
        <f t="shared" si="16"/>
        <v>-3868</v>
      </c>
      <c r="D16" s="31">
        <f t="shared" si="16"/>
        <v>-3563</v>
      </c>
      <c r="E16" s="31">
        <f t="shared" si="16"/>
        <v>-3187</v>
      </c>
      <c r="F16" s="31">
        <f t="shared" si="16"/>
        <v>-2584</v>
      </c>
      <c r="G16" s="31">
        <f t="shared" si="16"/>
        <v>-2089</v>
      </c>
      <c r="H16" s="34"/>
      <c r="I16" s="34"/>
      <c r="K16" s="30">
        <f t="shared" si="1"/>
        <v>-4.6534751914089692E-2</v>
      </c>
      <c r="L16" s="30">
        <f t="shared" si="2"/>
        <v>-4.1415936783947574E-2</v>
      </c>
      <c r="M16" s="30">
        <f t="shared" si="3"/>
        <v>-3.5690674146048283E-2</v>
      </c>
      <c r="N16" s="30">
        <f t="shared" si="4"/>
        <v>-3.1414489896500739E-2</v>
      </c>
      <c r="O16" s="30">
        <f t="shared" si="5"/>
        <v>-2.4975594668522439E-2</v>
      </c>
      <c r="P16" s="30">
        <f t="shared" si="6"/>
        <v>-1.7394997168837224E-2</v>
      </c>
      <c r="Q16" s="30"/>
      <c r="R16" s="31"/>
      <c r="S16" s="30">
        <f t="shared" si="7"/>
        <v>0.15056188918356203</v>
      </c>
      <c r="T16" s="30">
        <f t="shared" si="8"/>
        <v>0.15256615518164868</v>
      </c>
      <c r="U16" s="30">
        <f t="shared" si="9"/>
        <v>8.8934850051706302E-2</v>
      </c>
      <c r="V16" s="30">
        <f t="shared" si="10"/>
        <v>8.560202076901488E-2</v>
      </c>
      <c r="W16" s="30">
        <f t="shared" si="11"/>
        <v>0.11797929086915594</v>
      </c>
      <c r="X16" s="30">
        <f t="shared" si="12"/>
        <v>0.23335913312693499</v>
      </c>
      <c r="Y16" s="30">
        <f t="shared" si="13"/>
        <v>0.2369554810914313</v>
      </c>
    </row>
    <row r="17" spans="1:25" x14ac:dyDescent="0.25">
      <c r="A17" s="5" t="s">
        <v>13</v>
      </c>
      <c r="B17" s="2">
        <v>6740</v>
      </c>
      <c r="C17" s="2">
        <v>6806</v>
      </c>
      <c r="D17" s="2">
        <v>6876</v>
      </c>
      <c r="E17" s="2">
        <v>7055</v>
      </c>
      <c r="F17" s="2">
        <v>7078</v>
      </c>
      <c r="G17" s="2">
        <v>7061</v>
      </c>
      <c r="K17" s="28">
        <f t="shared" si="1"/>
        <v>7.4464441571928899E-2</v>
      </c>
      <c r="L17" s="28">
        <f t="shared" si="2"/>
        <v>7.2874060432147669E-2</v>
      </c>
      <c r="M17" s="28">
        <f t="shared" si="3"/>
        <v>6.8877091054793144E-2</v>
      </c>
      <c r="N17" s="28">
        <f t="shared" si="4"/>
        <v>6.9541646131099061E-2</v>
      </c>
      <c r="O17" s="28">
        <f t="shared" si="5"/>
        <v>6.8412251959675624E-2</v>
      </c>
      <c r="P17" s="28">
        <f t="shared" si="6"/>
        <v>5.8796589281550814E-2</v>
      </c>
      <c r="Q17" s="28"/>
      <c r="S17" s="28">
        <f t="shared" si="7"/>
        <v>-9.2621911140529506E-3</v>
      </c>
      <c r="T17" s="28">
        <f t="shared" si="8"/>
        <v>-9.2183308706207286E-3</v>
      </c>
      <c r="U17" s="28">
        <f t="shared" si="9"/>
        <v>-9.6973258889215402E-3</v>
      </c>
      <c r="V17" s="28">
        <f t="shared" si="10"/>
        <v>-1.0180337405468295E-2</v>
      </c>
      <c r="W17" s="28">
        <f t="shared" si="11"/>
        <v>-2.5372076541459957E-2</v>
      </c>
      <c r="X17" s="28">
        <f t="shared" si="12"/>
        <v>-3.2495055100310822E-3</v>
      </c>
      <c r="Y17" s="28">
        <f t="shared" si="13"/>
        <v>2.407590992777227E-3</v>
      </c>
    </row>
    <row r="18" spans="1:25" x14ac:dyDescent="0.25">
      <c r="A18" s="5" t="s">
        <v>196</v>
      </c>
      <c r="B18" s="2">
        <f t="shared" ref="B18:G18" si="17">+B218</f>
        <v>668</v>
      </c>
      <c r="C18" s="2">
        <f t="shared" si="17"/>
        <v>569</v>
      </c>
      <c r="D18" s="2">
        <f t="shared" si="17"/>
        <v>562</v>
      </c>
      <c r="E18" s="2">
        <f t="shared" si="17"/>
        <v>542</v>
      </c>
      <c r="F18" s="2">
        <f t="shared" si="17"/>
        <v>0</v>
      </c>
      <c r="G18" s="2">
        <f t="shared" si="17"/>
        <v>0</v>
      </c>
      <c r="K18" s="28"/>
      <c r="L18" s="28"/>
      <c r="M18" s="28"/>
      <c r="N18" s="28"/>
      <c r="O18" s="28"/>
      <c r="P18" s="28"/>
      <c r="Q18" s="28"/>
      <c r="S18" s="28"/>
      <c r="T18" s="28"/>
      <c r="U18" s="28"/>
      <c r="V18" s="28"/>
      <c r="W18" s="28"/>
      <c r="X18" s="28"/>
      <c r="Y18" s="28"/>
    </row>
    <row r="19" spans="1:25" x14ac:dyDescent="0.25">
      <c r="A19" s="5" t="s">
        <v>143</v>
      </c>
      <c r="B19" s="2">
        <f t="shared" ref="B19:G19" si="18">+B235</f>
        <v>73482</v>
      </c>
      <c r="C19" s="2">
        <f t="shared" si="18"/>
        <v>74838</v>
      </c>
      <c r="D19" s="2">
        <f t="shared" si="18"/>
        <v>79756</v>
      </c>
      <c r="E19" s="2">
        <f t="shared" si="18"/>
        <v>84198</v>
      </c>
      <c r="F19" s="2">
        <f t="shared" si="18"/>
        <v>85971</v>
      </c>
      <c r="G19" s="2">
        <f t="shared" si="18"/>
        <v>104257</v>
      </c>
      <c r="K19" s="28">
        <f t="shared" ref="K19:P21" si="19">+B19/B$21</f>
        <v>0.81183918332173277</v>
      </c>
      <c r="L19" s="28">
        <f t="shared" si="19"/>
        <v>0.80131485962695681</v>
      </c>
      <c r="M19" s="28">
        <f t="shared" si="19"/>
        <v>0.79891816087348488</v>
      </c>
      <c r="N19" s="28">
        <f t="shared" si="19"/>
        <v>0.8299457861015278</v>
      </c>
      <c r="O19" s="28">
        <f t="shared" si="19"/>
        <v>0.83095079305245456</v>
      </c>
      <c r="P19" s="28">
        <f t="shared" si="19"/>
        <v>0.8681427572194651</v>
      </c>
      <c r="Q19" s="28"/>
      <c r="S19" s="28">
        <f>RATE(5,0,-G19,B19)</f>
        <v>-6.7572338514843566E-2</v>
      </c>
      <c r="T19" s="28">
        <f t="shared" si="8"/>
        <v>-6.5711107885011805E-2</v>
      </c>
      <c r="U19" s="28">
        <f t="shared" ref="U19:Y21" si="20">(+B19-C19)/C19</f>
        <v>-1.8119137336647159E-2</v>
      </c>
      <c r="V19" s="28">
        <f t="shared" si="20"/>
        <v>-6.166307237073073E-2</v>
      </c>
      <c r="W19" s="28">
        <f t="shared" si="20"/>
        <v>-5.2756597543884655E-2</v>
      </c>
      <c r="X19" s="28">
        <f t="shared" si="20"/>
        <v>-2.0623233415919321E-2</v>
      </c>
      <c r="Y19" s="28">
        <f t="shared" si="20"/>
        <v>-0.17539349875787716</v>
      </c>
    </row>
    <row r="20" spans="1:25" x14ac:dyDescent="0.25">
      <c r="A20" s="5" t="s">
        <v>147</v>
      </c>
      <c r="B20" s="2">
        <f t="shared" ref="B20:G20" si="21">+B239</f>
        <v>1726</v>
      </c>
      <c r="C20" s="2">
        <f t="shared" si="21"/>
        <v>2187</v>
      </c>
      <c r="D20" s="2">
        <f t="shared" si="21"/>
        <v>1814</v>
      </c>
      <c r="E20" s="2">
        <f t="shared" si="21"/>
        <v>1558</v>
      </c>
      <c r="F20" s="2">
        <f t="shared" si="21"/>
        <v>1337</v>
      </c>
      <c r="G20" s="2">
        <f t="shared" si="21"/>
        <v>1573</v>
      </c>
      <c r="K20" s="28">
        <f t="shared" si="19"/>
        <v>1.906908399898357E-2</v>
      </c>
      <c r="L20" s="28">
        <f t="shared" si="19"/>
        <v>2.3416921857935199E-2</v>
      </c>
      <c r="M20" s="28">
        <f t="shared" si="19"/>
        <v>1.8170890513873585E-2</v>
      </c>
      <c r="N20" s="28">
        <f t="shared" si="19"/>
        <v>1.5357318876293741E-2</v>
      </c>
      <c r="O20" s="28">
        <f t="shared" si="19"/>
        <v>1.2922743835841525E-2</v>
      </c>
      <c r="P20" s="28">
        <f t="shared" si="19"/>
        <v>1.309829130999567E-2</v>
      </c>
      <c r="Q20" s="28"/>
      <c r="S20" s="28">
        <f>RATE(5,0,-G20,B20)</f>
        <v>1.8737783370035378E-2</v>
      </c>
      <c r="T20" s="28">
        <f t="shared" si="8"/>
        <v>3.4881753604939073E-2</v>
      </c>
      <c r="U20" s="28">
        <f t="shared" si="20"/>
        <v>-0.21079103795153178</v>
      </c>
      <c r="V20" s="28">
        <f t="shared" si="20"/>
        <v>0.20562293274531424</v>
      </c>
      <c r="W20" s="28">
        <f t="shared" si="20"/>
        <v>0.16431322207958921</v>
      </c>
      <c r="X20" s="28">
        <f t="shared" si="20"/>
        <v>0.16529543754674644</v>
      </c>
      <c r="Y20" s="28">
        <f t="shared" si="20"/>
        <v>-0.15003178639542275</v>
      </c>
    </row>
    <row r="21" spans="1:25" ht="15.75" thickBot="1" x14ac:dyDescent="0.3">
      <c r="A21" s="2" t="s">
        <v>17</v>
      </c>
      <c r="B21" s="9">
        <f t="shared" ref="B21:G21" si="22">+B11+SUM(B17:B20)</f>
        <v>90513</v>
      </c>
      <c r="C21" s="9">
        <f t="shared" si="22"/>
        <v>93394</v>
      </c>
      <c r="D21" s="9">
        <f t="shared" si="22"/>
        <v>99830</v>
      </c>
      <c r="E21" s="9">
        <f t="shared" si="22"/>
        <v>101450</v>
      </c>
      <c r="F21" s="9">
        <f t="shared" si="22"/>
        <v>103461</v>
      </c>
      <c r="G21" s="9">
        <f t="shared" si="22"/>
        <v>120092</v>
      </c>
      <c r="H21" s="36"/>
      <c r="I21" s="36"/>
      <c r="K21" s="32">
        <f t="shared" si="19"/>
        <v>1</v>
      </c>
      <c r="L21" s="32">
        <f t="shared" si="19"/>
        <v>1</v>
      </c>
      <c r="M21" s="32">
        <f t="shared" si="19"/>
        <v>1</v>
      </c>
      <c r="N21" s="32">
        <f t="shared" si="19"/>
        <v>1</v>
      </c>
      <c r="O21" s="32">
        <f t="shared" si="19"/>
        <v>1</v>
      </c>
      <c r="P21" s="32">
        <f t="shared" si="19"/>
        <v>1</v>
      </c>
      <c r="Q21" s="32"/>
      <c r="R21" s="11"/>
      <c r="S21" s="32">
        <f>RATE(5,0,-G21,B21)</f>
        <v>-5.4983532564241197E-2</v>
      </c>
      <c r="T21" s="32">
        <f t="shared" si="8"/>
        <v>-5.3841726418039616E-2</v>
      </c>
      <c r="U21" s="32">
        <f t="shared" si="20"/>
        <v>-3.084780606891235E-2</v>
      </c>
      <c r="V21" s="32">
        <f t="shared" si="20"/>
        <v>-6.4469598317139137E-2</v>
      </c>
      <c r="W21" s="32">
        <f t="shared" si="20"/>
        <v>-1.5968457368161656E-2</v>
      </c>
      <c r="X21" s="32">
        <f t="shared" si="20"/>
        <v>-1.9437275881733215E-2</v>
      </c>
      <c r="Y21" s="32">
        <f t="shared" si="20"/>
        <v>-0.13848549445425173</v>
      </c>
    </row>
    <row r="22" spans="1:25" ht="15.75" thickTop="1" x14ac:dyDescent="0.25">
      <c r="A22" s="2" t="s">
        <v>18</v>
      </c>
    </row>
    <row r="23" spans="1:25" x14ac:dyDescent="0.25">
      <c r="A23" s="5" t="s">
        <v>151</v>
      </c>
      <c r="B23" s="8">
        <f t="shared" ref="B23:G23" si="23">+B243</f>
        <v>837</v>
      </c>
      <c r="C23" s="8">
        <f t="shared" si="23"/>
        <v>754</v>
      </c>
      <c r="D23" s="8">
        <f t="shared" si="23"/>
        <v>236</v>
      </c>
      <c r="E23" s="8">
        <f t="shared" si="23"/>
        <v>1028</v>
      </c>
      <c r="F23" s="8">
        <f t="shared" si="23"/>
        <v>398</v>
      </c>
      <c r="G23" s="8">
        <f t="shared" si="23"/>
        <v>3195</v>
      </c>
      <c r="H23" s="8"/>
      <c r="I23" s="8"/>
      <c r="K23" s="28">
        <f t="shared" ref="K23:P25" si="24">+B23/B$21</f>
        <v>9.24729044446654E-3</v>
      </c>
      <c r="L23" s="28">
        <f t="shared" si="24"/>
        <v>8.0733237681221495E-3</v>
      </c>
      <c r="M23" s="28">
        <f t="shared" si="24"/>
        <v>2.3640188320144247E-3</v>
      </c>
      <c r="N23" s="28">
        <f t="shared" si="24"/>
        <v>1.0133070478068013E-2</v>
      </c>
      <c r="O23" s="28">
        <f t="shared" si="24"/>
        <v>3.8468601695324806E-3</v>
      </c>
      <c r="P23" s="28">
        <f t="shared" si="24"/>
        <v>2.660460313759451E-2</v>
      </c>
      <c r="Q23" s="28"/>
      <c r="S23" s="28">
        <f>RATE(5,0,-G23,B23)</f>
        <v>-0.23501852356897554</v>
      </c>
      <c r="T23" s="28">
        <f t="shared" ref="T23:T35" si="25">AVERAGE(U23:Y23)</f>
        <v>0.4484102054393645</v>
      </c>
      <c r="U23" s="28">
        <f t="shared" ref="U23:Y25" si="26">(+B23-C23)/C23</f>
        <v>0.11007957559681697</v>
      </c>
      <c r="V23" s="28">
        <f t="shared" si="26"/>
        <v>2.1949152542372881</v>
      </c>
      <c r="W23" s="28">
        <f t="shared" si="26"/>
        <v>-0.77042801556420237</v>
      </c>
      <c r="X23" s="28">
        <f t="shared" si="26"/>
        <v>1.5829145728643217</v>
      </c>
      <c r="Y23" s="28">
        <f t="shared" si="26"/>
        <v>-0.87543035993740215</v>
      </c>
    </row>
    <row r="24" spans="1:25" x14ac:dyDescent="0.25">
      <c r="A24" s="5" t="s">
        <v>21</v>
      </c>
      <c r="B24" s="2">
        <v>4848</v>
      </c>
      <c r="C24" s="2">
        <v>4753</v>
      </c>
      <c r="D24" s="2">
        <v>4304</v>
      </c>
      <c r="E24" s="2">
        <v>4003</v>
      </c>
      <c r="F24" s="2">
        <v>4153</v>
      </c>
      <c r="G24" s="2">
        <v>4362</v>
      </c>
      <c r="K24" s="28">
        <f t="shared" si="24"/>
        <v>5.3561366875476454E-2</v>
      </c>
      <c r="L24" s="28">
        <f t="shared" si="24"/>
        <v>5.0891920251836309E-2</v>
      </c>
      <c r="M24" s="28">
        <f t="shared" si="24"/>
        <v>4.3113292597415608E-2</v>
      </c>
      <c r="N24" s="28">
        <f t="shared" si="24"/>
        <v>3.9457861015278463E-2</v>
      </c>
      <c r="O24" s="28">
        <f t="shared" si="24"/>
        <v>4.0140729356955764E-2</v>
      </c>
      <c r="P24" s="28">
        <f t="shared" si="24"/>
        <v>3.6322153016021048E-2</v>
      </c>
      <c r="Q24" s="28"/>
      <c r="S24" s="28">
        <f>RATE(5,0,-G24,B24)</f>
        <v>2.1351873752623592E-2</v>
      </c>
      <c r="T24" s="28">
        <f t="shared" si="25"/>
        <v>2.3094054588581041E-2</v>
      </c>
      <c r="U24" s="28">
        <f t="shared" si="26"/>
        <v>1.9987376393856511E-2</v>
      </c>
      <c r="V24" s="28">
        <f t="shared" si="26"/>
        <v>0.10432156133828996</v>
      </c>
      <c r="W24" s="28">
        <f t="shared" si="26"/>
        <v>7.5193604796402705E-2</v>
      </c>
      <c r="X24" s="28">
        <f t="shared" si="26"/>
        <v>-3.6118468576932336E-2</v>
      </c>
      <c r="Y24" s="28">
        <f t="shared" si="26"/>
        <v>-4.79138010087116E-2</v>
      </c>
    </row>
    <row r="25" spans="1:25" x14ac:dyDescent="0.25">
      <c r="A25" s="5" t="s">
        <v>148</v>
      </c>
      <c r="B25" s="2">
        <v>0</v>
      </c>
      <c r="C25" s="2">
        <v>0</v>
      </c>
      <c r="D25" s="2">
        <v>0</v>
      </c>
      <c r="E25" s="2">
        <v>0</v>
      </c>
      <c r="F25" s="2">
        <v>0</v>
      </c>
      <c r="G25" s="2">
        <v>0</v>
      </c>
      <c r="K25" s="28">
        <f t="shared" si="24"/>
        <v>0</v>
      </c>
      <c r="L25" s="28">
        <f t="shared" si="24"/>
        <v>0</v>
      </c>
      <c r="M25" s="28">
        <f t="shared" si="24"/>
        <v>0</v>
      </c>
      <c r="N25" s="28">
        <f t="shared" si="24"/>
        <v>0</v>
      </c>
      <c r="O25" s="28">
        <f t="shared" si="24"/>
        <v>0</v>
      </c>
      <c r="P25" s="28">
        <f t="shared" si="24"/>
        <v>0</v>
      </c>
      <c r="Q25" s="28"/>
      <c r="S25" s="28" t="e">
        <f>RATE(5,0,-G25,B25)</f>
        <v>#NUM!</v>
      </c>
      <c r="T25" s="28" t="e">
        <f t="shared" si="25"/>
        <v>#DIV/0!</v>
      </c>
      <c r="U25" s="28" t="e">
        <f t="shared" si="26"/>
        <v>#DIV/0!</v>
      </c>
      <c r="V25" s="28" t="e">
        <f t="shared" si="26"/>
        <v>#DIV/0!</v>
      </c>
      <c r="W25" s="28" t="e">
        <f t="shared" si="26"/>
        <v>#DIV/0!</v>
      </c>
      <c r="X25" s="28" t="e">
        <f t="shared" si="26"/>
        <v>#DIV/0!</v>
      </c>
      <c r="Y25" s="28" t="e">
        <f t="shared" si="26"/>
        <v>#DIV/0!</v>
      </c>
    </row>
    <row r="26" spans="1:25" x14ac:dyDescent="0.25">
      <c r="A26" s="5" t="s">
        <v>200</v>
      </c>
      <c r="B26" s="2">
        <f t="shared" ref="B26:G26" si="27">+B219</f>
        <v>125</v>
      </c>
      <c r="C26" s="2">
        <f t="shared" si="27"/>
        <v>133</v>
      </c>
      <c r="D26" s="2">
        <f t="shared" si="27"/>
        <v>135</v>
      </c>
      <c r="E26" s="2">
        <f t="shared" si="27"/>
        <v>147</v>
      </c>
      <c r="F26" s="2">
        <f t="shared" si="27"/>
        <v>0</v>
      </c>
      <c r="G26" s="2">
        <f t="shared" si="27"/>
        <v>0</v>
      </c>
      <c r="K26" s="28"/>
      <c r="L26" s="28"/>
      <c r="M26" s="28"/>
      <c r="N26" s="28"/>
      <c r="O26" s="28"/>
      <c r="P26" s="28"/>
      <c r="Q26" s="28"/>
      <c r="S26" s="28"/>
      <c r="T26" s="28"/>
      <c r="U26" s="28"/>
      <c r="V26" s="28"/>
      <c r="W26" s="28"/>
      <c r="X26" s="28"/>
      <c r="Y26" s="28"/>
    </row>
    <row r="27" spans="1:25" x14ac:dyDescent="0.25">
      <c r="A27" s="5" t="s">
        <v>152</v>
      </c>
      <c r="B27" s="2">
        <f t="shared" ref="B27:G27" si="28">+B251</f>
        <v>3218</v>
      </c>
      <c r="C27" s="2">
        <f t="shared" si="28"/>
        <v>3424</v>
      </c>
      <c r="D27" s="2">
        <f t="shared" si="28"/>
        <v>3386</v>
      </c>
      <c r="E27" s="2">
        <f t="shared" si="28"/>
        <v>2697</v>
      </c>
      <c r="F27" s="2">
        <f t="shared" si="28"/>
        <v>2952</v>
      </c>
      <c r="G27" s="2">
        <f t="shared" si="28"/>
        <v>2597</v>
      </c>
      <c r="K27" s="30">
        <f t="shared" ref="K27:P29" si="29">+B27/B$21</f>
        <v>3.5552904002739937E-2</v>
      </c>
      <c r="L27" s="30">
        <f t="shared" si="29"/>
        <v>3.6661884061074589E-2</v>
      </c>
      <c r="M27" s="30">
        <f t="shared" si="29"/>
        <v>3.3917660022037464E-2</v>
      </c>
      <c r="N27" s="30">
        <f t="shared" si="29"/>
        <v>2.6584524396254312E-2</v>
      </c>
      <c r="O27" s="30">
        <f t="shared" si="29"/>
        <v>2.8532490503668049E-2</v>
      </c>
      <c r="P27" s="30">
        <f t="shared" si="29"/>
        <v>2.1625087432968058E-2</v>
      </c>
      <c r="Q27" s="30"/>
      <c r="R27" s="31"/>
      <c r="S27" s="30">
        <f>RATE(5,0,-G27,B27)</f>
        <v>4.3813280300541678E-2</v>
      </c>
      <c r="T27" s="30">
        <f t="shared" si="25"/>
        <v>5.1368448798014457E-2</v>
      </c>
      <c r="U27" s="30">
        <f t="shared" ref="U27:Y29" si="30">(+B27-C27)/C27</f>
        <v>-6.0163551401869159E-2</v>
      </c>
      <c r="V27" s="30">
        <f t="shared" si="30"/>
        <v>1.1222681630242174E-2</v>
      </c>
      <c r="W27" s="30">
        <f t="shared" si="30"/>
        <v>0.25546903967371154</v>
      </c>
      <c r="X27" s="30">
        <f t="shared" si="30"/>
        <v>-8.6382113821138209E-2</v>
      </c>
      <c r="Y27" s="30">
        <f t="shared" si="30"/>
        <v>0.13669618790912591</v>
      </c>
    </row>
    <row r="28" spans="1:25" x14ac:dyDescent="0.25">
      <c r="A28" s="2" t="s">
        <v>25</v>
      </c>
      <c r="B28" s="6">
        <f t="shared" ref="B28:G28" si="31">SUM(B23:B27)</f>
        <v>9028</v>
      </c>
      <c r="C28" s="6">
        <f t="shared" si="31"/>
        <v>9064</v>
      </c>
      <c r="D28" s="6">
        <f t="shared" si="31"/>
        <v>8061</v>
      </c>
      <c r="E28" s="6">
        <f t="shared" si="31"/>
        <v>7875</v>
      </c>
      <c r="F28" s="6">
        <f t="shared" si="31"/>
        <v>7503</v>
      </c>
      <c r="G28" s="6">
        <f t="shared" si="31"/>
        <v>10154</v>
      </c>
      <c r="H28" s="34"/>
      <c r="I28" s="34"/>
      <c r="K28" s="28">
        <f t="shared" si="29"/>
        <v>9.9742578414150448E-2</v>
      </c>
      <c r="L28" s="28">
        <f t="shared" si="29"/>
        <v>9.7051202432704459E-2</v>
      </c>
      <c r="M28" s="28">
        <f t="shared" si="29"/>
        <v>8.0747270359611337E-2</v>
      </c>
      <c r="N28" s="28">
        <f t="shared" si="29"/>
        <v>7.7624445539674722E-2</v>
      </c>
      <c r="O28" s="28">
        <f t="shared" si="29"/>
        <v>7.2520080030156295E-2</v>
      </c>
      <c r="P28" s="28">
        <f t="shared" si="29"/>
        <v>8.4551843586583617E-2</v>
      </c>
      <c r="Q28" s="28"/>
      <c r="S28" s="28">
        <f>RATE(5,0,-G28,B28)</f>
        <v>-2.3233225607619739E-2</v>
      </c>
      <c r="T28" s="28">
        <f t="shared" si="25"/>
        <v>-1.3485133717464421E-2</v>
      </c>
      <c r="U28" s="28">
        <f t="shared" si="30"/>
        <v>-3.9717563989408646E-3</v>
      </c>
      <c r="V28" s="28">
        <f t="shared" si="30"/>
        <v>0.12442624984493239</v>
      </c>
      <c r="W28" s="28">
        <f t="shared" si="30"/>
        <v>2.3619047619047619E-2</v>
      </c>
      <c r="X28" s="28">
        <f t="shared" si="30"/>
        <v>4.9580167932826873E-2</v>
      </c>
      <c r="Y28" s="28">
        <f t="shared" si="30"/>
        <v>-0.26107937758518812</v>
      </c>
    </row>
    <row r="29" spans="1:25" x14ac:dyDescent="0.25">
      <c r="A29" s="5" t="s">
        <v>27</v>
      </c>
      <c r="B29" s="2">
        <v>19233</v>
      </c>
      <c r="C29" s="2">
        <v>21061</v>
      </c>
      <c r="D29" s="2">
        <v>28070</v>
      </c>
      <c r="E29" s="2">
        <v>28216</v>
      </c>
      <c r="F29" s="2">
        <v>30770</v>
      </c>
      <c r="G29" s="2">
        <v>28308</v>
      </c>
      <c r="K29" s="28">
        <f t="shared" si="29"/>
        <v>0.21248881376155912</v>
      </c>
      <c r="L29" s="28">
        <f t="shared" si="29"/>
        <v>0.22550699188384693</v>
      </c>
      <c r="M29" s="28">
        <f t="shared" si="29"/>
        <v>0.28117800260442755</v>
      </c>
      <c r="N29" s="28">
        <f t="shared" si="29"/>
        <v>0.27812715623459833</v>
      </c>
      <c r="O29" s="28">
        <f t="shared" si="29"/>
        <v>0.29740675230280011</v>
      </c>
      <c r="P29" s="28">
        <f t="shared" si="29"/>
        <v>0.23571928188388902</v>
      </c>
      <c r="Q29" s="28"/>
      <c r="S29" s="28">
        <f>RATE(5,0,-G29,B29)</f>
        <v>-7.4390999611951406E-2</v>
      </c>
      <c r="T29" s="28">
        <f t="shared" si="25"/>
        <v>-6.7539619547069094E-2</v>
      </c>
      <c r="U29" s="28">
        <f t="shared" si="30"/>
        <v>-8.6795498789231276E-2</v>
      </c>
      <c r="V29" s="28">
        <f t="shared" si="30"/>
        <v>-0.24969718560741005</v>
      </c>
      <c r="W29" s="28">
        <f t="shared" si="30"/>
        <v>-5.1743691522540399E-3</v>
      </c>
      <c r="X29" s="28">
        <f t="shared" si="30"/>
        <v>-8.3002924926876831E-2</v>
      </c>
      <c r="Y29" s="28">
        <f t="shared" si="30"/>
        <v>8.6971880740426735E-2</v>
      </c>
    </row>
    <row r="30" spans="1:25" x14ac:dyDescent="0.25">
      <c r="A30" s="5" t="s">
        <v>202</v>
      </c>
      <c r="B30" s="2">
        <f t="shared" ref="B30:G30" si="32">+B220</f>
        <v>585</v>
      </c>
      <c r="C30" s="2">
        <f t="shared" si="32"/>
        <v>484</v>
      </c>
      <c r="D30" s="2">
        <f t="shared" si="32"/>
        <v>475</v>
      </c>
      <c r="E30" s="2">
        <f t="shared" si="32"/>
        <v>454</v>
      </c>
      <c r="F30" s="2">
        <f t="shared" si="32"/>
        <v>0</v>
      </c>
      <c r="G30" s="2">
        <f t="shared" si="32"/>
        <v>0</v>
      </c>
      <c r="K30" s="28"/>
      <c r="L30" s="28"/>
      <c r="M30" s="28"/>
      <c r="N30" s="28"/>
      <c r="O30" s="28"/>
      <c r="P30" s="28"/>
      <c r="Q30" s="28"/>
      <c r="S30" s="28"/>
      <c r="T30" s="28"/>
      <c r="U30" s="28"/>
      <c r="V30" s="28"/>
      <c r="W30" s="28"/>
      <c r="X30" s="28"/>
      <c r="Y30" s="28"/>
    </row>
    <row r="31" spans="1:25" x14ac:dyDescent="0.25">
      <c r="A31" s="5" t="s">
        <v>153</v>
      </c>
      <c r="B31" s="2">
        <f t="shared" ref="B31:G31" si="33">+B258</f>
        <v>12797</v>
      </c>
      <c r="C31" s="2">
        <f t="shared" si="33"/>
        <v>13333</v>
      </c>
      <c r="D31" s="2">
        <f t="shared" si="33"/>
        <v>12981</v>
      </c>
      <c r="E31" s="2">
        <f t="shared" si="33"/>
        <v>13156</v>
      </c>
      <c r="F31" s="2">
        <f t="shared" si="33"/>
        <v>13410</v>
      </c>
      <c r="G31" s="2">
        <f t="shared" si="33"/>
        <v>15554</v>
      </c>
      <c r="K31" s="30">
        <f t="shared" ref="K31:P35" si="34">+B31/B$21</f>
        <v>0.14138300575607923</v>
      </c>
      <c r="L31" s="30">
        <f t="shared" si="34"/>
        <v>0.14276077692357111</v>
      </c>
      <c r="M31" s="30">
        <f t="shared" si="34"/>
        <v>0.13003105278974256</v>
      </c>
      <c r="N31" s="30">
        <f t="shared" si="34"/>
        <v>0.12967964514539182</v>
      </c>
      <c r="O31" s="30">
        <f t="shared" si="34"/>
        <v>0.12961405747093108</v>
      </c>
      <c r="P31" s="30">
        <f t="shared" si="34"/>
        <v>0.12951737001632083</v>
      </c>
      <c r="Q31" s="30"/>
      <c r="R31" s="31"/>
      <c r="S31" s="30">
        <f>RATE(5,0,-G31,B31)</f>
        <v>-3.8269885912254428E-2</v>
      </c>
      <c r="T31" s="30">
        <f t="shared" si="25"/>
        <v>-3.6633961987977935E-2</v>
      </c>
      <c r="U31" s="30">
        <f t="shared" ref="U31:Y35" si="35">(+B31-C31)/C31</f>
        <v>-4.0201005025125629E-2</v>
      </c>
      <c r="V31" s="30">
        <f t="shared" si="35"/>
        <v>2.7116554964948771E-2</v>
      </c>
      <c r="W31" s="30">
        <f t="shared" si="35"/>
        <v>-1.330191547582852E-2</v>
      </c>
      <c r="X31" s="30">
        <f t="shared" si="35"/>
        <v>-1.8941088739746457E-2</v>
      </c>
      <c r="Y31" s="30">
        <f t="shared" si="35"/>
        <v>-0.13784235566413786</v>
      </c>
    </row>
    <row r="32" spans="1:25" x14ac:dyDescent="0.25">
      <c r="A32" s="2" t="s">
        <v>31</v>
      </c>
      <c r="B32" s="6">
        <f t="shared" ref="B32:G32" si="36">SUM(B28:B31)</f>
        <v>41643</v>
      </c>
      <c r="C32" s="6">
        <f t="shared" si="36"/>
        <v>43942</v>
      </c>
      <c r="D32" s="6">
        <f t="shared" si="36"/>
        <v>49587</v>
      </c>
      <c r="E32" s="6">
        <f t="shared" si="36"/>
        <v>49701</v>
      </c>
      <c r="F32" s="6">
        <f t="shared" si="36"/>
        <v>51683</v>
      </c>
      <c r="G32" s="6">
        <f t="shared" si="36"/>
        <v>54016</v>
      </c>
      <c r="H32" s="34"/>
      <c r="I32" s="34"/>
      <c r="K32" s="28">
        <f t="shared" si="34"/>
        <v>0.46007755791985683</v>
      </c>
      <c r="L32" s="28">
        <f t="shared" si="34"/>
        <v>0.47050131700109216</v>
      </c>
      <c r="M32" s="28">
        <f t="shared" si="34"/>
        <v>0.49671441450465792</v>
      </c>
      <c r="N32" s="28">
        <f t="shared" si="34"/>
        <v>0.48990635781172992</v>
      </c>
      <c r="O32" s="28">
        <f t="shared" si="34"/>
        <v>0.49954088980388744</v>
      </c>
      <c r="P32" s="28">
        <f t="shared" si="34"/>
        <v>0.44978849548679345</v>
      </c>
      <c r="Q32" s="28"/>
      <c r="S32" s="28">
        <f>RATE(5,0,-G32,B32)</f>
        <v>-5.0699045239239016E-2</v>
      </c>
      <c r="T32" s="28">
        <f t="shared" si="25"/>
        <v>-4.9998615364267002E-2</v>
      </c>
      <c r="U32" s="28">
        <f t="shared" si="35"/>
        <v>-5.231896590960812E-2</v>
      </c>
      <c r="V32" s="28">
        <f t="shared" si="35"/>
        <v>-0.1138403210518886</v>
      </c>
      <c r="W32" s="28">
        <f t="shared" si="35"/>
        <v>-2.2937164242168165E-3</v>
      </c>
      <c r="X32" s="28">
        <f t="shared" si="35"/>
        <v>-3.8349167037517173E-2</v>
      </c>
      <c r="Y32" s="28">
        <f t="shared" si="35"/>
        <v>-4.3190906398104266E-2</v>
      </c>
    </row>
    <row r="33" spans="1:25" x14ac:dyDescent="0.25">
      <c r="A33" s="2" t="s">
        <v>32</v>
      </c>
      <c r="B33" s="2">
        <v>40</v>
      </c>
      <c r="C33" s="2">
        <v>4</v>
      </c>
      <c r="D33" s="2">
        <v>0</v>
      </c>
      <c r="E33" s="2">
        <v>0</v>
      </c>
      <c r="F33" s="2">
        <v>3</v>
      </c>
      <c r="G33" s="2">
        <v>6</v>
      </c>
      <c r="K33" s="28">
        <f t="shared" si="34"/>
        <v>4.4192546926960768E-4</v>
      </c>
      <c r="L33" s="28">
        <f t="shared" si="34"/>
        <v>4.2829303809666572E-5</v>
      </c>
      <c r="M33" s="28">
        <f t="shared" si="34"/>
        <v>0</v>
      </c>
      <c r="N33" s="28">
        <f t="shared" si="34"/>
        <v>0</v>
      </c>
      <c r="O33" s="28">
        <f t="shared" si="34"/>
        <v>2.8996433438687043E-5</v>
      </c>
      <c r="P33" s="28">
        <f t="shared" si="34"/>
        <v>4.9961696033041334E-5</v>
      </c>
      <c r="Q33" s="28"/>
      <c r="S33" s="28">
        <f>RATE(5,0,-G33,B33)</f>
        <v>0.46144255162042197</v>
      </c>
      <c r="T33" s="28" t="e">
        <f t="shared" si="25"/>
        <v>#DIV/0!</v>
      </c>
      <c r="U33" s="28">
        <f t="shared" si="35"/>
        <v>9</v>
      </c>
      <c r="V33" s="28" t="e">
        <f t="shared" si="35"/>
        <v>#DIV/0!</v>
      </c>
      <c r="W33" s="28" t="e">
        <f t="shared" si="35"/>
        <v>#DIV/0!</v>
      </c>
      <c r="X33" s="28">
        <f t="shared" si="35"/>
        <v>-1</v>
      </c>
      <c r="Y33" s="28">
        <f t="shared" si="35"/>
        <v>-0.5</v>
      </c>
    </row>
    <row r="34" spans="1:25" x14ac:dyDescent="0.25">
      <c r="A34" s="2" t="s">
        <v>40</v>
      </c>
      <c r="B34" s="34">
        <f t="shared" ref="B34:G34" si="37">+B266</f>
        <v>48830</v>
      </c>
      <c r="C34" s="34">
        <f t="shared" si="37"/>
        <v>49448</v>
      </c>
      <c r="D34" s="34">
        <f t="shared" si="37"/>
        <v>50243</v>
      </c>
      <c r="E34" s="34">
        <f t="shared" si="37"/>
        <v>51749</v>
      </c>
      <c r="F34" s="34">
        <f t="shared" si="37"/>
        <v>51775</v>
      </c>
      <c r="G34" s="34">
        <f t="shared" si="37"/>
        <v>66070</v>
      </c>
      <c r="H34" s="34"/>
      <c r="I34" s="34"/>
      <c r="K34" s="28">
        <f t="shared" si="34"/>
        <v>0.53948051661087359</v>
      </c>
      <c r="L34" s="28">
        <f t="shared" si="34"/>
        <v>0.52945585369509818</v>
      </c>
      <c r="M34" s="28">
        <f t="shared" si="34"/>
        <v>0.50328558549534208</v>
      </c>
      <c r="N34" s="28">
        <f t="shared" si="34"/>
        <v>0.51009364218827014</v>
      </c>
      <c r="O34" s="28">
        <f t="shared" si="34"/>
        <v>0.50043011376267388</v>
      </c>
      <c r="P34" s="28">
        <f t="shared" si="34"/>
        <v>0.55016154281717355</v>
      </c>
      <c r="Q34" s="28"/>
      <c r="S34" s="28">
        <f>RATE(5,0,-G34,B34)</f>
        <v>-5.8681739699202047E-2</v>
      </c>
      <c r="T34" s="28">
        <f t="shared" si="25"/>
        <v>-5.4857339349412525E-2</v>
      </c>
      <c r="U34" s="28">
        <f t="shared" si="35"/>
        <v>-1.2497977673515612E-2</v>
      </c>
      <c r="V34" s="28">
        <f t="shared" si="35"/>
        <v>-1.5823099735286509E-2</v>
      </c>
      <c r="W34" s="28">
        <f t="shared" si="35"/>
        <v>-2.9102011633075034E-2</v>
      </c>
      <c r="X34" s="28">
        <f t="shared" si="35"/>
        <v>-5.0217286335103818E-4</v>
      </c>
      <c r="Y34" s="28">
        <f t="shared" si="35"/>
        <v>-0.21636143484183443</v>
      </c>
    </row>
    <row r="35" spans="1:25" ht="15.75" thickBot="1" x14ac:dyDescent="0.3">
      <c r="A35" s="2" t="s">
        <v>39</v>
      </c>
      <c r="B35" s="9">
        <f>+B34+B33+B32</f>
        <v>90513</v>
      </c>
      <c r="C35" s="9">
        <f t="shared" ref="C35:G35" si="38">+C34+C33+C32</f>
        <v>93394</v>
      </c>
      <c r="D35" s="9">
        <f t="shared" si="38"/>
        <v>99830</v>
      </c>
      <c r="E35" s="9">
        <f t="shared" si="38"/>
        <v>101450</v>
      </c>
      <c r="F35" s="9">
        <f t="shared" si="38"/>
        <v>103461</v>
      </c>
      <c r="G35" s="9">
        <f t="shared" si="38"/>
        <v>120092</v>
      </c>
      <c r="H35" s="36"/>
      <c r="I35" s="36"/>
      <c r="K35" s="32">
        <f t="shared" si="34"/>
        <v>1</v>
      </c>
      <c r="L35" s="32">
        <f t="shared" si="34"/>
        <v>1</v>
      </c>
      <c r="M35" s="32">
        <f t="shared" si="34"/>
        <v>1</v>
      </c>
      <c r="N35" s="32">
        <f t="shared" si="34"/>
        <v>1</v>
      </c>
      <c r="O35" s="32">
        <f t="shared" si="34"/>
        <v>1</v>
      </c>
      <c r="P35" s="32">
        <f t="shared" si="34"/>
        <v>1</v>
      </c>
      <c r="Q35" s="32"/>
      <c r="R35" s="11"/>
      <c r="S35" s="32">
        <f>RATE(5,0,-G35,B35)</f>
        <v>-5.4983532564241197E-2</v>
      </c>
      <c r="T35" s="32">
        <f t="shared" si="25"/>
        <v>-5.3841726418039616E-2</v>
      </c>
      <c r="U35" s="32">
        <f t="shared" si="35"/>
        <v>-3.084780606891235E-2</v>
      </c>
      <c r="V35" s="32">
        <f t="shared" si="35"/>
        <v>-6.4469598317139137E-2</v>
      </c>
      <c r="W35" s="32">
        <f t="shared" si="35"/>
        <v>-1.5968457368161656E-2</v>
      </c>
      <c r="X35" s="32">
        <f t="shared" si="35"/>
        <v>-1.9437275881733215E-2</v>
      </c>
      <c r="Y35" s="32">
        <f t="shared" si="35"/>
        <v>-0.13848549445425173</v>
      </c>
    </row>
    <row r="36" spans="1:25" ht="15.75" thickTop="1" x14ac:dyDescent="0.25">
      <c r="B36" s="2">
        <f>+B35-B21</f>
        <v>0</v>
      </c>
      <c r="C36" s="2">
        <f t="shared" ref="C36:G36" si="39">+C35-C21</f>
        <v>0</v>
      </c>
      <c r="D36" s="2">
        <f t="shared" si="39"/>
        <v>0</v>
      </c>
      <c r="E36" s="2">
        <f t="shared" si="39"/>
        <v>0</v>
      </c>
      <c r="F36" s="2">
        <f t="shared" si="39"/>
        <v>0</v>
      </c>
      <c r="G36" s="2">
        <f t="shared" si="39"/>
        <v>0</v>
      </c>
    </row>
    <row r="37" spans="1:25" x14ac:dyDescent="0.25">
      <c r="A37" s="2" t="s">
        <v>41</v>
      </c>
      <c r="B37" s="2">
        <v>1243</v>
      </c>
      <c r="C37" s="2">
        <v>1235</v>
      </c>
      <c r="D37" s="2">
        <v>1228</v>
      </c>
      <c r="E37" s="2">
        <v>1224</v>
      </c>
      <c r="F37" s="2">
        <v>1224</v>
      </c>
      <c r="G37" s="2">
        <v>1221</v>
      </c>
    </row>
    <row r="38" spans="1:25" x14ac:dyDescent="0.25">
      <c r="A38" s="2" t="s">
        <v>42</v>
      </c>
      <c r="B38" s="2">
        <v>-18</v>
      </c>
      <c r="C38" s="2">
        <v>-11</v>
      </c>
      <c r="D38" s="2">
        <v>-5</v>
      </c>
      <c r="E38" s="2">
        <v>-3</v>
      </c>
      <c r="F38" s="2">
        <v>-4</v>
      </c>
      <c r="G38" s="2">
        <v>-2</v>
      </c>
    </row>
    <row r="39" spans="1:25" ht="15.75" thickBot="1" x14ac:dyDescent="0.3">
      <c r="A39" s="2" t="s">
        <v>43</v>
      </c>
      <c r="B39" s="11">
        <f>+B37+B38</f>
        <v>1225</v>
      </c>
      <c r="C39" s="11">
        <f t="shared" ref="C39:G39" si="40">+C37+C38</f>
        <v>1224</v>
      </c>
      <c r="D39" s="11">
        <f t="shared" si="40"/>
        <v>1223</v>
      </c>
      <c r="E39" s="11">
        <f t="shared" si="40"/>
        <v>1221</v>
      </c>
      <c r="F39" s="11">
        <f t="shared" si="40"/>
        <v>1220</v>
      </c>
      <c r="G39" s="11">
        <f t="shared" si="40"/>
        <v>1219</v>
      </c>
      <c r="H39" s="34"/>
      <c r="I39" s="34"/>
    </row>
    <row r="40" spans="1:25" ht="15.75" thickTop="1" x14ac:dyDescent="0.25">
      <c r="A40" s="2" t="s">
        <v>154</v>
      </c>
      <c r="B40" s="7">
        <v>38.130000000000003</v>
      </c>
      <c r="C40" s="7">
        <v>39.22</v>
      </c>
      <c r="D40" s="7">
        <v>36.380000000000003</v>
      </c>
      <c r="E40" s="7">
        <v>24.77</v>
      </c>
      <c r="F40" s="7">
        <v>33.19</v>
      </c>
      <c r="G40" s="7">
        <v>67.14</v>
      </c>
      <c r="H40" s="7"/>
      <c r="I40" s="7"/>
    </row>
    <row r="41" spans="1:25" x14ac:dyDescent="0.25">
      <c r="A41" s="2" t="s">
        <v>45</v>
      </c>
      <c r="B41" s="8">
        <f>+B39*B40</f>
        <v>46709.25</v>
      </c>
      <c r="C41" s="8">
        <f t="shared" ref="C41:G41" si="41">+C39*C40</f>
        <v>48005.279999999999</v>
      </c>
      <c r="D41" s="8">
        <f t="shared" si="41"/>
        <v>44492.740000000005</v>
      </c>
      <c r="E41" s="8">
        <f t="shared" si="41"/>
        <v>30244.17</v>
      </c>
      <c r="F41" s="8">
        <f t="shared" si="41"/>
        <v>40491.799999999996</v>
      </c>
      <c r="G41" s="8">
        <f t="shared" si="41"/>
        <v>81843.66</v>
      </c>
      <c r="H41" s="8"/>
      <c r="I41" s="8"/>
    </row>
    <row r="43" spans="1:25" s="15" customFormat="1" x14ac:dyDescent="0.25">
      <c r="A43" s="15" t="str">
        <f>+A1</f>
        <v>Kraft Heinz Company</v>
      </c>
      <c r="B43" s="15" t="s">
        <v>139</v>
      </c>
    </row>
    <row r="44" spans="1:25" s="15" customFormat="1" x14ac:dyDescent="0.25">
      <c r="A44" s="15" t="s">
        <v>155</v>
      </c>
    </row>
    <row r="45" spans="1:25" s="15" customFormat="1" x14ac:dyDescent="0.25">
      <c r="A45" s="15" t="str">
        <f>+A3</f>
        <v>in millions except per share data</v>
      </c>
      <c r="F45" s="15" t="s">
        <v>150</v>
      </c>
      <c r="G45" s="16" t="s">
        <v>125</v>
      </c>
      <c r="H45" s="16"/>
      <c r="I45" s="16"/>
    </row>
    <row r="46" spans="1:25" s="15" customFormat="1" ht="15.75" thickBot="1" x14ac:dyDescent="0.3">
      <c r="A46" s="16" t="str">
        <f>+A4</f>
        <v>Year ended near 12/31:</v>
      </c>
      <c r="B46" s="17">
        <v>2022</v>
      </c>
      <c r="C46" s="17">
        <v>2021</v>
      </c>
      <c r="D46" s="17">
        <v>2020</v>
      </c>
      <c r="E46" s="17">
        <v>2019</v>
      </c>
      <c r="F46" s="17">
        <v>2018</v>
      </c>
      <c r="G46" s="17">
        <v>2017</v>
      </c>
      <c r="H46" s="22"/>
      <c r="I46" s="22" t="s">
        <v>157</v>
      </c>
    </row>
    <row r="47" spans="1:25" x14ac:dyDescent="0.25">
      <c r="A47" s="2" t="s">
        <v>156</v>
      </c>
      <c r="B47" s="8">
        <f>+'Phase 2'!B68</f>
        <v>2368</v>
      </c>
      <c r="C47" s="8">
        <f>+'Phase 2'!C68</f>
        <v>1024</v>
      </c>
      <c r="D47" s="8">
        <f>+'Phase 2'!D68</f>
        <v>361</v>
      </c>
      <c r="E47" s="8">
        <f>+'Phase 2'!E68</f>
        <v>1933</v>
      </c>
      <c r="F47" s="8">
        <f>+'Phase 2'!F68</f>
        <v>-10254</v>
      </c>
      <c r="G47" s="8">
        <f>+'Phase 2'!G68</f>
        <v>10932</v>
      </c>
      <c r="H47" s="8"/>
      <c r="I47" s="8">
        <f t="shared" ref="I47:I52" si="42">SUM(B47:G47)</f>
        <v>6364</v>
      </c>
    </row>
    <row r="48" spans="1:25" x14ac:dyDescent="0.25">
      <c r="A48" s="2" t="s">
        <v>158</v>
      </c>
      <c r="B48" s="2">
        <v>-993</v>
      </c>
      <c r="C48" s="2">
        <v>149</v>
      </c>
      <c r="D48" s="2">
        <v>-78</v>
      </c>
      <c r="E48" s="2">
        <v>-72</v>
      </c>
      <c r="F48" s="2">
        <v>-903</v>
      </c>
      <c r="G48" s="2">
        <v>581</v>
      </c>
      <c r="I48" s="31">
        <f t="shared" si="42"/>
        <v>-1316</v>
      </c>
    </row>
    <row r="49" spans="1:25" x14ac:dyDescent="0.25">
      <c r="A49" s="2" t="s">
        <v>159</v>
      </c>
      <c r="B49" s="6">
        <f t="shared" ref="B49:G49" si="43">SUM(B47:B48)</f>
        <v>1375</v>
      </c>
      <c r="C49" s="6">
        <f t="shared" si="43"/>
        <v>1173</v>
      </c>
      <c r="D49" s="6">
        <f t="shared" si="43"/>
        <v>283</v>
      </c>
      <c r="E49" s="6">
        <f t="shared" si="43"/>
        <v>1861</v>
      </c>
      <c r="F49" s="6">
        <f t="shared" si="43"/>
        <v>-11157</v>
      </c>
      <c r="G49" s="6">
        <f t="shared" si="43"/>
        <v>11513</v>
      </c>
      <c r="H49" s="34"/>
      <c r="I49" s="2">
        <f t="shared" si="42"/>
        <v>5048</v>
      </c>
    </row>
    <row r="50" spans="1:25" x14ac:dyDescent="0.25">
      <c r="A50" s="2" t="s">
        <v>160</v>
      </c>
      <c r="B50" s="2">
        <v>-1972</v>
      </c>
      <c r="C50" s="2">
        <v>-1979</v>
      </c>
      <c r="D50" s="2">
        <v>-1973</v>
      </c>
      <c r="E50" s="2">
        <v>-1959</v>
      </c>
      <c r="F50" s="2">
        <v>-3048</v>
      </c>
      <c r="G50" s="2">
        <v>-2988</v>
      </c>
      <c r="I50" s="2">
        <f t="shared" si="42"/>
        <v>-13919</v>
      </c>
    </row>
    <row r="51" spans="1:25" x14ac:dyDescent="0.25">
      <c r="A51" s="2" t="s">
        <v>161</v>
      </c>
      <c r="B51" s="31">
        <f t="shared" ref="B51:G51" si="44">+B52-SUM(B49:B50)</f>
        <v>-21</v>
      </c>
      <c r="C51" s="31">
        <f t="shared" si="44"/>
        <v>11</v>
      </c>
      <c r="D51" s="31">
        <f t="shared" si="44"/>
        <v>184</v>
      </c>
      <c r="E51" s="31">
        <f t="shared" si="44"/>
        <v>72</v>
      </c>
      <c r="F51" s="31">
        <f t="shared" si="44"/>
        <v>-90</v>
      </c>
      <c r="G51" s="31">
        <f t="shared" si="44"/>
        <v>85</v>
      </c>
      <c r="H51" s="31"/>
      <c r="I51" s="31">
        <f t="shared" si="42"/>
        <v>241</v>
      </c>
    </row>
    <row r="52" spans="1:25" x14ac:dyDescent="0.25">
      <c r="A52" s="2" t="s">
        <v>162</v>
      </c>
      <c r="B52" s="2">
        <f>+B54-B53</f>
        <v>-618</v>
      </c>
      <c r="C52" s="2">
        <f t="shared" ref="C52:G52" si="45">+C54-C53</f>
        <v>-795</v>
      </c>
      <c r="D52" s="2">
        <f t="shared" si="45"/>
        <v>-1506</v>
      </c>
      <c r="E52" s="2">
        <f t="shared" si="45"/>
        <v>-26</v>
      </c>
      <c r="F52" s="2">
        <f t="shared" si="45"/>
        <v>-14295</v>
      </c>
      <c r="G52" s="2">
        <f t="shared" si="45"/>
        <v>8610</v>
      </c>
      <c r="I52" s="2">
        <f t="shared" si="42"/>
        <v>-8630</v>
      </c>
    </row>
    <row r="53" spans="1:25" x14ac:dyDescent="0.25">
      <c r="A53" s="2" t="s">
        <v>163</v>
      </c>
      <c r="B53" s="2">
        <f t="shared" ref="B53:E53" si="46">+C54</f>
        <v>49448</v>
      </c>
      <c r="C53" s="2">
        <f t="shared" si="46"/>
        <v>50243</v>
      </c>
      <c r="D53" s="2">
        <f t="shared" si="46"/>
        <v>51749</v>
      </c>
      <c r="E53" s="2">
        <f t="shared" si="46"/>
        <v>51775</v>
      </c>
      <c r="F53" s="2">
        <f>+G54</f>
        <v>66070</v>
      </c>
      <c r="G53" s="2">
        <v>57460</v>
      </c>
      <c r="I53" s="2">
        <f>+G53</f>
        <v>57460</v>
      </c>
    </row>
    <row r="54" spans="1:25" ht="15.75" thickBot="1" x14ac:dyDescent="0.3">
      <c r="A54" s="2" t="s">
        <v>164</v>
      </c>
      <c r="B54" s="9">
        <f t="shared" ref="B54:G54" si="47">+B34</f>
        <v>48830</v>
      </c>
      <c r="C54" s="9">
        <f t="shared" si="47"/>
        <v>49448</v>
      </c>
      <c r="D54" s="9">
        <f t="shared" si="47"/>
        <v>50243</v>
      </c>
      <c r="E54" s="9">
        <f t="shared" si="47"/>
        <v>51749</v>
      </c>
      <c r="F54" s="9">
        <f t="shared" si="47"/>
        <v>51775</v>
      </c>
      <c r="G54" s="9">
        <f t="shared" si="47"/>
        <v>66070</v>
      </c>
      <c r="H54" s="9"/>
      <c r="I54" s="9">
        <f>++I52+I53</f>
        <v>48830</v>
      </c>
    </row>
    <row r="55" spans="1:25" ht="15.75" thickTop="1" x14ac:dyDescent="0.25"/>
    <row r="56" spans="1:25" s="15" customFormat="1" x14ac:dyDescent="0.25">
      <c r="A56" s="15" t="str">
        <f>+A1</f>
        <v>Kraft Heinz Company</v>
      </c>
      <c r="B56" s="15" t="str">
        <f>+B1</f>
        <v>Reclassified</v>
      </c>
      <c r="K56" s="15" t="str">
        <f>+B56</f>
        <v>Reclassified</v>
      </c>
      <c r="S56" s="15" t="str">
        <f>+B56</f>
        <v>Reclassified</v>
      </c>
    </row>
    <row r="57" spans="1:25" s="15" customFormat="1" x14ac:dyDescent="0.25">
      <c r="A57" s="15" t="s">
        <v>46</v>
      </c>
      <c r="K57" s="15" t="s">
        <v>137</v>
      </c>
      <c r="S57" s="15" t="s">
        <v>131</v>
      </c>
    </row>
    <row r="58" spans="1:25" s="15" customFormat="1" x14ac:dyDescent="0.25">
      <c r="A58" s="15" t="str">
        <f>+A3</f>
        <v>in millions except per share data</v>
      </c>
      <c r="F58" s="15" t="s">
        <v>150</v>
      </c>
      <c r="G58" s="16" t="s">
        <v>125</v>
      </c>
      <c r="H58" s="16"/>
      <c r="I58" s="16"/>
      <c r="P58" s="16" t="s">
        <v>125</v>
      </c>
      <c r="Q58" s="16"/>
      <c r="S58" s="15" t="s">
        <v>127</v>
      </c>
      <c r="T58" s="15" t="s">
        <v>129</v>
      </c>
      <c r="U58" s="15" t="s">
        <v>132</v>
      </c>
      <c r="V58" s="15" t="s">
        <v>133</v>
      </c>
      <c r="W58" s="15" t="s">
        <v>134</v>
      </c>
      <c r="X58" s="15" t="s">
        <v>135</v>
      </c>
      <c r="Y58" s="15" t="s">
        <v>136</v>
      </c>
    </row>
    <row r="59" spans="1:25" s="15" customFormat="1" ht="15.75" thickBot="1" x14ac:dyDescent="0.3">
      <c r="A59" s="16" t="str">
        <f>+A4</f>
        <v>Year ended near 12/31:</v>
      </c>
      <c r="B59" s="17">
        <v>2022</v>
      </c>
      <c r="C59" s="17">
        <v>2021</v>
      </c>
      <c r="D59" s="17">
        <v>2020</v>
      </c>
      <c r="E59" s="17">
        <v>2019</v>
      </c>
      <c r="F59" s="17">
        <v>2018</v>
      </c>
      <c r="G59" s="17">
        <v>2017</v>
      </c>
      <c r="H59" s="17"/>
      <c r="I59" s="17" t="s">
        <v>157</v>
      </c>
      <c r="K59" s="17">
        <v>2022</v>
      </c>
      <c r="L59" s="17">
        <v>2021</v>
      </c>
      <c r="M59" s="17">
        <v>2020</v>
      </c>
      <c r="N59" s="17">
        <v>2019</v>
      </c>
      <c r="O59" s="17">
        <v>2018</v>
      </c>
      <c r="P59" s="17">
        <v>2017</v>
      </c>
      <c r="Q59" s="22" t="s">
        <v>157</v>
      </c>
      <c r="S59" s="29" t="s">
        <v>128</v>
      </c>
      <c r="T59" s="29" t="s">
        <v>130</v>
      </c>
      <c r="U59" s="17">
        <v>2022</v>
      </c>
      <c r="V59" s="17">
        <v>2021</v>
      </c>
      <c r="W59" s="17">
        <v>2020</v>
      </c>
      <c r="X59" s="17">
        <v>2019</v>
      </c>
      <c r="Y59" s="17">
        <v>2018</v>
      </c>
    </row>
    <row r="60" spans="1:25" x14ac:dyDescent="0.25">
      <c r="A60" s="2" t="s">
        <v>47</v>
      </c>
      <c r="B60" s="8">
        <v>26485</v>
      </c>
      <c r="C60" s="8">
        <v>26042</v>
      </c>
      <c r="D60" s="8">
        <v>26185</v>
      </c>
      <c r="E60" s="8">
        <v>24977</v>
      </c>
      <c r="F60" s="8">
        <v>26268</v>
      </c>
      <c r="G60" s="8">
        <v>26076</v>
      </c>
      <c r="H60" s="8"/>
      <c r="I60" s="8">
        <f t="shared" ref="I60:I76" si="48">SUM(B60:G60)</f>
        <v>156033</v>
      </c>
      <c r="K60" s="28">
        <f t="shared" ref="K60:K76" si="49">+B60/B$60</f>
        <v>1</v>
      </c>
      <c r="L60" s="28">
        <f t="shared" ref="L60:L76" si="50">+C60/C$60</f>
        <v>1</v>
      </c>
      <c r="M60" s="28">
        <f t="shared" ref="M60:M76" si="51">+D60/D$60</f>
        <v>1</v>
      </c>
      <c r="N60" s="28">
        <f t="shared" ref="N60:N76" si="52">+E60/E$60</f>
        <v>1</v>
      </c>
      <c r="O60" s="28">
        <f t="shared" ref="O60:O76" si="53">+F60/F$60</f>
        <v>1</v>
      </c>
      <c r="P60" s="28">
        <f t="shared" ref="P60:P76" si="54">+G60/G$60</f>
        <v>1</v>
      </c>
      <c r="Q60" s="28">
        <f t="shared" ref="Q60:Q75" si="55">+I60/I$60</f>
        <v>1</v>
      </c>
      <c r="S60" s="28">
        <f>RATE(5,0,-G60,B60)</f>
        <v>3.1174860707707231E-3</v>
      </c>
      <c r="T60" s="28">
        <f t="shared" ref="T60:T158" si="56">AVERAGE(U60:Y60)</f>
        <v>3.626035362061633E-3</v>
      </c>
      <c r="U60" s="28">
        <f t="shared" ref="U60:Y63" si="57">(+B60-C60)/C60</f>
        <v>1.7010982259427078E-2</v>
      </c>
      <c r="V60" s="28">
        <f t="shared" si="57"/>
        <v>-5.4611418751193434E-3</v>
      </c>
      <c r="W60" s="28">
        <f t="shared" si="57"/>
        <v>4.836449533570885E-2</v>
      </c>
      <c r="X60" s="28">
        <f t="shared" si="57"/>
        <v>-4.914725140855794E-2</v>
      </c>
      <c r="Y60" s="28">
        <f t="shared" si="57"/>
        <v>7.3630924988495172E-3</v>
      </c>
    </row>
    <row r="61" spans="1:25" x14ac:dyDescent="0.25">
      <c r="A61" s="5" t="s">
        <v>48</v>
      </c>
      <c r="B61" s="2">
        <v>18363</v>
      </c>
      <c r="C61" s="2">
        <v>17360</v>
      </c>
      <c r="D61" s="2">
        <v>17008</v>
      </c>
      <c r="E61" s="2">
        <v>16830</v>
      </c>
      <c r="F61" s="2">
        <v>17347</v>
      </c>
      <c r="G61" s="2">
        <v>17043</v>
      </c>
      <c r="I61" s="2">
        <f t="shared" si="48"/>
        <v>103951</v>
      </c>
      <c r="K61" s="30">
        <f t="shared" si="49"/>
        <v>0.69333585048140456</v>
      </c>
      <c r="L61" s="30">
        <f t="shared" si="50"/>
        <v>0.66661546732201826</v>
      </c>
      <c r="M61" s="30">
        <f t="shared" si="51"/>
        <v>0.64953217490929926</v>
      </c>
      <c r="N61" s="30">
        <f t="shared" si="52"/>
        <v>0.67381991432117549</v>
      </c>
      <c r="O61" s="30">
        <f t="shared" si="53"/>
        <v>0.66038525963149075</v>
      </c>
      <c r="P61" s="30">
        <f t="shared" si="54"/>
        <v>0.65358950759318912</v>
      </c>
      <c r="Q61" s="30">
        <f t="shared" si="55"/>
        <v>0.66621163471829681</v>
      </c>
      <c r="R61" s="31"/>
      <c r="S61" s="30">
        <f>RATE(5,0,-G61,B61)</f>
        <v>1.5031495091144084E-2</v>
      </c>
      <c r="T61" s="30">
        <f t="shared" si="56"/>
        <v>1.5416560689107845E-2</v>
      </c>
      <c r="U61" s="30">
        <f t="shared" si="57"/>
        <v>5.7776497695852531E-2</v>
      </c>
      <c r="V61" s="30">
        <f t="shared" si="57"/>
        <v>2.0696142991533398E-2</v>
      </c>
      <c r="W61" s="30">
        <f t="shared" si="57"/>
        <v>1.057635175282234E-2</v>
      </c>
      <c r="X61" s="30">
        <f t="shared" si="57"/>
        <v>-2.9803424223208624E-2</v>
      </c>
      <c r="Y61" s="30">
        <f t="shared" si="57"/>
        <v>1.7837235228539576E-2</v>
      </c>
    </row>
    <row r="62" spans="1:25" x14ac:dyDescent="0.25">
      <c r="A62" s="2" t="s">
        <v>49</v>
      </c>
      <c r="B62" s="6">
        <f>+B60-B61</f>
        <v>8122</v>
      </c>
      <c r="C62" s="6">
        <f t="shared" ref="C62:G62" si="58">+C60-C61</f>
        <v>8682</v>
      </c>
      <c r="D62" s="6">
        <f t="shared" si="58"/>
        <v>9177</v>
      </c>
      <c r="E62" s="6">
        <f t="shared" si="58"/>
        <v>8147</v>
      </c>
      <c r="F62" s="6">
        <f t="shared" si="58"/>
        <v>8921</v>
      </c>
      <c r="G62" s="6">
        <f t="shared" si="58"/>
        <v>9033</v>
      </c>
      <c r="H62" s="6"/>
      <c r="I62" s="6">
        <f t="shared" si="48"/>
        <v>52082</v>
      </c>
      <c r="K62" s="28">
        <f t="shared" si="49"/>
        <v>0.30666414951859544</v>
      </c>
      <c r="L62" s="28">
        <f t="shared" si="50"/>
        <v>0.33338453267798174</v>
      </c>
      <c r="M62" s="28">
        <f t="shared" si="51"/>
        <v>0.35046782509070079</v>
      </c>
      <c r="N62" s="28">
        <f t="shared" si="52"/>
        <v>0.32618008567882451</v>
      </c>
      <c r="O62" s="28">
        <f t="shared" si="53"/>
        <v>0.33961474036850919</v>
      </c>
      <c r="P62" s="28">
        <f t="shared" si="54"/>
        <v>0.34641049240681088</v>
      </c>
      <c r="Q62" s="28">
        <f t="shared" si="55"/>
        <v>0.33378836528170325</v>
      </c>
      <c r="S62" s="28">
        <f>RATE(5,0,-G62,B62)</f>
        <v>-2.1037186930892088E-2</v>
      </c>
      <c r="T62" s="28">
        <f t="shared" si="56"/>
        <v>-1.8234822504439984E-2</v>
      </c>
      <c r="U62" s="28">
        <f t="shared" si="57"/>
        <v>-6.4501266989172995E-2</v>
      </c>
      <c r="V62" s="28">
        <f t="shared" si="57"/>
        <v>-5.393919581562602E-2</v>
      </c>
      <c r="W62" s="28">
        <f t="shared" si="57"/>
        <v>0.12642690560942679</v>
      </c>
      <c r="X62" s="28">
        <f t="shared" si="57"/>
        <v>-8.6761573814594775E-2</v>
      </c>
      <c r="Y62" s="28">
        <f t="shared" si="57"/>
        <v>-1.2398981512232924E-2</v>
      </c>
    </row>
    <row r="63" spans="1:25" x14ac:dyDescent="0.25">
      <c r="A63" s="5" t="s">
        <v>170</v>
      </c>
      <c r="B63" s="2">
        <f t="shared" ref="B63:G63" si="59">+B271</f>
        <v>2503</v>
      </c>
      <c r="C63" s="2">
        <f t="shared" si="59"/>
        <v>2409</v>
      </c>
      <c r="D63" s="2">
        <f t="shared" si="59"/>
        <v>2461</v>
      </c>
      <c r="E63" s="2">
        <f t="shared" si="59"/>
        <v>1966</v>
      </c>
      <c r="F63" s="2">
        <f t="shared" si="59"/>
        <v>1941</v>
      </c>
      <c r="G63" s="2">
        <f t="shared" si="59"/>
        <v>1719</v>
      </c>
      <c r="I63" s="2">
        <f t="shared" si="48"/>
        <v>12999</v>
      </c>
      <c r="K63" s="28">
        <f t="shared" si="49"/>
        <v>9.4506324334528977E-2</v>
      </c>
      <c r="L63" s="28">
        <f t="shared" si="50"/>
        <v>9.2504415943475929E-2</v>
      </c>
      <c r="M63" s="28">
        <f t="shared" si="51"/>
        <v>9.3985105976704217E-2</v>
      </c>
      <c r="N63" s="28">
        <f t="shared" si="52"/>
        <v>7.8712415422188417E-2</v>
      </c>
      <c r="O63" s="28">
        <f t="shared" si="53"/>
        <v>7.3892188213796256E-2</v>
      </c>
      <c r="P63" s="28">
        <f t="shared" si="54"/>
        <v>6.5922687528762083E-2</v>
      </c>
      <c r="Q63" s="28">
        <f t="shared" si="55"/>
        <v>8.3309299955778585E-2</v>
      </c>
      <c r="S63" s="28">
        <f>RATE(5,0,-G63,B63)</f>
        <v>7.8045260485801612E-2</v>
      </c>
      <c r="T63" s="28">
        <f t="shared" si="56"/>
        <v>8.2339158644776006E-2</v>
      </c>
      <c r="U63" s="28">
        <f t="shared" si="57"/>
        <v>3.9020340390203405E-2</v>
      </c>
      <c r="V63" s="28">
        <f t="shared" si="57"/>
        <v>-2.1129622104835433E-2</v>
      </c>
      <c r="W63" s="28">
        <f t="shared" si="57"/>
        <v>0.25178026449643948</v>
      </c>
      <c r="X63" s="28">
        <f t="shared" si="57"/>
        <v>1.287995878413189E-2</v>
      </c>
      <c r="Y63" s="28">
        <f t="shared" si="57"/>
        <v>0.12914485165794065</v>
      </c>
    </row>
    <row r="64" spans="1:25" x14ac:dyDescent="0.25">
      <c r="A64" s="5" t="s">
        <v>171</v>
      </c>
      <c r="B64" s="2">
        <f t="shared" ref="B64:G65" si="60">+B206</f>
        <v>945</v>
      </c>
      <c r="C64" s="2">
        <f t="shared" si="60"/>
        <v>1039</v>
      </c>
      <c r="D64" s="2">
        <f t="shared" si="60"/>
        <v>1070</v>
      </c>
      <c r="E64" s="2">
        <f t="shared" si="60"/>
        <v>1100</v>
      </c>
      <c r="F64" s="2">
        <f t="shared" si="60"/>
        <v>1140</v>
      </c>
      <c r="G64" s="2">
        <f t="shared" si="60"/>
        <v>1115</v>
      </c>
      <c r="I64" s="2">
        <f t="shared" si="48"/>
        <v>6409</v>
      </c>
      <c r="K64" s="28">
        <f t="shared" si="49"/>
        <v>3.568057390976024E-2</v>
      </c>
      <c r="L64" s="28">
        <f t="shared" si="50"/>
        <v>3.9897089317256738E-2</v>
      </c>
      <c r="M64" s="28">
        <f t="shared" si="51"/>
        <v>4.0863089555088793E-2</v>
      </c>
      <c r="N64" s="28">
        <f t="shared" si="52"/>
        <v>4.4040517275893823E-2</v>
      </c>
      <c r="O64" s="28">
        <f t="shared" si="53"/>
        <v>4.3398812243033345E-2</v>
      </c>
      <c r="P64" s="28">
        <f t="shared" si="54"/>
        <v>4.2759625709464642E-2</v>
      </c>
      <c r="Q64" s="28">
        <f t="shared" si="55"/>
        <v>4.1074644466234704E-2</v>
      </c>
      <c r="S64" s="28"/>
      <c r="T64" s="28"/>
      <c r="U64" s="28"/>
      <c r="V64" s="28"/>
      <c r="W64" s="28"/>
      <c r="X64" s="28"/>
      <c r="Y64" s="28"/>
    </row>
    <row r="65" spans="1:25" x14ac:dyDescent="0.25">
      <c r="A65" s="5" t="s">
        <v>169</v>
      </c>
      <c r="B65" s="2">
        <f t="shared" si="60"/>
        <v>127</v>
      </c>
      <c r="C65" s="2">
        <f t="shared" si="60"/>
        <v>140</v>
      </c>
      <c r="D65" s="2">
        <f t="shared" si="60"/>
        <v>119</v>
      </c>
      <c r="E65" s="2">
        <f t="shared" si="60"/>
        <v>112</v>
      </c>
      <c r="F65" s="2">
        <f t="shared" si="60"/>
        <v>109</v>
      </c>
      <c r="G65" s="2">
        <f t="shared" si="60"/>
        <v>93</v>
      </c>
      <c r="I65" s="2">
        <f t="shared" si="48"/>
        <v>700</v>
      </c>
      <c r="K65" s="28">
        <f t="shared" si="49"/>
        <v>4.7951670757032279E-3</v>
      </c>
      <c r="L65" s="28">
        <f t="shared" si="50"/>
        <v>5.3759311880807927E-3</v>
      </c>
      <c r="M65" s="28">
        <f t="shared" si="51"/>
        <v>4.544586595379034E-3</v>
      </c>
      <c r="N65" s="28">
        <f t="shared" si="52"/>
        <v>4.4841253953637342E-3</v>
      </c>
      <c r="O65" s="28">
        <f t="shared" si="53"/>
        <v>4.1495355565707324E-3</v>
      </c>
      <c r="P65" s="28">
        <f t="shared" si="54"/>
        <v>3.5664979291302346E-3</v>
      </c>
      <c r="Q65" s="28">
        <f t="shared" si="55"/>
        <v>4.4862304768862995E-3</v>
      </c>
      <c r="S65" s="28"/>
      <c r="T65" s="28"/>
      <c r="U65" s="28"/>
      <c r="V65" s="28"/>
      <c r="W65" s="28"/>
      <c r="X65" s="28"/>
      <c r="Y65" s="28"/>
    </row>
    <row r="66" spans="1:25" x14ac:dyDescent="0.25">
      <c r="A66" s="5" t="s">
        <v>51</v>
      </c>
      <c r="B66" s="2">
        <v>444</v>
      </c>
      <c r="C66" s="2">
        <v>318</v>
      </c>
      <c r="D66" s="2">
        <v>2343</v>
      </c>
      <c r="E66" s="2">
        <v>1197</v>
      </c>
      <c r="F66" s="2">
        <v>7008</v>
      </c>
      <c r="G66" s="2">
        <v>0</v>
      </c>
      <c r="I66" s="2">
        <f t="shared" si="48"/>
        <v>11310</v>
      </c>
      <c r="K66" s="28">
        <f t="shared" si="49"/>
        <v>1.6764206154427034E-2</v>
      </c>
      <c r="L66" s="28">
        <f t="shared" si="50"/>
        <v>1.2211043698640657E-2</v>
      </c>
      <c r="M66" s="28">
        <f t="shared" si="51"/>
        <v>8.9478709184647703E-2</v>
      </c>
      <c r="N66" s="28">
        <f t="shared" si="52"/>
        <v>4.7924090162949913E-2</v>
      </c>
      <c r="O66" s="28">
        <f t="shared" si="53"/>
        <v>0.26678848789401555</v>
      </c>
      <c r="P66" s="28">
        <f t="shared" si="54"/>
        <v>0</v>
      </c>
      <c r="Q66" s="28">
        <f t="shared" si="55"/>
        <v>7.2484666705120077E-2</v>
      </c>
      <c r="S66" s="28" t="e">
        <f t="shared" ref="S66:S76" si="61">RATE(5,0,-G66,B66)</f>
        <v>#NUM!</v>
      </c>
      <c r="T66" s="28" t="e">
        <f t="shared" si="56"/>
        <v>#DIV/0!</v>
      </c>
      <c r="U66" s="28">
        <f t="shared" ref="U66:U76" si="62">(+B66-C66)/C66</f>
        <v>0.39622641509433965</v>
      </c>
      <c r="V66" s="28">
        <f t="shared" ref="V66:V76" si="63">(+C66-D66)/D66</f>
        <v>-0.86427656850192058</v>
      </c>
      <c r="W66" s="28">
        <f t="shared" ref="W66:W76" si="64">(+D66-E66)/E66</f>
        <v>0.95739348370927313</v>
      </c>
      <c r="X66" s="28">
        <f t="shared" ref="X66:X76" si="65">(+E66-F66)/F66</f>
        <v>-0.82919520547945202</v>
      </c>
      <c r="Y66" s="28" t="e">
        <f t="shared" ref="Y66:Y76" si="66">(+F66-G66)/G66</f>
        <v>#DIV/0!</v>
      </c>
    </row>
    <row r="67" spans="1:25" x14ac:dyDescent="0.25">
      <c r="A67" s="5" t="s">
        <v>52</v>
      </c>
      <c r="B67" s="2">
        <v>469</v>
      </c>
      <c r="C67" s="2">
        <v>1316</v>
      </c>
      <c r="D67" s="2">
        <v>1056</v>
      </c>
      <c r="E67" s="2">
        <v>702</v>
      </c>
      <c r="F67" s="2">
        <v>8928</v>
      </c>
      <c r="G67" s="2">
        <v>49</v>
      </c>
      <c r="I67" s="2">
        <f t="shared" si="48"/>
        <v>12520</v>
      </c>
      <c r="K67" s="30">
        <f t="shared" si="49"/>
        <v>1.7708136681140269E-2</v>
      </c>
      <c r="L67" s="30">
        <f t="shared" si="50"/>
        <v>5.0533753167959453E-2</v>
      </c>
      <c r="M67" s="30">
        <f t="shared" si="51"/>
        <v>4.0328432308573609E-2</v>
      </c>
      <c r="N67" s="30">
        <f t="shared" si="52"/>
        <v>2.8105857388797693E-2</v>
      </c>
      <c r="O67" s="30">
        <f t="shared" si="53"/>
        <v>0.33988122430333484</v>
      </c>
      <c r="P67" s="30">
        <f t="shared" si="54"/>
        <v>1.8791225648105538E-3</v>
      </c>
      <c r="Q67" s="30">
        <f t="shared" si="55"/>
        <v>8.0239436529452104E-2</v>
      </c>
      <c r="R67" s="31"/>
      <c r="S67" s="30">
        <f t="shared" si="61"/>
        <v>0.57106933729090092</v>
      </c>
      <c r="T67" s="30">
        <f t="shared" si="56"/>
        <v>36.077915853824031</v>
      </c>
      <c r="U67" s="30">
        <f t="shared" si="62"/>
        <v>-0.6436170212765957</v>
      </c>
      <c r="V67" s="30">
        <f t="shared" si="63"/>
        <v>0.24621212121212122</v>
      </c>
      <c r="W67" s="30">
        <f t="shared" si="64"/>
        <v>0.50427350427350426</v>
      </c>
      <c r="X67" s="30">
        <f t="shared" si="65"/>
        <v>-0.9213709677419355</v>
      </c>
      <c r="Y67" s="30">
        <f t="shared" si="66"/>
        <v>181.20408163265307</v>
      </c>
    </row>
    <row r="68" spans="1:25" x14ac:dyDescent="0.25">
      <c r="A68" s="12" t="s">
        <v>53</v>
      </c>
      <c r="B68" s="10">
        <f>SUM(B63:B67)</f>
        <v>4488</v>
      </c>
      <c r="C68" s="10">
        <f t="shared" ref="C68:G68" si="67">SUM(C63:C67)</f>
        <v>5222</v>
      </c>
      <c r="D68" s="10">
        <f t="shared" si="67"/>
        <v>7049</v>
      </c>
      <c r="E68" s="10">
        <f t="shared" si="67"/>
        <v>5077</v>
      </c>
      <c r="F68" s="10">
        <f t="shared" si="67"/>
        <v>19126</v>
      </c>
      <c r="G68" s="10">
        <f t="shared" si="67"/>
        <v>2976</v>
      </c>
      <c r="H68" s="10"/>
      <c r="I68" s="10">
        <f t="shared" si="48"/>
        <v>43938</v>
      </c>
      <c r="K68" s="30">
        <f t="shared" si="49"/>
        <v>0.16945440815555976</v>
      </c>
      <c r="L68" s="30">
        <f t="shared" si="50"/>
        <v>0.20052223331541355</v>
      </c>
      <c r="M68" s="30">
        <f t="shared" si="51"/>
        <v>0.26919992362039336</v>
      </c>
      <c r="N68" s="30">
        <f t="shared" si="52"/>
        <v>0.20326700564519357</v>
      </c>
      <c r="O68" s="30">
        <f t="shared" si="53"/>
        <v>0.72811024821075077</v>
      </c>
      <c r="P68" s="30">
        <f t="shared" si="54"/>
        <v>0.11412793373216751</v>
      </c>
      <c r="Q68" s="30">
        <f t="shared" si="55"/>
        <v>0.28159427813347176</v>
      </c>
      <c r="R68" s="31"/>
      <c r="S68" s="30">
        <f t="shared" si="61"/>
        <v>8.5635370196636043E-2</v>
      </c>
      <c r="T68" s="30">
        <f t="shared" si="56"/>
        <v>0.93617419376710242</v>
      </c>
      <c r="U68" s="30">
        <f t="shared" si="62"/>
        <v>-0.14055917273075449</v>
      </c>
      <c r="V68" s="30">
        <f t="shared" si="63"/>
        <v>-0.25918570009930486</v>
      </c>
      <c r="W68" s="30">
        <f t="shared" si="64"/>
        <v>0.3884183572976167</v>
      </c>
      <c r="X68" s="30">
        <f t="shared" si="65"/>
        <v>-0.73454982746000208</v>
      </c>
      <c r="Y68" s="30">
        <f t="shared" si="66"/>
        <v>5.426747311827957</v>
      </c>
    </row>
    <row r="69" spans="1:25" x14ac:dyDescent="0.25">
      <c r="A69" s="2" t="s">
        <v>54</v>
      </c>
      <c r="B69" s="2">
        <f>+B62-B68</f>
        <v>3634</v>
      </c>
      <c r="C69" s="2">
        <f t="shared" ref="C69:G69" si="68">+C62-C68</f>
        <v>3460</v>
      </c>
      <c r="D69" s="2">
        <f t="shared" si="68"/>
        <v>2128</v>
      </c>
      <c r="E69" s="2">
        <f t="shared" si="68"/>
        <v>3070</v>
      </c>
      <c r="F69" s="2">
        <f t="shared" si="68"/>
        <v>-10205</v>
      </c>
      <c r="G69" s="2">
        <f t="shared" si="68"/>
        <v>6057</v>
      </c>
      <c r="I69" s="2">
        <f t="shared" si="48"/>
        <v>8144</v>
      </c>
      <c r="K69" s="28">
        <f t="shared" si="49"/>
        <v>0.13720974136303568</v>
      </c>
      <c r="L69" s="28">
        <f t="shared" si="50"/>
        <v>0.13286229936256816</v>
      </c>
      <c r="M69" s="28">
        <f t="shared" si="51"/>
        <v>8.1267901470307422E-2</v>
      </c>
      <c r="N69" s="28">
        <f t="shared" si="52"/>
        <v>0.12291308003363094</v>
      </c>
      <c r="O69" s="28">
        <f t="shared" si="53"/>
        <v>-0.38849550784224152</v>
      </c>
      <c r="P69" s="28">
        <f t="shared" si="54"/>
        <v>0.23228255867464334</v>
      </c>
      <c r="Q69" s="28">
        <f t="shared" si="55"/>
        <v>5.2194087148231462E-2</v>
      </c>
      <c r="S69" s="28">
        <f t="shared" si="61"/>
        <v>-9.7129486369166726E-2</v>
      </c>
      <c r="T69" s="28">
        <f t="shared" si="56"/>
        <v>-0.72325438425943411</v>
      </c>
      <c r="U69" s="28">
        <f t="shared" si="62"/>
        <v>5.0289017341040465E-2</v>
      </c>
      <c r="V69" s="28">
        <f t="shared" si="63"/>
        <v>0.62593984962406013</v>
      </c>
      <c r="W69" s="28">
        <f t="shared" si="64"/>
        <v>-0.30684039087947884</v>
      </c>
      <c r="X69" s="28">
        <f t="shared" si="65"/>
        <v>-1.3008329250367467</v>
      </c>
      <c r="Y69" s="28">
        <f t="shared" si="66"/>
        <v>-2.6848274723460457</v>
      </c>
    </row>
    <row r="70" spans="1:25" x14ac:dyDescent="0.25">
      <c r="A70" s="5" t="s">
        <v>55</v>
      </c>
      <c r="B70" s="2">
        <v>921</v>
      </c>
      <c r="C70" s="2">
        <v>2047</v>
      </c>
      <c r="D70" s="2">
        <v>1394</v>
      </c>
      <c r="E70" s="2">
        <v>1361</v>
      </c>
      <c r="F70" s="2">
        <v>1284</v>
      </c>
      <c r="G70" s="2">
        <v>1234</v>
      </c>
      <c r="I70" s="2">
        <f t="shared" si="48"/>
        <v>8241</v>
      </c>
      <c r="K70" s="28">
        <f t="shared" si="49"/>
        <v>3.4774400604115539E-2</v>
      </c>
      <c r="L70" s="28">
        <f t="shared" si="50"/>
        <v>7.860379387143844E-2</v>
      </c>
      <c r="M70" s="28">
        <f t="shared" si="51"/>
        <v>5.3236585831582965E-2</v>
      </c>
      <c r="N70" s="28">
        <f t="shared" si="52"/>
        <v>5.4490130920446814E-2</v>
      </c>
      <c r="O70" s="28">
        <f t="shared" si="53"/>
        <v>4.8880767473732295E-2</v>
      </c>
      <c r="P70" s="28">
        <f t="shared" si="54"/>
        <v>4.7323209081147413E-2</v>
      </c>
      <c r="Q70" s="28">
        <f t="shared" si="55"/>
        <v>5.281575051431428E-2</v>
      </c>
      <c r="S70" s="28">
        <f t="shared" si="61"/>
        <v>-5.6832354866180976E-2</v>
      </c>
      <c r="T70" s="28">
        <f t="shared" si="56"/>
        <v>8.6194480407803427E-3</v>
      </c>
      <c r="U70" s="28">
        <f t="shared" si="62"/>
        <v>-0.55007327796775773</v>
      </c>
      <c r="V70" s="28">
        <f t="shared" si="63"/>
        <v>0.4684361549497848</v>
      </c>
      <c r="W70" s="28">
        <f t="shared" si="64"/>
        <v>2.4246877296105803E-2</v>
      </c>
      <c r="X70" s="28">
        <f t="shared" si="65"/>
        <v>5.9968847352024922E-2</v>
      </c>
      <c r="Y70" s="28">
        <f t="shared" si="66"/>
        <v>4.0518638573743923E-2</v>
      </c>
    </row>
    <row r="71" spans="1:25" x14ac:dyDescent="0.25">
      <c r="A71" s="5" t="s">
        <v>56</v>
      </c>
      <c r="B71" s="2">
        <v>-253</v>
      </c>
      <c r="C71" s="2">
        <v>-295</v>
      </c>
      <c r="D71" s="2">
        <v>-296</v>
      </c>
      <c r="E71" s="2">
        <v>-952</v>
      </c>
      <c r="F71" s="2">
        <v>-168</v>
      </c>
      <c r="G71" s="2">
        <v>-627</v>
      </c>
      <c r="I71" s="2">
        <f t="shared" si="48"/>
        <v>-2591</v>
      </c>
      <c r="K71" s="30">
        <f t="shared" si="49"/>
        <v>-9.5525769303379266E-3</v>
      </c>
      <c r="L71" s="30">
        <f t="shared" si="50"/>
        <v>-1.1327855003455956E-2</v>
      </c>
      <c r="M71" s="30">
        <f t="shared" si="51"/>
        <v>-1.1304181783463815E-2</v>
      </c>
      <c r="N71" s="30">
        <f t="shared" si="52"/>
        <v>-3.8115065860591747E-2</v>
      </c>
      <c r="O71" s="30">
        <f t="shared" si="53"/>
        <v>-6.395614435815441E-3</v>
      </c>
      <c r="P71" s="30">
        <f t="shared" si="54"/>
        <v>-2.4045098941555453E-2</v>
      </c>
      <c r="Q71" s="30">
        <f t="shared" si="55"/>
        <v>-1.6605461665160574E-2</v>
      </c>
      <c r="R71" s="31"/>
      <c r="S71" s="30">
        <f t="shared" si="61"/>
        <v>-0.16599127110650957</v>
      </c>
      <c r="T71" s="30">
        <f t="shared" si="56"/>
        <v>0.61995647208246263</v>
      </c>
      <c r="U71" s="30">
        <f t="shared" si="62"/>
        <v>-0.14237288135593221</v>
      </c>
      <c r="V71" s="30">
        <f t="shared" si="63"/>
        <v>-3.3783783783783786E-3</v>
      </c>
      <c r="W71" s="30">
        <f t="shared" si="64"/>
        <v>-0.68907563025210083</v>
      </c>
      <c r="X71" s="30">
        <f t="shared" si="65"/>
        <v>4.666666666666667</v>
      </c>
      <c r="Y71" s="30">
        <f t="shared" si="66"/>
        <v>-0.73205741626794263</v>
      </c>
    </row>
    <row r="72" spans="1:25" x14ac:dyDescent="0.25">
      <c r="A72" s="2" t="s">
        <v>57</v>
      </c>
      <c r="B72" s="6">
        <f>+B69-B70-B71</f>
        <v>2966</v>
      </c>
      <c r="C72" s="6">
        <f t="shared" ref="C72:G72" si="69">+C69-C70-C71</f>
        <v>1708</v>
      </c>
      <c r="D72" s="6">
        <f t="shared" si="69"/>
        <v>1030</v>
      </c>
      <c r="E72" s="6">
        <f t="shared" si="69"/>
        <v>2661</v>
      </c>
      <c r="F72" s="6">
        <f t="shared" si="69"/>
        <v>-11321</v>
      </c>
      <c r="G72" s="6">
        <f t="shared" si="69"/>
        <v>5450</v>
      </c>
      <c r="H72" s="6"/>
      <c r="I72" s="6">
        <f t="shared" si="48"/>
        <v>2494</v>
      </c>
      <c r="K72" s="28">
        <f t="shared" si="49"/>
        <v>0.11198791768925807</v>
      </c>
      <c r="L72" s="28">
        <f t="shared" si="50"/>
        <v>6.5586360494585674E-2</v>
      </c>
      <c r="M72" s="28">
        <f t="shared" si="51"/>
        <v>3.9335497422188274E-2</v>
      </c>
      <c r="N72" s="28">
        <f t="shared" si="52"/>
        <v>0.10653801497377588</v>
      </c>
      <c r="O72" s="28">
        <f t="shared" si="53"/>
        <v>-0.43098066088015835</v>
      </c>
      <c r="P72" s="28">
        <f t="shared" si="54"/>
        <v>0.2090044485350514</v>
      </c>
      <c r="Q72" s="28">
        <f t="shared" si="55"/>
        <v>1.598379829907776E-2</v>
      </c>
      <c r="S72" s="28">
        <f t="shared" si="61"/>
        <v>-0.11456858041064177</v>
      </c>
      <c r="T72" s="28">
        <f t="shared" si="56"/>
        <v>-0.7060877399039478</v>
      </c>
      <c r="U72" s="28">
        <f t="shared" si="62"/>
        <v>0.7365339578454333</v>
      </c>
      <c r="V72" s="28">
        <f t="shared" si="63"/>
        <v>0.65825242718446597</v>
      </c>
      <c r="W72" s="28">
        <f t="shared" si="64"/>
        <v>-0.61292747087561072</v>
      </c>
      <c r="X72" s="28">
        <f t="shared" si="65"/>
        <v>-1.2350499072520096</v>
      </c>
      <c r="Y72" s="28">
        <f t="shared" si="66"/>
        <v>-3.0772477064220185</v>
      </c>
    </row>
    <row r="73" spans="1:25" x14ac:dyDescent="0.25">
      <c r="A73" s="5" t="s">
        <v>58</v>
      </c>
      <c r="B73" s="2">
        <v>598</v>
      </c>
      <c r="C73" s="2">
        <v>684</v>
      </c>
      <c r="D73" s="2">
        <v>669</v>
      </c>
      <c r="E73" s="2">
        <v>728</v>
      </c>
      <c r="F73" s="2">
        <v>-1067</v>
      </c>
      <c r="G73" s="2">
        <v>-5482</v>
      </c>
      <c r="I73" s="2">
        <f t="shared" si="48"/>
        <v>-3870</v>
      </c>
      <c r="K73" s="30">
        <f t="shared" si="49"/>
        <v>2.2578818198980555E-2</v>
      </c>
      <c r="L73" s="30">
        <f t="shared" si="50"/>
        <v>2.6265263804623303E-2</v>
      </c>
      <c r="M73" s="30">
        <f t="shared" si="51"/>
        <v>2.5548978422761121E-2</v>
      </c>
      <c r="N73" s="30">
        <f t="shared" si="52"/>
        <v>2.9146815069864274E-2</v>
      </c>
      <c r="O73" s="30">
        <f t="shared" si="53"/>
        <v>-4.0619765494137351E-2</v>
      </c>
      <c r="P73" s="30">
        <f t="shared" si="54"/>
        <v>-0.21023163061819297</v>
      </c>
      <c r="Q73" s="30">
        <f t="shared" si="55"/>
        <v>-2.480244563649997E-2</v>
      </c>
      <c r="R73" s="31"/>
      <c r="S73" s="30" t="e">
        <f t="shared" si="61"/>
        <v>#NUM!</v>
      </c>
      <c r="T73" s="30">
        <f t="shared" si="56"/>
        <v>-0.53440064342280214</v>
      </c>
      <c r="U73" s="30">
        <f t="shared" si="62"/>
        <v>-0.12573099415204678</v>
      </c>
      <c r="V73" s="30">
        <f t="shared" si="63"/>
        <v>2.2421524663677129E-2</v>
      </c>
      <c r="W73" s="30">
        <f t="shared" si="64"/>
        <v>-8.1043956043956047E-2</v>
      </c>
      <c r="X73" s="30">
        <f t="shared" si="65"/>
        <v>-1.6822867853795689</v>
      </c>
      <c r="Y73" s="30">
        <f t="shared" si="66"/>
        <v>-0.80536300620211598</v>
      </c>
    </row>
    <row r="74" spans="1:25" x14ac:dyDescent="0.25">
      <c r="A74" s="2" t="s">
        <v>61</v>
      </c>
      <c r="B74" s="6">
        <f>+B72-B73</f>
        <v>2368</v>
      </c>
      <c r="C74" s="6">
        <f t="shared" ref="C74:G74" si="70">+C72-C73</f>
        <v>1024</v>
      </c>
      <c r="D74" s="6">
        <f t="shared" si="70"/>
        <v>361</v>
      </c>
      <c r="E74" s="6">
        <f t="shared" si="70"/>
        <v>1933</v>
      </c>
      <c r="F74" s="6">
        <f t="shared" si="70"/>
        <v>-10254</v>
      </c>
      <c r="G74" s="6">
        <f t="shared" si="70"/>
        <v>10932</v>
      </c>
      <c r="H74" s="6"/>
      <c r="I74" s="6">
        <f t="shared" si="48"/>
        <v>6364</v>
      </c>
      <c r="K74" s="28">
        <f t="shared" si="49"/>
        <v>8.9409099490277519E-2</v>
      </c>
      <c r="L74" s="28">
        <f t="shared" si="50"/>
        <v>3.9321096689962372E-2</v>
      </c>
      <c r="M74" s="28">
        <f t="shared" si="51"/>
        <v>1.3786518999427153E-2</v>
      </c>
      <c r="N74" s="28">
        <f t="shared" si="52"/>
        <v>7.7391199903911592E-2</v>
      </c>
      <c r="O74" s="28">
        <f t="shared" si="53"/>
        <v>-0.39036089538602103</v>
      </c>
      <c r="P74" s="28">
        <f t="shared" si="54"/>
        <v>0.41923607915324435</v>
      </c>
      <c r="Q74" s="28">
        <f t="shared" si="55"/>
        <v>4.0786243935577733E-2</v>
      </c>
      <c r="S74" s="28">
        <f t="shared" si="61"/>
        <v>-0.26356161826246205</v>
      </c>
      <c r="T74" s="28">
        <f t="shared" si="56"/>
        <v>-0.15813412150269723</v>
      </c>
      <c r="U74" s="28">
        <f t="shared" si="62"/>
        <v>1.3125</v>
      </c>
      <c r="V74" s="28">
        <f t="shared" si="63"/>
        <v>1.8365650969529086</v>
      </c>
      <c r="W74" s="28">
        <f t="shared" si="64"/>
        <v>-0.81324366270046555</v>
      </c>
      <c r="X74" s="28">
        <f t="shared" si="65"/>
        <v>-1.1885118002730641</v>
      </c>
      <c r="Y74" s="28">
        <f t="shared" si="66"/>
        <v>-1.9379802414928651</v>
      </c>
    </row>
    <row r="75" spans="1:25" x14ac:dyDescent="0.25">
      <c r="A75" s="5" t="s">
        <v>38</v>
      </c>
      <c r="B75" s="2">
        <v>5</v>
      </c>
      <c r="C75" s="2">
        <v>12</v>
      </c>
      <c r="D75" s="2">
        <v>5</v>
      </c>
      <c r="E75" s="2">
        <v>-2</v>
      </c>
      <c r="F75" s="2">
        <v>-62</v>
      </c>
      <c r="G75" s="2">
        <v>-9</v>
      </c>
      <c r="I75" s="2">
        <f t="shared" si="48"/>
        <v>-51</v>
      </c>
      <c r="K75" s="28">
        <f t="shared" si="49"/>
        <v>1.8878610534264677E-4</v>
      </c>
      <c r="L75" s="28">
        <f t="shared" si="50"/>
        <v>4.6079410183549652E-4</v>
      </c>
      <c r="M75" s="28">
        <f t="shared" si="51"/>
        <v>1.9094901661256445E-4</v>
      </c>
      <c r="N75" s="28">
        <f t="shared" si="52"/>
        <v>-8.0073667774352406E-5</v>
      </c>
      <c r="O75" s="28">
        <f t="shared" si="53"/>
        <v>-2.3602862798842699E-3</v>
      </c>
      <c r="P75" s="28">
        <f t="shared" si="54"/>
        <v>-3.4514496088357109E-4</v>
      </c>
      <c r="Q75" s="28">
        <f t="shared" si="55"/>
        <v>-3.2685393474457324E-4</v>
      </c>
      <c r="S75" s="28" t="e">
        <f t="shared" si="61"/>
        <v>#NUM!</v>
      </c>
      <c r="T75" s="28">
        <f t="shared" si="56"/>
        <v>0.44756272401433694</v>
      </c>
      <c r="U75" s="28">
        <f t="shared" si="62"/>
        <v>-0.58333333333333337</v>
      </c>
      <c r="V75" s="28">
        <f t="shared" si="63"/>
        <v>1.4</v>
      </c>
      <c r="W75" s="28">
        <f t="shared" si="64"/>
        <v>-3.5</v>
      </c>
      <c r="X75" s="28">
        <f t="shared" si="65"/>
        <v>-0.967741935483871</v>
      </c>
      <c r="Y75" s="28">
        <f t="shared" si="66"/>
        <v>5.8888888888888893</v>
      </c>
    </row>
    <row r="76" spans="1:25" ht="15.75" thickBot="1" x14ac:dyDescent="0.3">
      <c r="A76" s="2" t="s">
        <v>60</v>
      </c>
      <c r="B76" s="9">
        <f>+B74-B75</f>
        <v>2363</v>
      </c>
      <c r="C76" s="9">
        <f t="shared" ref="C76:G76" si="71">+C74-C75</f>
        <v>1012</v>
      </c>
      <c r="D76" s="9">
        <f t="shared" si="71"/>
        <v>356</v>
      </c>
      <c r="E76" s="9">
        <f t="shared" si="71"/>
        <v>1935</v>
      </c>
      <c r="F76" s="9">
        <f t="shared" si="71"/>
        <v>-10192</v>
      </c>
      <c r="G76" s="9">
        <f t="shared" si="71"/>
        <v>10941</v>
      </c>
      <c r="H76" s="9"/>
      <c r="I76" s="9">
        <f t="shared" si="48"/>
        <v>6415</v>
      </c>
      <c r="K76" s="32">
        <f t="shared" si="49"/>
        <v>8.9220313384934871E-2</v>
      </c>
      <c r="L76" s="32">
        <f t="shared" si="50"/>
        <v>3.8860302588126873E-2</v>
      </c>
      <c r="M76" s="32">
        <f t="shared" si="51"/>
        <v>1.3595569982814588E-2</v>
      </c>
      <c r="N76" s="32">
        <f t="shared" si="52"/>
        <v>7.7471273571685956E-2</v>
      </c>
      <c r="O76" s="32">
        <f t="shared" si="53"/>
        <v>-0.38800060910613676</v>
      </c>
      <c r="P76" s="32">
        <f t="shared" si="54"/>
        <v>0.41958122411412796</v>
      </c>
      <c r="Q76" s="32">
        <f t="shared" ref="Q76" si="72">+I76/I$60</f>
        <v>4.1113097870322302E-2</v>
      </c>
      <c r="R76" s="11"/>
      <c r="S76" s="32">
        <f t="shared" si="61"/>
        <v>-0.26399402380581244</v>
      </c>
      <c r="T76" s="32">
        <f t="shared" si="56"/>
        <v>-0.15194810002519135</v>
      </c>
      <c r="U76" s="32">
        <f t="shared" si="62"/>
        <v>1.3349802371541502</v>
      </c>
      <c r="V76" s="32">
        <f t="shared" si="63"/>
        <v>1.8426966292134832</v>
      </c>
      <c r="W76" s="32">
        <f t="shared" si="64"/>
        <v>-0.81602067183462534</v>
      </c>
      <c r="X76" s="32">
        <f t="shared" si="65"/>
        <v>-1.1898547880690737</v>
      </c>
      <c r="Y76" s="32">
        <f t="shared" si="66"/>
        <v>-1.9315419065898913</v>
      </c>
    </row>
    <row r="77" spans="1:25" ht="15.75" thickTop="1" x14ac:dyDescent="0.25">
      <c r="B77" s="2">
        <f>+B76-'Phase 2'!B70</f>
        <v>0</v>
      </c>
      <c r="C77" s="2">
        <f>+C76-'Phase 2'!C70</f>
        <v>0</v>
      </c>
      <c r="D77" s="2">
        <f>+D76-'Phase 2'!D70</f>
        <v>0</v>
      </c>
      <c r="E77" s="2">
        <f>+E76-'Phase 2'!E70</f>
        <v>0</v>
      </c>
      <c r="F77" s="2">
        <f>+F76-'Phase 2'!F70</f>
        <v>0</v>
      </c>
      <c r="G77" s="2">
        <f>+G76-'Phase 2'!G70</f>
        <v>0</v>
      </c>
      <c r="K77" s="28"/>
      <c r="L77" s="28"/>
      <c r="M77" s="28"/>
      <c r="N77" s="28"/>
      <c r="O77" s="28"/>
      <c r="P77" s="28"/>
      <c r="Q77" s="28"/>
      <c r="S77" s="28"/>
      <c r="T77" s="28"/>
      <c r="U77" s="28"/>
      <c r="V77" s="28"/>
      <c r="W77" s="28"/>
      <c r="X77" s="28"/>
      <c r="Y77" s="28"/>
    </row>
    <row r="78" spans="1:25" x14ac:dyDescent="0.25">
      <c r="A78" s="2" t="s">
        <v>62</v>
      </c>
      <c r="B78" s="21">
        <v>1235</v>
      </c>
      <c r="C78" s="21">
        <v>1236</v>
      </c>
      <c r="D78" s="21">
        <v>1228</v>
      </c>
      <c r="E78" s="21">
        <v>1224</v>
      </c>
      <c r="F78" s="21">
        <v>1219</v>
      </c>
      <c r="G78" s="21">
        <v>1228</v>
      </c>
      <c r="H78" s="21"/>
      <c r="I78" s="21"/>
      <c r="K78" s="28"/>
      <c r="L78" s="28"/>
      <c r="M78" s="28"/>
      <c r="N78" s="28"/>
      <c r="O78" s="28"/>
      <c r="P78" s="28"/>
      <c r="Q78" s="28"/>
      <c r="S78" s="28">
        <f>RATE(5,0,-G78,B78)</f>
        <v>1.1374745049678259E-3</v>
      </c>
      <c r="T78" s="28">
        <f t="shared" si="56"/>
        <v>1.1492605687045796E-3</v>
      </c>
      <c r="U78" s="28">
        <f t="shared" ref="U78:Y80" si="73">(+B78-C78)/C78</f>
        <v>-8.090614886731392E-4</v>
      </c>
      <c r="V78" s="28">
        <f t="shared" si="73"/>
        <v>6.5146579804560263E-3</v>
      </c>
      <c r="W78" s="28">
        <f t="shared" si="73"/>
        <v>3.2679738562091504E-3</v>
      </c>
      <c r="X78" s="28">
        <f t="shared" si="73"/>
        <v>4.1017227235438884E-3</v>
      </c>
      <c r="Y78" s="28">
        <f t="shared" si="73"/>
        <v>-7.3289902280130291E-3</v>
      </c>
    </row>
    <row r="79" spans="1:25" x14ac:dyDescent="0.25">
      <c r="A79" s="2" t="s">
        <v>63</v>
      </c>
      <c r="B79" s="7">
        <f>+B76/B78</f>
        <v>1.9133603238866397</v>
      </c>
      <c r="C79" s="7">
        <f t="shared" ref="C79:G79" si="74">+C76/C78</f>
        <v>0.81877022653721687</v>
      </c>
      <c r="D79" s="7">
        <f t="shared" si="74"/>
        <v>0.28990228013029318</v>
      </c>
      <c r="E79" s="7">
        <f t="shared" si="74"/>
        <v>1.5808823529411764</v>
      </c>
      <c r="F79" s="7">
        <f t="shared" si="74"/>
        <v>-8.3609515996718624</v>
      </c>
      <c r="G79" s="7">
        <f t="shared" si="74"/>
        <v>8.9096091205211732</v>
      </c>
      <c r="H79" s="7"/>
      <c r="I79" s="7"/>
      <c r="K79" s="28"/>
      <c r="L79" s="28"/>
      <c r="M79" s="28"/>
      <c r="N79" s="28"/>
      <c r="O79" s="28"/>
      <c r="P79" s="28"/>
      <c r="Q79" s="28"/>
      <c r="S79" s="28">
        <f>RATE(5,0,-G79,B79)</f>
        <v>-0.26483026064109128</v>
      </c>
      <c r="T79" s="28">
        <f t="shared" si="56"/>
        <v>-0.15659011145761975</v>
      </c>
      <c r="U79" s="28">
        <f t="shared" si="73"/>
        <v>1.3368709094109552</v>
      </c>
      <c r="V79" s="28">
        <f t="shared" si="73"/>
        <v>1.8242972982800625</v>
      </c>
      <c r="W79" s="28">
        <f t="shared" si="73"/>
        <v>-0.81661995303386115</v>
      </c>
      <c r="X79" s="28">
        <f t="shared" si="73"/>
        <v>-1.1890792374642163</v>
      </c>
      <c r="Y79" s="28">
        <f t="shared" si="73"/>
        <v>-1.9384195744810389</v>
      </c>
    </row>
    <row r="80" spans="1:25" x14ac:dyDescent="0.25">
      <c r="A80" s="2" t="s">
        <v>120</v>
      </c>
      <c r="B80" s="27">
        <v>1.6</v>
      </c>
      <c r="C80" s="27">
        <v>1.6</v>
      </c>
      <c r="D80" s="27">
        <v>1.6</v>
      </c>
      <c r="E80" s="27">
        <v>1.6</v>
      </c>
      <c r="F80" s="27">
        <v>2.5</v>
      </c>
      <c r="G80" s="27">
        <v>2.4500000000000002</v>
      </c>
      <c r="H80" s="27"/>
      <c r="I80" s="27"/>
      <c r="K80" s="28"/>
      <c r="L80" s="28"/>
      <c r="M80" s="28"/>
      <c r="N80" s="28"/>
      <c r="O80" s="28"/>
      <c r="P80" s="28"/>
      <c r="Q80" s="28"/>
      <c r="S80" s="28">
        <f>RATE(5,0,-G80,B80)</f>
        <v>-8.1686900081131844E-2</v>
      </c>
      <c r="T80" s="28">
        <f t="shared" si="56"/>
        <v>-6.7918367346938791E-2</v>
      </c>
      <c r="U80" s="28">
        <f t="shared" si="73"/>
        <v>0</v>
      </c>
      <c r="V80" s="28">
        <f t="shared" si="73"/>
        <v>0</v>
      </c>
      <c r="W80" s="28">
        <f t="shared" si="73"/>
        <v>0</v>
      </c>
      <c r="X80" s="28">
        <f t="shared" si="73"/>
        <v>-0.36</v>
      </c>
      <c r="Y80" s="28">
        <f t="shared" si="73"/>
        <v>2.0408163265306048E-2</v>
      </c>
    </row>
    <row r="81" spans="1:25" x14ac:dyDescent="0.25">
      <c r="B81" s="7"/>
      <c r="C81" s="7"/>
      <c r="D81" s="7"/>
      <c r="E81" s="7"/>
      <c r="F81" s="7"/>
      <c r="G81" s="7"/>
      <c r="H81" s="7"/>
      <c r="I81" s="7"/>
      <c r="K81" s="28"/>
      <c r="L81" s="28"/>
      <c r="M81" s="28"/>
      <c r="N81" s="28"/>
      <c r="O81" s="28"/>
      <c r="P81" s="28"/>
      <c r="Q81" s="28"/>
      <c r="S81" s="28"/>
      <c r="T81" s="28"/>
      <c r="U81" s="28"/>
      <c r="V81" s="28"/>
      <c r="W81" s="28"/>
      <c r="X81" s="28"/>
      <c r="Y81" s="28"/>
    </row>
    <row r="82" spans="1:25" x14ac:dyDescent="0.25">
      <c r="A82" s="2" t="s">
        <v>191</v>
      </c>
      <c r="B82" s="28">
        <f>+B73/B72</f>
        <v>0.20161834120026972</v>
      </c>
      <c r="C82" s="28">
        <f t="shared" ref="C82:I82" si="75">+C73/C72</f>
        <v>0.40046838407494145</v>
      </c>
      <c r="D82" s="28">
        <f t="shared" si="75"/>
        <v>0.64951456310679612</v>
      </c>
      <c r="E82" s="28">
        <f t="shared" si="75"/>
        <v>0.27358136039083053</v>
      </c>
      <c r="F82" s="28">
        <f t="shared" si="75"/>
        <v>9.4249624591467185E-2</v>
      </c>
      <c r="G82" s="28">
        <f t="shared" si="75"/>
        <v>-1.0058715596330274</v>
      </c>
      <c r="H82" s="28"/>
      <c r="I82" s="28">
        <f t="shared" si="75"/>
        <v>-1.5517241379310345</v>
      </c>
      <c r="K82" s="28"/>
      <c r="L82" s="28"/>
      <c r="M82" s="28"/>
      <c r="N82" s="28"/>
      <c r="O82" s="28"/>
      <c r="P82" s="28"/>
      <c r="Q82" s="28"/>
      <c r="S82" s="28"/>
      <c r="T82" s="28"/>
      <c r="U82" s="28"/>
      <c r="V82" s="28"/>
      <c r="W82" s="28"/>
      <c r="X82" s="28"/>
      <c r="Y82" s="28"/>
    </row>
    <row r="83" spans="1:25" x14ac:dyDescent="0.25">
      <c r="B83" s="7"/>
      <c r="C83" s="7"/>
      <c r="D83" s="7"/>
      <c r="E83" s="7"/>
      <c r="F83" s="7"/>
      <c r="G83" s="7"/>
      <c r="H83" s="7"/>
      <c r="I83" s="7"/>
      <c r="K83" s="28"/>
      <c r="L83" s="28"/>
      <c r="M83" s="28"/>
      <c r="N83" s="28"/>
      <c r="O83" s="28"/>
      <c r="P83" s="28"/>
      <c r="Q83" s="28"/>
      <c r="S83" s="28"/>
      <c r="T83" s="28"/>
      <c r="U83" s="28"/>
      <c r="V83" s="28"/>
      <c r="W83" s="28"/>
      <c r="X83" s="28"/>
      <c r="Y83" s="28"/>
    </row>
    <row r="84" spans="1:25" x14ac:dyDescent="0.25">
      <c r="A84" s="18" t="s">
        <v>172</v>
      </c>
      <c r="K84" s="28"/>
      <c r="L84" s="28"/>
      <c r="M84" s="28"/>
      <c r="N84" s="28"/>
      <c r="O84" s="28"/>
      <c r="P84" s="28"/>
      <c r="Q84" s="28"/>
      <c r="S84" s="28"/>
      <c r="T84" s="28"/>
      <c r="U84" s="28"/>
      <c r="V84" s="28"/>
      <c r="W84" s="28"/>
      <c r="X84" s="28"/>
      <c r="Y84" s="28"/>
    </row>
    <row r="85" spans="1:25" x14ac:dyDescent="0.25">
      <c r="A85" s="2" t="s">
        <v>59</v>
      </c>
      <c r="B85" s="8">
        <f>+B76</f>
        <v>2363</v>
      </c>
      <c r="C85" s="8">
        <f t="shared" ref="C85:G85" si="76">+C76</f>
        <v>1012</v>
      </c>
      <c r="D85" s="8">
        <f t="shared" si="76"/>
        <v>356</v>
      </c>
      <c r="E85" s="8">
        <f t="shared" si="76"/>
        <v>1935</v>
      </c>
      <c r="F85" s="8">
        <f t="shared" si="76"/>
        <v>-10192</v>
      </c>
      <c r="G85" s="8">
        <f t="shared" si="76"/>
        <v>10941</v>
      </c>
      <c r="H85" s="8"/>
      <c r="K85" s="28"/>
      <c r="L85" s="28"/>
      <c r="M85" s="28"/>
      <c r="N85" s="28"/>
      <c r="O85" s="28"/>
      <c r="P85" s="28"/>
      <c r="Q85" s="28"/>
      <c r="S85" s="28"/>
      <c r="T85" s="28"/>
      <c r="U85" s="28"/>
      <c r="V85" s="28"/>
      <c r="W85" s="28"/>
      <c r="X85" s="28"/>
      <c r="Y85" s="28"/>
    </row>
    <row r="86" spans="1:25" x14ac:dyDescent="0.25">
      <c r="A86" s="5" t="s">
        <v>173</v>
      </c>
      <c r="B86" s="2">
        <f>+B73</f>
        <v>598</v>
      </c>
      <c r="C86" s="2">
        <f t="shared" ref="C86:G86" si="77">+C73</f>
        <v>684</v>
      </c>
      <c r="D86" s="2">
        <f t="shared" si="77"/>
        <v>669</v>
      </c>
      <c r="E86" s="2">
        <f t="shared" si="77"/>
        <v>728</v>
      </c>
      <c r="F86" s="2">
        <f t="shared" si="77"/>
        <v>-1067</v>
      </c>
      <c r="G86" s="2">
        <f t="shared" si="77"/>
        <v>-5482</v>
      </c>
      <c r="K86" s="28"/>
      <c r="L86" s="28"/>
      <c r="M86" s="28"/>
      <c r="N86" s="28"/>
      <c r="O86" s="28"/>
      <c r="P86" s="28"/>
      <c r="Q86" s="28"/>
      <c r="S86" s="28"/>
      <c r="T86" s="28"/>
      <c r="U86" s="28"/>
      <c r="V86" s="28"/>
      <c r="W86" s="28"/>
      <c r="X86" s="28"/>
      <c r="Y86" s="28"/>
    </row>
    <row r="87" spans="1:25" x14ac:dyDescent="0.25">
      <c r="A87" s="5" t="s">
        <v>174</v>
      </c>
      <c r="B87" s="31">
        <f>+B70</f>
        <v>921</v>
      </c>
      <c r="C87" s="31">
        <f t="shared" ref="C87:G87" si="78">+C70</f>
        <v>2047</v>
      </c>
      <c r="D87" s="31">
        <f t="shared" si="78"/>
        <v>1394</v>
      </c>
      <c r="E87" s="31">
        <f t="shared" si="78"/>
        <v>1361</v>
      </c>
      <c r="F87" s="31">
        <f t="shared" si="78"/>
        <v>1284</v>
      </c>
      <c r="G87" s="31">
        <f t="shared" si="78"/>
        <v>1234</v>
      </c>
      <c r="H87" s="34"/>
      <c r="K87" s="28"/>
      <c r="L87" s="28"/>
      <c r="M87" s="28"/>
      <c r="N87" s="28"/>
      <c r="O87" s="28"/>
      <c r="P87" s="28"/>
      <c r="Q87" s="28"/>
      <c r="S87" s="28"/>
      <c r="T87" s="28"/>
      <c r="U87" s="28"/>
      <c r="V87" s="28"/>
      <c r="W87" s="28"/>
      <c r="X87" s="28"/>
      <c r="Y87" s="28"/>
    </row>
    <row r="88" spans="1:25" x14ac:dyDescent="0.25">
      <c r="A88" s="2" t="s">
        <v>175</v>
      </c>
      <c r="B88" s="2">
        <f>SUM(B85:B87)</f>
        <v>3882</v>
      </c>
      <c r="C88" s="2">
        <f t="shared" ref="C88:G88" si="79">SUM(C85:C87)</f>
        <v>3743</v>
      </c>
      <c r="D88" s="2">
        <f t="shared" si="79"/>
        <v>2419</v>
      </c>
      <c r="E88" s="2">
        <f t="shared" si="79"/>
        <v>4024</v>
      </c>
      <c r="F88" s="2">
        <f t="shared" si="79"/>
        <v>-9975</v>
      </c>
      <c r="G88" s="2">
        <f t="shared" si="79"/>
        <v>6693</v>
      </c>
      <c r="K88" s="28"/>
      <c r="L88" s="28"/>
      <c r="M88" s="28"/>
      <c r="N88" s="28"/>
      <c r="O88" s="28"/>
      <c r="P88" s="28"/>
      <c r="Q88" s="28"/>
      <c r="S88" s="28"/>
      <c r="T88" s="28"/>
      <c r="U88" s="28"/>
      <c r="V88" s="28"/>
      <c r="W88" s="28"/>
      <c r="X88" s="28"/>
      <c r="Y88" s="28"/>
    </row>
    <row r="89" spans="1:25" x14ac:dyDescent="0.25">
      <c r="A89" s="5" t="s">
        <v>176</v>
      </c>
      <c r="B89" s="2">
        <f>+B109</f>
        <v>933</v>
      </c>
      <c r="C89" s="2">
        <f t="shared" ref="C89:G89" si="80">+C109</f>
        <v>910</v>
      </c>
      <c r="D89" s="2">
        <f t="shared" si="80"/>
        <v>969</v>
      </c>
      <c r="E89" s="2">
        <f t="shared" si="80"/>
        <v>994</v>
      </c>
      <c r="F89" s="2">
        <f t="shared" si="80"/>
        <v>983</v>
      </c>
      <c r="G89" s="2">
        <f t="shared" si="80"/>
        <v>1031</v>
      </c>
      <c r="K89" s="28"/>
      <c r="L89" s="28"/>
      <c r="M89" s="28"/>
      <c r="N89" s="28"/>
      <c r="O89" s="28"/>
      <c r="P89" s="28"/>
      <c r="Q89" s="28"/>
      <c r="S89" s="28"/>
      <c r="T89" s="28"/>
      <c r="U89" s="28"/>
      <c r="V89" s="28"/>
      <c r="W89" s="28"/>
      <c r="X89" s="28"/>
      <c r="Y89" s="28"/>
    </row>
    <row r="90" spans="1:25" ht="15.75" thickBot="1" x14ac:dyDescent="0.3">
      <c r="A90" s="2" t="s">
        <v>177</v>
      </c>
      <c r="B90" s="9">
        <f>+B89+B88</f>
        <v>4815</v>
      </c>
      <c r="C90" s="9">
        <f t="shared" ref="C90:G90" si="81">+C89+C88</f>
        <v>4653</v>
      </c>
      <c r="D90" s="9">
        <f t="shared" si="81"/>
        <v>3388</v>
      </c>
      <c r="E90" s="9">
        <f t="shared" si="81"/>
        <v>5018</v>
      </c>
      <c r="F90" s="9">
        <f t="shared" si="81"/>
        <v>-8992</v>
      </c>
      <c r="G90" s="9">
        <f t="shared" si="81"/>
        <v>7724</v>
      </c>
      <c r="H90" s="36"/>
      <c r="K90" s="28"/>
      <c r="L90" s="28"/>
      <c r="M90" s="28"/>
      <c r="N90" s="28"/>
      <c r="O90" s="28"/>
      <c r="P90" s="28"/>
      <c r="Q90" s="28"/>
      <c r="S90" s="28"/>
      <c r="T90" s="28"/>
      <c r="U90" s="28"/>
      <c r="V90" s="28"/>
      <c r="W90" s="28"/>
      <c r="X90" s="28"/>
      <c r="Y90" s="28"/>
    </row>
    <row r="91" spans="1:25" ht="15.75" thickTop="1" x14ac:dyDescent="0.25">
      <c r="K91" s="28"/>
      <c r="L91" s="28"/>
      <c r="M91" s="28"/>
      <c r="N91" s="28"/>
      <c r="O91" s="28"/>
      <c r="P91" s="28"/>
      <c r="Q91" s="28"/>
      <c r="S91" s="28"/>
      <c r="T91" s="28"/>
      <c r="U91" s="28"/>
      <c r="V91" s="28"/>
      <c r="W91" s="28"/>
      <c r="X91" s="28"/>
      <c r="Y91" s="28"/>
    </row>
    <row r="92" spans="1:25" x14ac:dyDescent="0.25">
      <c r="A92" s="2" t="s">
        <v>178</v>
      </c>
      <c r="B92" s="8">
        <f>+B69</f>
        <v>3634</v>
      </c>
      <c r="C92" s="8">
        <f t="shared" ref="C92:G92" si="82">+C69</f>
        <v>3460</v>
      </c>
      <c r="D92" s="8">
        <f t="shared" si="82"/>
        <v>2128</v>
      </c>
      <c r="E92" s="8">
        <f t="shared" si="82"/>
        <v>3070</v>
      </c>
      <c r="F92" s="8">
        <f t="shared" si="82"/>
        <v>-10205</v>
      </c>
      <c r="G92" s="8">
        <f t="shared" si="82"/>
        <v>6057</v>
      </c>
      <c r="H92" s="8"/>
      <c r="K92" s="28"/>
      <c r="L92" s="28"/>
      <c r="M92" s="28"/>
      <c r="N92" s="28"/>
      <c r="O92" s="28"/>
      <c r="P92" s="28"/>
      <c r="Q92" s="28"/>
      <c r="S92" s="28"/>
      <c r="T92" s="28"/>
      <c r="U92" s="28"/>
      <c r="V92" s="28"/>
      <c r="W92" s="28"/>
      <c r="X92" s="28"/>
      <c r="Y92" s="28"/>
    </row>
    <row r="93" spans="1:25" x14ac:dyDescent="0.25">
      <c r="A93" s="5" t="s">
        <v>179</v>
      </c>
      <c r="B93" s="2">
        <f>-B71</f>
        <v>253</v>
      </c>
      <c r="C93" s="2">
        <f t="shared" ref="C93:G93" si="83">-C71</f>
        <v>295</v>
      </c>
      <c r="D93" s="2">
        <f t="shared" si="83"/>
        <v>296</v>
      </c>
      <c r="E93" s="2">
        <f t="shared" si="83"/>
        <v>952</v>
      </c>
      <c r="F93" s="2">
        <f t="shared" si="83"/>
        <v>168</v>
      </c>
      <c r="G93" s="2">
        <f t="shared" si="83"/>
        <v>627</v>
      </c>
      <c r="K93" s="28"/>
      <c r="L93" s="28"/>
      <c r="M93" s="28"/>
      <c r="N93" s="28"/>
      <c r="O93" s="28"/>
      <c r="P93" s="28"/>
      <c r="Q93" s="28"/>
      <c r="S93" s="28"/>
      <c r="T93" s="28"/>
      <c r="U93" s="28"/>
      <c r="V93" s="28"/>
      <c r="W93" s="28"/>
      <c r="X93" s="28"/>
      <c r="Y93" s="28"/>
    </row>
    <row r="94" spans="1:25" x14ac:dyDescent="0.25">
      <c r="A94" s="5" t="s">
        <v>38</v>
      </c>
      <c r="B94" s="2">
        <f>-B75</f>
        <v>-5</v>
      </c>
      <c r="C94" s="2">
        <f t="shared" ref="C94:G94" si="84">-C75</f>
        <v>-12</v>
      </c>
      <c r="D94" s="2">
        <f t="shared" si="84"/>
        <v>-5</v>
      </c>
      <c r="E94" s="2">
        <f t="shared" si="84"/>
        <v>2</v>
      </c>
      <c r="F94" s="2">
        <f t="shared" si="84"/>
        <v>62</v>
      </c>
      <c r="G94" s="2">
        <f t="shared" si="84"/>
        <v>9</v>
      </c>
      <c r="K94" s="28"/>
      <c r="L94" s="28"/>
      <c r="M94" s="28"/>
      <c r="N94" s="28"/>
      <c r="O94" s="28"/>
      <c r="P94" s="28"/>
      <c r="Q94" s="28"/>
      <c r="S94" s="28"/>
      <c r="T94" s="28"/>
      <c r="U94" s="28"/>
      <c r="V94" s="28"/>
      <c r="W94" s="28"/>
      <c r="X94" s="28"/>
      <c r="Y94" s="28"/>
    </row>
    <row r="95" spans="1:25" ht="15.75" thickBot="1" x14ac:dyDescent="0.3">
      <c r="A95" s="2" t="s">
        <v>175</v>
      </c>
      <c r="B95" s="9">
        <f>+SUM(B92:B94)</f>
        <v>3882</v>
      </c>
      <c r="C95" s="9">
        <f t="shared" ref="C95:G95" si="85">+SUM(C92:C94)</f>
        <v>3743</v>
      </c>
      <c r="D95" s="9">
        <f t="shared" si="85"/>
        <v>2419</v>
      </c>
      <c r="E95" s="9">
        <f t="shared" si="85"/>
        <v>4024</v>
      </c>
      <c r="F95" s="9">
        <f t="shared" si="85"/>
        <v>-9975</v>
      </c>
      <c r="G95" s="9">
        <f t="shared" si="85"/>
        <v>6693</v>
      </c>
      <c r="H95" s="36"/>
      <c r="K95" s="28"/>
      <c r="L95" s="28"/>
      <c r="M95" s="28"/>
      <c r="N95" s="28"/>
      <c r="O95" s="28"/>
      <c r="P95" s="28"/>
      <c r="Q95" s="28"/>
      <c r="S95" s="28"/>
      <c r="T95" s="28"/>
      <c r="U95" s="28"/>
      <c r="V95" s="28"/>
      <c r="W95" s="28"/>
      <c r="X95" s="28"/>
      <c r="Y95" s="28"/>
    </row>
    <row r="96" spans="1:25" ht="15.75" thickTop="1" x14ac:dyDescent="0.25">
      <c r="B96" s="36"/>
      <c r="C96" s="36"/>
      <c r="D96" s="36"/>
      <c r="E96" s="36"/>
      <c r="F96" s="36"/>
      <c r="G96" s="36"/>
      <c r="H96" s="36"/>
      <c r="K96" s="28"/>
      <c r="L96" s="28"/>
      <c r="M96" s="28"/>
      <c r="N96" s="28"/>
      <c r="O96" s="28"/>
      <c r="P96" s="28"/>
      <c r="Q96" s="28"/>
      <c r="S96" s="28"/>
      <c r="T96" s="28"/>
      <c r="U96" s="28"/>
      <c r="V96" s="28"/>
      <c r="W96" s="28"/>
      <c r="X96" s="28"/>
      <c r="Y96" s="28"/>
    </row>
    <row r="97" spans="1:25" x14ac:dyDescent="0.25">
      <c r="A97" s="2" t="s">
        <v>373</v>
      </c>
      <c r="B97" s="36"/>
      <c r="C97" s="36"/>
      <c r="D97" s="36"/>
      <c r="E97" s="36"/>
      <c r="F97" s="36"/>
      <c r="G97" s="36"/>
      <c r="H97" s="36"/>
      <c r="K97" s="28"/>
      <c r="L97" s="28"/>
      <c r="M97" s="28"/>
      <c r="N97" s="28"/>
      <c r="O97" s="28"/>
      <c r="P97" s="28"/>
      <c r="Q97" s="28"/>
      <c r="S97" s="28"/>
      <c r="T97" s="28"/>
      <c r="U97" s="28"/>
      <c r="V97" s="28"/>
      <c r="W97" s="28"/>
      <c r="X97" s="28"/>
      <c r="Y97" s="28"/>
    </row>
    <row r="98" spans="1:25" x14ac:dyDescent="0.25">
      <c r="A98" s="2" t="s">
        <v>367</v>
      </c>
      <c r="B98" s="36">
        <v>26257</v>
      </c>
      <c r="C98" s="36">
        <v>26129</v>
      </c>
      <c r="D98" s="36">
        <v>26159</v>
      </c>
      <c r="E98" s="36">
        <v>25117</v>
      </c>
      <c r="F98" s="36">
        <v>23988</v>
      </c>
      <c r="G98" s="36">
        <v>23447</v>
      </c>
      <c r="H98" s="36"/>
      <c r="K98" s="28"/>
      <c r="L98" s="28"/>
      <c r="M98" s="28"/>
      <c r="N98" s="28"/>
      <c r="O98" s="28"/>
      <c r="P98" s="28"/>
      <c r="Q98" s="28"/>
      <c r="S98" s="28"/>
      <c r="T98" s="28"/>
      <c r="U98" s="28"/>
      <c r="V98" s="28"/>
      <c r="W98" s="28"/>
      <c r="X98" s="28"/>
      <c r="Y98" s="28"/>
    </row>
    <row r="99" spans="1:25" x14ac:dyDescent="0.25">
      <c r="A99" s="2" t="s">
        <v>368</v>
      </c>
      <c r="B99" s="36">
        <v>19484</v>
      </c>
      <c r="C99" s="36">
        <v>17504</v>
      </c>
      <c r="D99" s="36">
        <v>17257</v>
      </c>
      <c r="E99" s="36">
        <v>17107</v>
      </c>
      <c r="F99" s="36">
        <v>17598</v>
      </c>
      <c r="G99" s="36">
        <v>17279</v>
      </c>
      <c r="H99" s="36"/>
      <c r="K99" s="28"/>
      <c r="L99" s="28"/>
      <c r="M99" s="28"/>
      <c r="N99" s="28"/>
      <c r="O99" s="28"/>
      <c r="P99" s="28"/>
      <c r="Q99" s="28"/>
      <c r="S99" s="28"/>
      <c r="T99" s="28"/>
      <c r="U99" s="28"/>
      <c r="V99" s="28"/>
      <c r="W99" s="28"/>
      <c r="X99" s="28"/>
      <c r="Y99" s="28"/>
    </row>
    <row r="100" spans="1:25" x14ac:dyDescent="0.25">
      <c r="A100" s="2" t="s">
        <v>369</v>
      </c>
      <c r="B100" s="36">
        <v>20605</v>
      </c>
      <c r="C100" s="36">
        <v>17504</v>
      </c>
      <c r="D100" s="36">
        <v>17257</v>
      </c>
      <c r="E100" s="36">
        <v>17107</v>
      </c>
      <c r="F100" s="36">
        <v>17598</v>
      </c>
      <c r="G100" s="36">
        <v>17279</v>
      </c>
      <c r="H100" s="36"/>
      <c r="K100" s="28"/>
      <c r="L100" s="28"/>
      <c r="M100" s="28"/>
      <c r="N100" s="28"/>
      <c r="O100" s="28"/>
      <c r="P100" s="28"/>
      <c r="Q100" s="28"/>
      <c r="S100" s="28"/>
      <c r="T100" s="28"/>
      <c r="U100" s="28"/>
      <c r="V100" s="28"/>
      <c r="W100" s="28"/>
      <c r="X100" s="28"/>
      <c r="Y100" s="28"/>
    </row>
    <row r="101" spans="1:25" x14ac:dyDescent="0.25">
      <c r="A101" s="2" t="s">
        <v>370</v>
      </c>
      <c r="B101" s="36"/>
      <c r="C101" s="36"/>
      <c r="D101" s="36"/>
      <c r="E101" s="36"/>
      <c r="F101" s="36"/>
      <c r="G101" s="36"/>
      <c r="H101" s="36"/>
      <c r="K101" s="28"/>
      <c r="L101" s="28"/>
      <c r="M101" s="28"/>
      <c r="N101" s="28"/>
      <c r="O101" s="28"/>
      <c r="P101" s="28"/>
      <c r="Q101" s="28"/>
      <c r="S101" s="28"/>
      <c r="T101" s="28"/>
      <c r="U101" s="28"/>
      <c r="V101" s="28"/>
      <c r="W101" s="28"/>
      <c r="X101" s="28"/>
      <c r="Y101" s="28"/>
    </row>
    <row r="102" spans="1:25" x14ac:dyDescent="0.25">
      <c r="A102" s="2" t="s">
        <v>371</v>
      </c>
      <c r="B102" s="36"/>
      <c r="C102" s="36"/>
      <c r="D102" s="36"/>
      <c r="E102" s="36"/>
      <c r="F102" s="36"/>
      <c r="G102" s="36"/>
      <c r="H102" s="36"/>
      <c r="K102" s="28"/>
      <c r="L102" s="28"/>
      <c r="M102" s="28"/>
      <c r="N102" s="28"/>
      <c r="O102" s="28"/>
      <c r="P102" s="28"/>
      <c r="Q102" s="28"/>
      <c r="S102" s="28"/>
      <c r="T102" s="28"/>
      <c r="U102" s="28"/>
      <c r="V102" s="28"/>
      <c r="W102" s="28"/>
      <c r="X102" s="28"/>
      <c r="Y102" s="28"/>
    </row>
    <row r="103" spans="1:25" x14ac:dyDescent="0.25">
      <c r="A103" s="2" t="s">
        <v>372</v>
      </c>
      <c r="K103" s="28"/>
      <c r="L103" s="28"/>
      <c r="M103" s="28"/>
      <c r="N103" s="28"/>
      <c r="O103" s="28"/>
      <c r="P103" s="28"/>
      <c r="Q103" s="28"/>
      <c r="S103" s="28"/>
      <c r="T103" s="28"/>
      <c r="U103" s="28"/>
      <c r="V103" s="28"/>
      <c r="W103" s="28"/>
      <c r="X103" s="28"/>
      <c r="Y103" s="28"/>
    </row>
    <row r="104" spans="1:25" s="15" customFormat="1" x14ac:dyDescent="0.25">
      <c r="A104" s="15" t="str">
        <f>+A1</f>
        <v>Kraft Heinz Company</v>
      </c>
      <c r="B104" s="15" t="str">
        <f>+B1</f>
        <v>Reclassified</v>
      </c>
      <c r="K104" s="15" t="str">
        <f>+B104</f>
        <v>Reclassified</v>
      </c>
      <c r="S104" s="15" t="str">
        <f>+B104</f>
        <v>Reclassified</v>
      </c>
    </row>
    <row r="105" spans="1:25" s="15" customFormat="1" x14ac:dyDescent="0.25">
      <c r="A105" s="15" t="s">
        <v>64</v>
      </c>
      <c r="K105" s="15" t="s">
        <v>138</v>
      </c>
      <c r="S105" s="15" t="s">
        <v>131</v>
      </c>
    </row>
    <row r="106" spans="1:25" s="15" customFormat="1" x14ac:dyDescent="0.25">
      <c r="A106" s="15" t="str">
        <f>+A3</f>
        <v>in millions except per share data</v>
      </c>
      <c r="F106" s="15" t="s">
        <v>150</v>
      </c>
      <c r="G106" s="16" t="s">
        <v>125</v>
      </c>
      <c r="H106" s="16"/>
      <c r="I106" s="16"/>
      <c r="P106" s="16" t="s">
        <v>125</v>
      </c>
      <c r="Q106" s="16"/>
      <c r="S106" s="15" t="s">
        <v>127</v>
      </c>
      <c r="T106" s="15" t="s">
        <v>129</v>
      </c>
      <c r="U106" s="15" t="s">
        <v>132</v>
      </c>
      <c r="V106" s="15" t="s">
        <v>133</v>
      </c>
      <c r="W106" s="15" t="s">
        <v>134</v>
      </c>
      <c r="X106" s="15" t="s">
        <v>135</v>
      </c>
      <c r="Y106" s="15" t="s">
        <v>136</v>
      </c>
    </row>
    <row r="107" spans="1:25" s="15" customFormat="1" ht="15.75" thickBot="1" x14ac:dyDescent="0.3">
      <c r="A107" s="16" t="str">
        <f>+A4</f>
        <v>Year ended near 12/31:</v>
      </c>
      <c r="B107" s="17">
        <v>2022</v>
      </c>
      <c r="C107" s="17">
        <v>2021</v>
      </c>
      <c r="D107" s="17">
        <v>2020</v>
      </c>
      <c r="E107" s="17">
        <v>2019</v>
      </c>
      <c r="F107" s="17">
        <v>2018</v>
      </c>
      <c r="G107" s="17">
        <v>2017</v>
      </c>
      <c r="H107" s="17"/>
      <c r="I107" s="17" t="s">
        <v>157</v>
      </c>
      <c r="K107" s="17">
        <v>2022</v>
      </c>
      <c r="L107" s="17">
        <v>2021</v>
      </c>
      <c r="M107" s="17">
        <v>2020</v>
      </c>
      <c r="N107" s="17">
        <v>2019</v>
      </c>
      <c r="O107" s="17">
        <v>2018</v>
      </c>
      <c r="P107" s="17">
        <v>2017</v>
      </c>
      <c r="Q107" s="22"/>
      <c r="S107" s="29" t="s">
        <v>128</v>
      </c>
      <c r="T107" s="29" t="s">
        <v>130</v>
      </c>
      <c r="U107" s="17">
        <v>2022</v>
      </c>
      <c r="V107" s="17">
        <v>2021</v>
      </c>
      <c r="W107" s="17">
        <v>2020</v>
      </c>
      <c r="X107" s="17">
        <v>2019</v>
      </c>
      <c r="Y107" s="17">
        <v>2018</v>
      </c>
    </row>
    <row r="108" spans="1:25" x14ac:dyDescent="0.25">
      <c r="A108" s="2" t="s">
        <v>188</v>
      </c>
      <c r="B108" s="8">
        <f>+'Phase 2'!B68</f>
        <v>2368</v>
      </c>
      <c r="C108" s="8">
        <f>+'Phase 2'!C68</f>
        <v>1024</v>
      </c>
      <c r="D108" s="8">
        <f>+'Phase 2'!D68</f>
        <v>361</v>
      </c>
      <c r="E108" s="8">
        <f>+'Phase 2'!E68</f>
        <v>1933</v>
      </c>
      <c r="F108" s="8">
        <f>+'Phase 2'!F68</f>
        <v>-10254</v>
      </c>
      <c r="G108" s="8">
        <f>+'Phase 2'!G68</f>
        <v>10932</v>
      </c>
      <c r="H108" s="8"/>
      <c r="I108" s="8">
        <f t="shared" ref="I108:I121" si="86">SUM(B108:G108)</f>
        <v>6364</v>
      </c>
      <c r="K108" s="28"/>
      <c r="L108" s="28"/>
      <c r="M108" s="28"/>
      <c r="N108" s="28"/>
      <c r="O108" s="28"/>
      <c r="P108" s="28"/>
      <c r="Q108" s="28"/>
      <c r="S108" s="28">
        <f t="shared" ref="S108:S128" si="87">RATE(5,0,-G108,B108)</f>
        <v>-0.26356161826246205</v>
      </c>
      <c r="T108" s="28">
        <f t="shared" si="56"/>
        <v>-0.15813412150269723</v>
      </c>
      <c r="U108" s="28">
        <f t="shared" ref="U108:U128" si="88">(+B108-C108)/C108</f>
        <v>1.3125</v>
      </c>
      <c r="V108" s="28">
        <f t="shared" ref="V108:V128" si="89">(+C108-D108)/D108</f>
        <v>1.8365650969529086</v>
      </c>
      <c r="W108" s="28">
        <f t="shared" ref="W108:W128" si="90">(+D108-E108)/E108</f>
        <v>-0.81324366270046555</v>
      </c>
      <c r="X108" s="28">
        <f t="shared" ref="X108:X128" si="91">(+E108-F108)/F108</f>
        <v>-1.1885118002730641</v>
      </c>
      <c r="Y108" s="28">
        <f t="shared" ref="Y108:Y128" si="92">(+F108-G108)/G108</f>
        <v>-1.9379802414928651</v>
      </c>
    </row>
    <row r="109" spans="1:25" x14ac:dyDescent="0.25">
      <c r="A109" s="5" t="s">
        <v>66</v>
      </c>
      <c r="B109" s="2">
        <v>933</v>
      </c>
      <c r="C109" s="2">
        <v>910</v>
      </c>
      <c r="D109" s="2">
        <v>969</v>
      </c>
      <c r="E109" s="2">
        <v>994</v>
      </c>
      <c r="F109" s="2">
        <v>983</v>
      </c>
      <c r="G109" s="2">
        <v>1031</v>
      </c>
      <c r="I109" s="2">
        <f t="shared" si="86"/>
        <v>5820</v>
      </c>
      <c r="K109" s="28"/>
      <c r="L109" s="28"/>
      <c r="M109" s="28"/>
      <c r="N109" s="28"/>
      <c r="O109" s="28"/>
      <c r="P109" s="28"/>
      <c r="Q109" s="28"/>
      <c r="S109" s="28">
        <f t="shared" si="87"/>
        <v>-1.9777661112159107E-2</v>
      </c>
      <c r="T109" s="28">
        <f t="shared" si="56"/>
        <v>-1.9226040021655122E-2</v>
      </c>
      <c r="U109" s="28">
        <f t="shared" si="88"/>
        <v>2.5274725274725275E-2</v>
      </c>
      <c r="V109" s="28">
        <f t="shared" si="89"/>
        <v>-6.0887512899896801E-2</v>
      </c>
      <c r="W109" s="28">
        <f t="shared" si="90"/>
        <v>-2.5150905432595575E-2</v>
      </c>
      <c r="X109" s="28">
        <f t="shared" si="91"/>
        <v>1.1190233977619531E-2</v>
      </c>
      <c r="Y109" s="28">
        <f t="shared" si="92"/>
        <v>-4.6556741028128033E-2</v>
      </c>
    </row>
    <row r="110" spans="1:25" x14ac:dyDescent="0.25">
      <c r="A110" s="5" t="s">
        <v>67</v>
      </c>
      <c r="B110" s="2">
        <v>-14</v>
      </c>
      <c r="C110" s="2">
        <v>-7</v>
      </c>
      <c r="D110" s="2">
        <v>-122</v>
      </c>
      <c r="E110" s="2">
        <v>-306</v>
      </c>
      <c r="F110" s="2">
        <v>-339</v>
      </c>
      <c r="G110" s="2">
        <v>-328</v>
      </c>
      <c r="I110" s="2">
        <f t="shared" si="86"/>
        <v>-1116</v>
      </c>
      <c r="K110" s="28"/>
      <c r="L110" s="28"/>
      <c r="M110" s="28"/>
      <c r="N110" s="28"/>
      <c r="O110" s="28"/>
      <c r="P110" s="28"/>
      <c r="Q110" s="28"/>
      <c r="S110" s="28">
        <f t="shared" si="87"/>
        <v>-0.46782944863591575</v>
      </c>
      <c r="T110" s="28">
        <f t="shared" si="56"/>
        <v>-0.12154773754793299</v>
      </c>
      <c r="U110" s="28">
        <f t="shared" si="88"/>
        <v>1</v>
      </c>
      <c r="V110" s="28">
        <f t="shared" si="89"/>
        <v>-0.94262295081967218</v>
      </c>
      <c r="W110" s="28">
        <f t="shared" si="90"/>
        <v>-0.60130718954248363</v>
      </c>
      <c r="X110" s="28">
        <f t="shared" si="91"/>
        <v>-9.7345132743362831E-2</v>
      </c>
      <c r="Y110" s="28">
        <f t="shared" si="92"/>
        <v>3.3536585365853661E-2</v>
      </c>
    </row>
    <row r="111" spans="1:25" x14ac:dyDescent="0.25">
      <c r="A111" s="5" t="s">
        <v>193</v>
      </c>
      <c r="B111" s="2">
        <v>-56</v>
      </c>
      <c r="C111" s="2">
        <v>-4</v>
      </c>
      <c r="D111" s="2">
        <v>0</v>
      </c>
      <c r="E111" s="2">
        <v>0</v>
      </c>
      <c r="F111" s="2">
        <v>0</v>
      </c>
      <c r="G111" s="2">
        <v>0</v>
      </c>
      <c r="I111" s="2">
        <f t="shared" si="86"/>
        <v>-60</v>
      </c>
      <c r="K111" s="28"/>
      <c r="L111" s="28"/>
      <c r="M111" s="28"/>
      <c r="N111" s="28"/>
      <c r="O111" s="28"/>
      <c r="P111" s="28"/>
      <c r="Q111" s="28"/>
      <c r="S111" s="28" t="e">
        <f t="shared" si="87"/>
        <v>#NUM!</v>
      </c>
      <c r="T111" s="28" t="e">
        <f t="shared" si="56"/>
        <v>#DIV/0!</v>
      </c>
      <c r="U111" s="28">
        <f t="shared" si="88"/>
        <v>13</v>
      </c>
      <c r="V111" s="28" t="e">
        <f t="shared" si="89"/>
        <v>#DIV/0!</v>
      </c>
      <c r="W111" s="28" t="e">
        <f t="shared" si="90"/>
        <v>#DIV/0!</v>
      </c>
      <c r="X111" s="28" t="e">
        <f t="shared" si="91"/>
        <v>#DIV/0!</v>
      </c>
      <c r="Y111" s="28" t="e">
        <f t="shared" si="92"/>
        <v>#DIV/0!</v>
      </c>
    </row>
    <row r="112" spans="1:25" x14ac:dyDescent="0.25">
      <c r="A112" s="5" t="s">
        <v>68</v>
      </c>
      <c r="B112" s="2">
        <v>148</v>
      </c>
      <c r="C112" s="2">
        <v>197</v>
      </c>
      <c r="D112" s="2">
        <v>156</v>
      </c>
      <c r="E112" s="2">
        <v>46</v>
      </c>
      <c r="F112" s="2">
        <v>33</v>
      </c>
      <c r="G112" s="2">
        <v>46</v>
      </c>
      <c r="I112" s="2">
        <f t="shared" si="86"/>
        <v>626</v>
      </c>
      <c r="K112" s="28"/>
      <c r="L112" s="28"/>
      <c r="M112" s="28"/>
      <c r="N112" s="28"/>
      <c r="O112" s="28"/>
      <c r="P112" s="28"/>
      <c r="Q112" s="28"/>
      <c r="S112" s="28">
        <f t="shared" si="87"/>
        <v>0.2632833632037212</v>
      </c>
      <c r="T112" s="28">
        <f t="shared" si="56"/>
        <v>0.50334491889336297</v>
      </c>
      <c r="U112" s="28">
        <f t="shared" si="88"/>
        <v>-0.24873096446700507</v>
      </c>
      <c r="V112" s="28">
        <f t="shared" si="89"/>
        <v>0.26282051282051283</v>
      </c>
      <c r="W112" s="28">
        <f t="shared" si="90"/>
        <v>2.3913043478260869</v>
      </c>
      <c r="X112" s="28">
        <f t="shared" si="91"/>
        <v>0.39393939393939392</v>
      </c>
      <c r="Y112" s="28">
        <f t="shared" si="92"/>
        <v>-0.28260869565217389</v>
      </c>
    </row>
    <row r="113" spans="1:25" x14ac:dyDescent="0.25">
      <c r="A113" s="5" t="s">
        <v>28</v>
      </c>
      <c r="B113" s="2">
        <v>-278</v>
      </c>
      <c r="C113" s="2">
        <v>-1042</v>
      </c>
      <c r="D113" s="2">
        <v>-343</v>
      </c>
      <c r="E113" s="2">
        <v>-293</v>
      </c>
      <c r="F113" s="2">
        <v>-1967</v>
      </c>
      <c r="G113" s="2">
        <v>-6495</v>
      </c>
      <c r="I113" s="2">
        <f t="shared" si="86"/>
        <v>-10418</v>
      </c>
      <c r="K113" s="28"/>
      <c r="L113" s="28"/>
      <c r="M113" s="28"/>
      <c r="N113" s="28"/>
      <c r="O113" s="28"/>
      <c r="P113" s="28"/>
      <c r="Q113" s="28"/>
      <c r="S113" s="28">
        <f t="shared" si="87"/>
        <v>-0.46753247175287116</v>
      </c>
      <c r="T113" s="28">
        <f t="shared" si="56"/>
        <v>-1.4569977367617493E-2</v>
      </c>
      <c r="U113" s="28">
        <f t="shared" si="88"/>
        <v>-0.73320537428023036</v>
      </c>
      <c r="V113" s="28">
        <f t="shared" si="89"/>
        <v>2.0379008746355685</v>
      </c>
      <c r="W113" s="28">
        <f t="shared" si="90"/>
        <v>0.17064846416382254</v>
      </c>
      <c r="X113" s="28">
        <f t="shared" si="91"/>
        <v>-0.85104219623792576</v>
      </c>
      <c r="Y113" s="28">
        <f t="shared" si="92"/>
        <v>-0.69715165511932253</v>
      </c>
    </row>
    <row r="114" spans="1:25" x14ac:dyDescent="0.25">
      <c r="A114" s="5" t="s">
        <v>69</v>
      </c>
      <c r="B114" s="2">
        <v>-23</v>
      </c>
      <c r="C114" s="2">
        <v>-27</v>
      </c>
      <c r="D114" s="2">
        <v>-27</v>
      </c>
      <c r="E114" s="2">
        <v>-32</v>
      </c>
      <c r="F114" s="2">
        <v>-76</v>
      </c>
      <c r="G114" s="2">
        <v>-1659</v>
      </c>
      <c r="I114" s="2">
        <f t="shared" si="86"/>
        <v>-1844</v>
      </c>
      <c r="K114" s="28"/>
      <c r="L114" s="28"/>
      <c r="M114" s="28"/>
      <c r="N114" s="28"/>
      <c r="O114" s="28"/>
      <c r="P114" s="28"/>
      <c r="Q114" s="28"/>
      <c r="S114" s="28">
        <f t="shared" si="87"/>
        <v>-0.57501236935767197</v>
      </c>
      <c r="T114" s="28">
        <f t="shared" si="56"/>
        <v>-0.36750695744283352</v>
      </c>
      <c r="U114" s="28">
        <f t="shared" si="88"/>
        <v>-0.14814814814814814</v>
      </c>
      <c r="V114" s="28">
        <f t="shared" si="89"/>
        <v>0</v>
      </c>
      <c r="W114" s="28">
        <f t="shared" si="90"/>
        <v>-0.15625</v>
      </c>
      <c r="X114" s="28">
        <f t="shared" si="91"/>
        <v>-0.57894736842105265</v>
      </c>
      <c r="Y114" s="28">
        <f t="shared" si="92"/>
        <v>-0.95418927064496684</v>
      </c>
    </row>
    <row r="115" spans="1:25" x14ac:dyDescent="0.25">
      <c r="A115" s="5" t="s">
        <v>70</v>
      </c>
      <c r="B115" s="2">
        <v>913</v>
      </c>
      <c r="C115" s="2">
        <v>1634</v>
      </c>
      <c r="D115" s="2">
        <v>3399</v>
      </c>
      <c r="E115" s="2">
        <v>1899</v>
      </c>
      <c r="F115" s="2">
        <v>15936</v>
      </c>
      <c r="G115" s="2">
        <v>49</v>
      </c>
      <c r="I115" s="2">
        <f t="shared" si="86"/>
        <v>23830</v>
      </c>
      <c r="K115" s="28"/>
      <c r="L115" s="28"/>
      <c r="M115" s="28"/>
      <c r="N115" s="28"/>
      <c r="O115" s="28"/>
      <c r="P115" s="28"/>
      <c r="Q115" s="28"/>
      <c r="S115" s="28">
        <f t="shared" si="87"/>
        <v>0.79496068015980603</v>
      </c>
      <c r="T115" s="28">
        <f t="shared" si="56"/>
        <v>64.634604904875033</v>
      </c>
      <c r="U115" s="28">
        <f t="shared" si="88"/>
        <v>-0.44124847001223988</v>
      </c>
      <c r="V115" s="28">
        <f t="shared" si="89"/>
        <v>-0.51927037363930573</v>
      </c>
      <c r="W115" s="28">
        <f t="shared" si="90"/>
        <v>0.78988941548183256</v>
      </c>
      <c r="X115" s="28">
        <f t="shared" si="91"/>
        <v>-0.88083584337349397</v>
      </c>
      <c r="Y115" s="28">
        <f t="shared" si="92"/>
        <v>324.22448979591837</v>
      </c>
    </row>
    <row r="116" spans="1:25" x14ac:dyDescent="0.25">
      <c r="A116" s="5" t="s">
        <v>71</v>
      </c>
      <c r="B116" s="2">
        <v>17</v>
      </c>
      <c r="C116" s="2">
        <v>0</v>
      </c>
      <c r="D116" s="2">
        <v>6</v>
      </c>
      <c r="E116" s="2">
        <v>10</v>
      </c>
      <c r="F116" s="2">
        <v>146</v>
      </c>
      <c r="G116" s="2">
        <v>36</v>
      </c>
      <c r="I116" s="2">
        <f t="shared" si="86"/>
        <v>215</v>
      </c>
      <c r="K116" s="28"/>
      <c r="L116" s="28"/>
      <c r="M116" s="28"/>
      <c r="N116" s="28"/>
      <c r="O116" s="28"/>
      <c r="P116" s="28"/>
      <c r="Q116" s="28"/>
      <c r="S116" s="28">
        <f t="shared" si="87"/>
        <v>-0.13934462747481444</v>
      </c>
      <c r="T116" s="28" t="e">
        <f t="shared" si="56"/>
        <v>#DIV/0!</v>
      </c>
      <c r="U116" s="28" t="e">
        <f t="shared" si="88"/>
        <v>#DIV/0!</v>
      </c>
      <c r="V116" s="28">
        <f t="shared" si="89"/>
        <v>-1</v>
      </c>
      <c r="W116" s="28">
        <f t="shared" si="90"/>
        <v>-0.4</v>
      </c>
      <c r="X116" s="28">
        <f t="shared" si="91"/>
        <v>-0.93150684931506844</v>
      </c>
      <c r="Y116" s="28">
        <f t="shared" si="92"/>
        <v>3.0555555555555554</v>
      </c>
    </row>
    <row r="117" spans="1:25" x14ac:dyDescent="0.25">
      <c r="A117" s="5" t="s">
        <v>72</v>
      </c>
      <c r="B117" s="2">
        <v>-25</v>
      </c>
      <c r="C117" s="2">
        <v>-44</v>
      </c>
      <c r="D117" s="2">
        <v>2</v>
      </c>
      <c r="E117" s="2">
        <v>-420</v>
      </c>
      <c r="F117" s="2">
        <v>15</v>
      </c>
      <c r="G117" s="2">
        <v>0</v>
      </c>
      <c r="I117" s="2">
        <f t="shared" si="86"/>
        <v>-472</v>
      </c>
      <c r="K117" s="28"/>
      <c r="L117" s="28"/>
      <c r="M117" s="28"/>
      <c r="N117" s="28"/>
      <c r="O117" s="28"/>
      <c r="P117" s="28"/>
      <c r="Q117" s="28"/>
      <c r="S117" s="28" t="e">
        <f t="shared" si="87"/>
        <v>#NUM!</v>
      </c>
      <c r="T117" s="28" t="e">
        <f t="shared" si="56"/>
        <v>#DIV/0!</v>
      </c>
      <c r="U117" s="28">
        <f t="shared" si="88"/>
        <v>-0.43181818181818182</v>
      </c>
      <c r="V117" s="28">
        <f t="shared" si="89"/>
        <v>-23</v>
      </c>
      <c r="W117" s="28">
        <f t="shared" si="90"/>
        <v>-1.0047619047619047</v>
      </c>
      <c r="X117" s="28">
        <f t="shared" si="91"/>
        <v>-29</v>
      </c>
      <c r="Y117" s="28" t="e">
        <f t="shared" si="92"/>
        <v>#DIV/0!</v>
      </c>
    </row>
    <row r="118" spans="1:25" x14ac:dyDescent="0.25">
      <c r="A118" s="5" t="s">
        <v>194</v>
      </c>
      <c r="B118" s="2">
        <v>0</v>
      </c>
      <c r="C118" s="2">
        <v>1587</v>
      </c>
      <c r="D118" s="2">
        <v>0</v>
      </c>
      <c r="E118" s="2">
        <v>0</v>
      </c>
      <c r="F118" s="2">
        <v>0</v>
      </c>
      <c r="G118" s="2">
        <v>0</v>
      </c>
      <c r="I118" s="2">
        <f t="shared" si="86"/>
        <v>1587</v>
      </c>
      <c r="K118" s="28"/>
      <c r="L118" s="28"/>
      <c r="M118" s="28"/>
      <c r="N118" s="28"/>
      <c r="O118" s="28"/>
      <c r="P118" s="28"/>
      <c r="Q118" s="28"/>
      <c r="S118" s="28" t="e">
        <f t="shared" si="87"/>
        <v>#NUM!</v>
      </c>
      <c r="T118" s="28" t="e">
        <f t="shared" si="56"/>
        <v>#DIV/0!</v>
      </c>
      <c r="U118" s="28">
        <f t="shared" si="88"/>
        <v>-1</v>
      </c>
      <c r="V118" s="28" t="e">
        <f t="shared" si="89"/>
        <v>#DIV/0!</v>
      </c>
      <c r="W118" s="28" t="e">
        <f t="shared" si="90"/>
        <v>#DIV/0!</v>
      </c>
      <c r="X118" s="28" t="e">
        <f t="shared" si="91"/>
        <v>#DIV/0!</v>
      </c>
      <c r="Y118" s="28" t="e">
        <f t="shared" si="92"/>
        <v>#DIV/0!</v>
      </c>
    </row>
    <row r="119" spans="1:25" x14ac:dyDescent="0.25">
      <c r="A119" s="5" t="s">
        <v>74</v>
      </c>
      <c r="B119" s="2">
        <v>-38</v>
      </c>
      <c r="C119" s="2">
        <v>917</v>
      </c>
      <c r="D119" s="2">
        <v>124</v>
      </c>
      <c r="E119" s="2">
        <v>0</v>
      </c>
      <c r="F119" s="2">
        <v>0</v>
      </c>
      <c r="G119" s="2">
        <v>0</v>
      </c>
      <c r="I119" s="2">
        <f t="shared" si="86"/>
        <v>1003</v>
      </c>
      <c r="K119" s="28"/>
      <c r="L119" s="28"/>
      <c r="M119" s="28"/>
      <c r="N119" s="28"/>
      <c r="O119" s="28"/>
      <c r="P119" s="28"/>
      <c r="Q119" s="28"/>
      <c r="S119" s="28" t="e">
        <f t="shared" si="87"/>
        <v>#NUM!</v>
      </c>
      <c r="T119" s="28" t="e">
        <f t="shared" si="56"/>
        <v>#DIV/0!</v>
      </c>
      <c r="U119" s="28">
        <f t="shared" si="88"/>
        <v>-1.0414394765539803</v>
      </c>
      <c r="V119" s="28">
        <f t="shared" si="89"/>
        <v>6.395161290322581</v>
      </c>
      <c r="W119" s="28" t="e">
        <f t="shared" si="90"/>
        <v>#DIV/0!</v>
      </c>
      <c r="X119" s="28" t="e">
        <f t="shared" si="91"/>
        <v>#DIV/0!</v>
      </c>
      <c r="Y119" s="28" t="e">
        <f t="shared" si="92"/>
        <v>#DIV/0!</v>
      </c>
    </row>
    <row r="120" spans="1:25" x14ac:dyDescent="0.25">
      <c r="A120" s="5" t="s">
        <v>75</v>
      </c>
      <c r="B120" s="2">
        <v>7</v>
      </c>
      <c r="C120" s="2">
        <v>-187</v>
      </c>
      <c r="D120" s="2">
        <v>-54</v>
      </c>
      <c r="E120" s="2">
        <v>-46</v>
      </c>
      <c r="F120" s="2">
        <v>160</v>
      </c>
      <c r="G120" s="2">
        <v>253</v>
      </c>
      <c r="I120" s="2">
        <f t="shared" si="86"/>
        <v>133</v>
      </c>
      <c r="K120" s="28"/>
      <c r="L120" s="28"/>
      <c r="M120" s="28"/>
      <c r="N120" s="28"/>
      <c r="O120" s="28"/>
      <c r="P120" s="28"/>
      <c r="Q120" s="28"/>
      <c r="S120" s="30">
        <f t="shared" si="87"/>
        <v>-0.51202732470001944</v>
      </c>
      <c r="T120" s="30">
        <f t="shared" si="56"/>
        <v>-1.1129216289062849E-2</v>
      </c>
      <c r="U120" s="30">
        <f t="shared" si="88"/>
        <v>-1.0374331550802138</v>
      </c>
      <c r="V120" s="30">
        <f t="shared" si="89"/>
        <v>2.4629629629629628</v>
      </c>
      <c r="W120" s="30">
        <f t="shared" si="90"/>
        <v>0.17391304347826086</v>
      </c>
      <c r="X120" s="30">
        <f t="shared" si="91"/>
        <v>-1.2875000000000001</v>
      </c>
      <c r="Y120" s="30">
        <f t="shared" si="92"/>
        <v>-0.3675889328063241</v>
      </c>
    </row>
    <row r="121" spans="1:25" x14ac:dyDescent="0.25">
      <c r="A121" s="19" t="s">
        <v>76</v>
      </c>
      <c r="B121" s="20">
        <f>SUM(B108:B120)</f>
        <v>3952</v>
      </c>
      <c r="C121" s="20">
        <f t="shared" ref="C121:G121" si="93">SUM(C108:C120)</f>
        <v>4958</v>
      </c>
      <c r="D121" s="20">
        <f t="shared" si="93"/>
        <v>4471</v>
      </c>
      <c r="E121" s="20">
        <f t="shared" si="93"/>
        <v>3785</v>
      </c>
      <c r="F121" s="20">
        <f t="shared" si="93"/>
        <v>4637</v>
      </c>
      <c r="G121" s="20">
        <f t="shared" si="93"/>
        <v>3865</v>
      </c>
      <c r="H121" s="20"/>
      <c r="I121" s="20">
        <f t="shared" si="86"/>
        <v>25668</v>
      </c>
      <c r="K121" s="28"/>
      <c r="L121" s="28"/>
      <c r="M121" s="28"/>
      <c r="N121" s="28"/>
      <c r="O121" s="28"/>
      <c r="P121" s="28"/>
      <c r="Q121" s="28"/>
      <c r="S121" s="28">
        <f t="shared" si="87"/>
        <v>4.461944531612725E-3</v>
      </c>
      <c r="T121" s="28">
        <f t="shared" si="56"/>
        <v>2.0652661175588411E-2</v>
      </c>
      <c r="U121" s="28">
        <f t="shared" si="88"/>
        <v>-0.20290439693424769</v>
      </c>
      <c r="V121" s="28">
        <f t="shared" si="89"/>
        <v>0.1089241780362335</v>
      </c>
      <c r="W121" s="28">
        <f t="shared" si="90"/>
        <v>0.18124174372523116</v>
      </c>
      <c r="X121" s="28">
        <f t="shared" si="91"/>
        <v>-0.18373948673711452</v>
      </c>
      <c r="Y121" s="28">
        <f t="shared" si="92"/>
        <v>0.1997412677878396</v>
      </c>
    </row>
    <row r="122" spans="1:25" x14ac:dyDescent="0.25">
      <c r="A122" s="2" t="s">
        <v>77</v>
      </c>
      <c r="K122" s="28"/>
      <c r="L122" s="28"/>
      <c r="M122" s="28"/>
      <c r="N122" s="28"/>
      <c r="O122" s="28"/>
      <c r="P122" s="28"/>
      <c r="Q122" s="28"/>
      <c r="S122" s="28" t="e">
        <f t="shared" si="87"/>
        <v>#NUM!</v>
      </c>
      <c r="T122" s="28" t="e">
        <f t="shared" si="56"/>
        <v>#DIV/0!</v>
      </c>
      <c r="U122" s="28" t="e">
        <f t="shared" si="88"/>
        <v>#DIV/0!</v>
      </c>
      <c r="V122" s="28" t="e">
        <f t="shared" si="89"/>
        <v>#DIV/0!</v>
      </c>
      <c r="W122" s="28" t="e">
        <f t="shared" si="90"/>
        <v>#DIV/0!</v>
      </c>
      <c r="X122" s="28" t="e">
        <f t="shared" si="91"/>
        <v>#DIV/0!</v>
      </c>
      <c r="Y122" s="28" t="e">
        <f t="shared" si="92"/>
        <v>#DIV/0!</v>
      </c>
    </row>
    <row r="123" spans="1:25" x14ac:dyDescent="0.25">
      <c r="A123" s="5" t="s">
        <v>7</v>
      </c>
      <c r="B123" s="2">
        <v>-228</v>
      </c>
      <c r="C123" s="2">
        <v>87</v>
      </c>
      <c r="D123" s="2">
        <v>-26</v>
      </c>
      <c r="E123" s="2">
        <v>140</v>
      </c>
      <c r="F123" s="2">
        <v>-2280</v>
      </c>
      <c r="G123" s="2">
        <v>-2629</v>
      </c>
      <c r="I123" s="2">
        <f t="shared" ref="I123:I128" si="94">SUM(B123:G123)</f>
        <v>-4936</v>
      </c>
      <c r="K123" s="28"/>
      <c r="L123" s="28"/>
      <c r="M123" s="28"/>
      <c r="N123" s="28"/>
      <c r="O123" s="28"/>
      <c r="P123" s="28"/>
      <c r="Q123" s="28"/>
      <c r="S123" s="28">
        <f t="shared" si="87"/>
        <v>-0.38676229142799318</v>
      </c>
      <c r="T123" s="28">
        <f t="shared" si="56"/>
        <v>-2.069342278181133</v>
      </c>
      <c r="U123" s="28">
        <f t="shared" si="88"/>
        <v>-3.6206896551724137</v>
      </c>
      <c r="V123" s="28">
        <f t="shared" si="89"/>
        <v>-4.3461538461538458</v>
      </c>
      <c r="W123" s="28">
        <f t="shared" si="90"/>
        <v>-1.1857142857142857</v>
      </c>
      <c r="X123" s="28">
        <f t="shared" si="91"/>
        <v>-1.0614035087719298</v>
      </c>
      <c r="Y123" s="28">
        <f t="shared" si="92"/>
        <v>-0.13275009509319133</v>
      </c>
    </row>
    <row r="124" spans="1:25" x14ac:dyDescent="0.25">
      <c r="A124" s="5" t="s">
        <v>8</v>
      </c>
      <c r="B124" s="2">
        <v>-1121</v>
      </c>
      <c r="C124" s="2">
        <v>-144</v>
      </c>
      <c r="D124" s="2">
        <v>-249</v>
      </c>
      <c r="E124" s="2">
        <v>-277</v>
      </c>
      <c r="F124" s="2">
        <v>-251</v>
      </c>
      <c r="G124" s="2">
        <v>-236</v>
      </c>
      <c r="I124" s="2">
        <f t="shared" si="94"/>
        <v>-2278</v>
      </c>
      <c r="K124" s="28"/>
      <c r="L124" s="28"/>
      <c r="M124" s="28"/>
      <c r="N124" s="28"/>
      <c r="O124" s="28"/>
      <c r="P124" s="28"/>
      <c r="Q124" s="28"/>
      <c r="S124" s="28">
        <f t="shared" si="87"/>
        <v>0.36564783932642692</v>
      </c>
      <c r="T124" s="28">
        <f t="shared" si="56"/>
        <v>1.2858194844295423</v>
      </c>
      <c r="U124" s="28">
        <f t="shared" si="88"/>
        <v>6.7847222222222223</v>
      </c>
      <c r="V124" s="28">
        <f t="shared" si="89"/>
        <v>-0.42168674698795183</v>
      </c>
      <c r="W124" s="28">
        <f t="shared" si="90"/>
        <v>-0.10108303249097472</v>
      </c>
      <c r="X124" s="28">
        <f t="shared" si="91"/>
        <v>0.10358565737051793</v>
      </c>
      <c r="Y124" s="28">
        <f t="shared" si="92"/>
        <v>6.3559322033898302E-2</v>
      </c>
    </row>
    <row r="125" spans="1:25" x14ac:dyDescent="0.25">
      <c r="A125" s="5" t="s">
        <v>78</v>
      </c>
      <c r="B125" s="2">
        <v>152</v>
      </c>
      <c r="C125" s="2">
        <v>408</v>
      </c>
      <c r="D125" s="2">
        <v>207</v>
      </c>
      <c r="E125" s="2">
        <v>-58</v>
      </c>
      <c r="F125" s="2">
        <v>-23</v>
      </c>
      <c r="G125" s="2">
        <v>441</v>
      </c>
      <c r="I125" s="2">
        <f t="shared" si="94"/>
        <v>1127</v>
      </c>
      <c r="K125" s="28"/>
      <c r="L125" s="28"/>
      <c r="M125" s="28"/>
      <c r="N125" s="28"/>
      <c r="O125" s="28"/>
      <c r="P125" s="28"/>
      <c r="Q125" s="28"/>
      <c r="S125" s="28">
        <f t="shared" si="87"/>
        <v>-0.19187042718273711</v>
      </c>
      <c r="T125" s="28">
        <f t="shared" si="56"/>
        <v>-0.75116341389129349</v>
      </c>
      <c r="U125" s="28">
        <f t="shared" si="88"/>
        <v>-0.62745098039215685</v>
      </c>
      <c r="V125" s="28">
        <f t="shared" si="89"/>
        <v>0.97101449275362317</v>
      </c>
      <c r="W125" s="28">
        <f t="shared" si="90"/>
        <v>-4.568965517241379</v>
      </c>
      <c r="X125" s="28">
        <f t="shared" si="91"/>
        <v>1.5217391304347827</v>
      </c>
      <c r="Y125" s="28">
        <f t="shared" si="92"/>
        <v>-1.0521541950113378</v>
      </c>
    </row>
    <row r="126" spans="1:25" x14ac:dyDescent="0.25">
      <c r="A126" s="5" t="s">
        <v>10</v>
      </c>
      <c r="B126" s="2">
        <v>-314</v>
      </c>
      <c r="C126" s="2">
        <v>-32</v>
      </c>
      <c r="D126" s="2">
        <v>40</v>
      </c>
      <c r="E126" s="2">
        <v>52</v>
      </c>
      <c r="F126" s="2">
        <v>-146</v>
      </c>
      <c r="G126" s="2">
        <v>-64</v>
      </c>
      <c r="I126" s="2">
        <f t="shared" si="94"/>
        <v>-464</v>
      </c>
      <c r="K126" s="28"/>
      <c r="L126" s="28"/>
      <c r="M126" s="28"/>
      <c r="N126" s="28"/>
      <c r="O126" s="28"/>
      <c r="P126" s="28"/>
      <c r="Q126" s="28"/>
      <c r="S126" s="28">
        <f t="shared" si="87"/>
        <v>0.37451642796623941</v>
      </c>
      <c r="T126" s="28">
        <f t="shared" si="56"/>
        <v>1.3413632771338251</v>
      </c>
      <c r="U126" s="28">
        <f t="shared" si="88"/>
        <v>8.8125</v>
      </c>
      <c r="V126" s="28">
        <f t="shared" si="89"/>
        <v>-1.8</v>
      </c>
      <c r="W126" s="28">
        <f t="shared" si="90"/>
        <v>-0.23076923076923078</v>
      </c>
      <c r="X126" s="28">
        <f t="shared" si="91"/>
        <v>-1.3561643835616439</v>
      </c>
      <c r="Y126" s="28">
        <f t="shared" si="92"/>
        <v>1.28125</v>
      </c>
    </row>
    <row r="127" spans="1:25" x14ac:dyDescent="0.25">
      <c r="A127" s="5" t="s">
        <v>24</v>
      </c>
      <c r="B127" s="2">
        <v>28</v>
      </c>
      <c r="C127" s="2">
        <v>87</v>
      </c>
      <c r="D127" s="2">
        <v>486</v>
      </c>
      <c r="E127" s="2">
        <v>-90</v>
      </c>
      <c r="F127" s="2">
        <v>637</v>
      </c>
      <c r="G127" s="2">
        <v>-876</v>
      </c>
      <c r="I127" s="2">
        <f t="shared" si="94"/>
        <v>272</v>
      </c>
      <c r="K127" s="28"/>
      <c r="L127" s="28"/>
      <c r="M127" s="28"/>
      <c r="N127" s="28"/>
      <c r="O127" s="28"/>
      <c r="P127" s="28"/>
      <c r="Q127" s="28"/>
      <c r="S127" s="28" t="e">
        <f t="shared" si="87"/>
        <v>#NUM!</v>
      </c>
      <c r="T127" s="28">
        <f t="shared" si="56"/>
        <v>-2.1535209615554671</v>
      </c>
      <c r="U127" s="28">
        <f t="shared" si="88"/>
        <v>-0.67816091954022983</v>
      </c>
      <c r="V127" s="28">
        <f t="shared" si="89"/>
        <v>-0.82098765432098764</v>
      </c>
      <c r="W127" s="28">
        <f t="shared" si="90"/>
        <v>-6.4</v>
      </c>
      <c r="X127" s="28">
        <f t="shared" si="91"/>
        <v>-1.141287284144427</v>
      </c>
      <c r="Y127" s="28">
        <f t="shared" si="92"/>
        <v>-1.7271689497716896</v>
      </c>
    </row>
    <row r="128" spans="1:25" x14ac:dyDescent="0.25">
      <c r="A128" s="2" t="s">
        <v>79</v>
      </c>
      <c r="B128" s="10">
        <f>SUM(B121:B127)</f>
        <v>2469</v>
      </c>
      <c r="C128" s="10">
        <f t="shared" ref="C128:G128" si="95">SUM(C121:C127)</f>
        <v>5364</v>
      </c>
      <c r="D128" s="10">
        <f t="shared" si="95"/>
        <v>4929</v>
      </c>
      <c r="E128" s="10">
        <f t="shared" si="95"/>
        <v>3552</v>
      </c>
      <c r="F128" s="10">
        <f t="shared" si="95"/>
        <v>2574</v>
      </c>
      <c r="G128" s="10">
        <f t="shared" si="95"/>
        <v>501</v>
      </c>
      <c r="H128" s="10"/>
      <c r="I128" s="10">
        <f t="shared" si="94"/>
        <v>19389</v>
      </c>
      <c r="K128" s="33">
        <f t="shared" ref="K128:P128" si="96">+B128/B$128</f>
        <v>1</v>
      </c>
      <c r="L128" s="33">
        <f t="shared" si="96"/>
        <v>1</v>
      </c>
      <c r="M128" s="33">
        <f t="shared" si="96"/>
        <v>1</v>
      </c>
      <c r="N128" s="33">
        <f t="shared" si="96"/>
        <v>1</v>
      </c>
      <c r="O128" s="33">
        <f t="shared" si="96"/>
        <v>1</v>
      </c>
      <c r="P128" s="33">
        <f t="shared" si="96"/>
        <v>1</v>
      </c>
      <c r="Q128" s="33"/>
      <c r="R128" s="10"/>
      <c r="S128" s="33">
        <f t="shared" si="87"/>
        <v>0.37574097606482232</v>
      </c>
      <c r="T128" s="33">
        <f t="shared" si="56"/>
        <v>0.89077817457706199</v>
      </c>
      <c r="U128" s="33">
        <f t="shared" si="88"/>
        <v>-0.53970917225950787</v>
      </c>
      <c r="V128" s="33">
        <f t="shared" si="89"/>
        <v>8.825319537431528E-2</v>
      </c>
      <c r="W128" s="33">
        <f t="shared" si="90"/>
        <v>0.38766891891891891</v>
      </c>
      <c r="X128" s="33">
        <f t="shared" si="91"/>
        <v>0.37995337995337997</v>
      </c>
      <c r="Y128" s="33">
        <f t="shared" si="92"/>
        <v>4.1377245508982039</v>
      </c>
    </row>
    <row r="129" spans="1:25" x14ac:dyDescent="0.25">
      <c r="A129" s="2" t="s">
        <v>180</v>
      </c>
      <c r="B129" s="34"/>
      <c r="C129" s="34"/>
      <c r="D129" s="34"/>
      <c r="E129" s="34"/>
      <c r="F129" s="34"/>
      <c r="G129" s="34"/>
      <c r="H129" s="34"/>
      <c r="I129" s="34"/>
      <c r="K129" s="37"/>
      <c r="L129" s="37"/>
      <c r="M129" s="37"/>
      <c r="N129" s="37"/>
      <c r="O129" s="37"/>
      <c r="P129" s="37"/>
      <c r="Q129" s="37"/>
      <c r="R129" s="34"/>
      <c r="S129" s="37"/>
      <c r="T129" s="37"/>
      <c r="U129" s="37"/>
      <c r="V129" s="37"/>
      <c r="W129" s="37"/>
      <c r="X129" s="37"/>
      <c r="Y129" s="37"/>
    </row>
    <row r="130" spans="1:25" x14ac:dyDescent="0.25">
      <c r="A130" s="5" t="s">
        <v>181</v>
      </c>
      <c r="B130" s="36">
        <f>+B60+B123</f>
        <v>26257</v>
      </c>
      <c r="C130" s="36">
        <f t="shared" ref="C130:G130" si="97">+C60+C123</f>
        <v>26129</v>
      </c>
      <c r="D130" s="36">
        <f t="shared" si="97"/>
        <v>26159</v>
      </c>
      <c r="E130" s="36">
        <f t="shared" si="97"/>
        <v>25117</v>
      </c>
      <c r="F130" s="36">
        <f t="shared" si="97"/>
        <v>23988</v>
      </c>
      <c r="G130" s="36">
        <f t="shared" si="97"/>
        <v>23447</v>
      </c>
      <c r="H130" s="36"/>
      <c r="I130" s="36">
        <f t="shared" ref="I130:I139" si="98">SUM(B130:G130)</f>
        <v>151097</v>
      </c>
      <c r="J130"/>
      <c r="K130" s="37"/>
      <c r="L130" s="37"/>
      <c r="M130" s="37"/>
      <c r="N130" s="37"/>
      <c r="O130" s="37"/>
      <c r="P130" s="37"/>
      <c r="Q130" s="37"/>
      <c r="R130" s="34"/>
      <c r="S130" s="37"/>
      <c r="T130" s="37"/>
      <c r="U130" s="37"/>
      <c r="V130" s="37"/>
      <c r="W130" s="37"/>
      <c r="X130" s="37"/>
      <c r="Y130" s="37"/>
    </row>
    <row r="131" spans="1:25" x14ac:dyDescent="0.25">
      <c r="A131" s="5" t="s">
        <v>182</v>
      </c>
      <c r="B131" s="34">
        <f>-B61+B124+B125</f>
        <v>-19332</v>
      </c>
      <c r="C131" s="34">
        <f t="shared" ref="C131:G131" si="99">-C61+C124+C125</f>
        <v>-17096</v>
      </c>
      <c r="D131" s="34">
        <f t="shared" si="99"/>
        <v>-17050</v>
      </c>
      <c r="E131" s="34">
        <f t="shared" si="99"/>
        <v>-17165</v>
      </c>
      <c r="F131" s="34">
        <f t="shared" si="99"/>
        <v>-17621</v>
      </c>
      <c r="G131" s="34">
        <f t="shared" si="99"/>
        <v>-16838</v>
      </c>
      <c r="H131" s="34"/>
      <c r="I131" s="34">
        <f t="shared" si="98"/>
        <v>-105102</v>
      </c>
      <c r="K131" s="37"/>
      <c r="L131" s="37"/>
      <c r="M131" s="37"/>
      <c r="N131" s="37"/>
      <c r="O131" s="37"/>
      <c r="P131" s="37"/>
      <c r="Q131" s="37"/>
      <c r="R131" s="34"/>
      <c r="S131" s="37"/>
      <c r="T131" s="37"/>
      <c r="U131" s="37"/>
      <c r="V131" s="37"/>
      <c r="W131" s="37"/>
      <c r="X131" s="37"/>
      <c r="Y131" s="37"/>
    </row>
    <row r="132" spans="1:25" x14ac:dyDescent="0.25">
      <c r="A132" s="5" t="s">
        <v>183</v>
      </c>
      <c r="B132" s="41">
        <f>+B130+B131</f>
        <v>6925</v>
      </c>
      <c r="C132" s="41">
        <f t="shared" ref="C132:G132" si="100">+C130+C131</f>
        <v>9033</v>
      </c>
      <c r="D132" s="6">
        <f t="shared" si="100"/>
        <v>9109</v>
      </c>
      <c r="E132" s="6">
        <f t="shared" si="100"/>
        <v>7952</v>
      </c>
      <c r="F132" s="6">
        <f t="shared" si="100"/>
        <v>6367</v>
      </c>
      <c r="G132" s="6">
        <f t="shared" si="100"/>
        <v>6609</v>
      </c>
      <c r="H132" s="6"/>
      <c r="I132" s="6">
        <f t="shared" si="98"/>
        <v>45995</v>
      </c>
      <c r="K132" s="37"/>
      <c r="L132" s="37"/>
      <c r="M132" s="37"/>
      <c r="N132" s="37"/>
      <c r="O132" s="37"/>
      <c r="P132" s="37"/>
      <c r="Q132" s="37"/>
      <c r="R132" s="34"/>
      <c r="S132" s="37"/>
      <c r="T132" s="37"/>
      <c r="U132" s="37"/>
      <c r="V132" s="37"/>
      <c r="W132" s="37"/>
      <c r="X132" s="37"/>
      <c r="Y132" s="37"/>
    </row>
    <row r="133" spans="1:25" x14ac:dyDescent="0.25">
      <c r="A133" s="5" t="s">
        <v>184</v>
      </c>
      <c r="B133" s="34">
        <f>-B198</f>
        <v>-937</v>
      </c>
      <c r="C133" s="34">
        <f t="shared" ref="B133:G134" si="101">-C198</f>
        <v>-1196</v>
      </c>
      <c r="D133" s="34">
        <f t="shared" si="101"/>
        <v>-1286</v>
      </c>
      <c r="E133" s="34">
        <f t="shared" si="101"/>
        <v>-1306</v>
      </c>
      <c r="F133" s="34">
        <f t="shared" si="101"/>
        <v>-1322</v>
      </c>
      <c r="G133" s="34">
        <f t="shared" si="101"/>
        <v>-1269</v>
      </c>
      <c r="H133" s="34"/>
      <c r="I133" s="34">
        <f t="shared" si="98"/>
        <v>-7316</v>
      </c>
      <c r="K133" s="37"/>
      <c r="L133" s="37"/>
      <c r="M133" s="37"/>
      <c r="N133" s="37"/>
      <c r="O133" s="37"/>
      <c r="P133" s="37"/>
      <c r="Q133" s="37"/>
      <c r="R133" s="34"/>
      <c r="S133" s="37"/>
      <c r="T133" s="37"/>
      <c r="U133" s="37"/>
      <c r="V133" s="37"/>
      <c r="W133" s="37"/>
      <c r="X133" s="37"/>
      <c r="Y133" s="37"/>
    </row>
    <row r="134" spans="1:25" x14ac:dyDescent="0.25">
      <c r="A134" s="5" t="s">
        <v>185</v>
      </c>
      <c r="B134" s="34">
        <f t="shared" si="101"/>
        <v>-1260</v>
      </c>
      <c r="C134" s="34">
        <f t="shared" si="101"/>
        <v>-1295</v>
      </c>
      <c r="D134" s="34">
        <f t="shared" si="101"/>
        <v>-1027</v>
      </c>
      <c r="E134" s="34">
        <f t="shared" si="101"/>
        <v>-974</v>
      </c>
      <c r="F134" s="34">
        <f t="shared" si="101"/>
        <v>-543</v>
      </c>
      <c r="G134" s="34">
        <f t="shared" si="101"/>
        <v>-1206</v>
      </c>
      <c r="H134" s="34"/>
      <c r="I134" s="34">
        <f t="shared" si="98"/>
        <v>-6305</v>
      </c>
      <c r="K134" s="37"/>
      <c r="L134" s="37"/>
      <c r="M134" s="37"/>
      <c r="N134" s="37"/>
      <c r="O134" s="37"/>
      <c r="P134" s="37"/>
      <c r="Q134" s="37"/>
      <c r="R134" s="34"/>
      <c r="S134" s="37"/>
      <c r="T134" s="37"/>
      <c r="U134" s="37"/>
      <c r="V134" s="37"/>
      <c r="W134" s="37"/>
      <c r="X134" s="37"/>
      <c r="Y134" s="37"/>
    </row>
    <row r="135" spans="1:25" x14ac:dyDescent="0.25">
      <c r="A135" s="5" t="s">
        <v>192</v>
      </c>
      <c r="B135" s="34">
        <f>+B118</f>
        <v>0</v>
      </c>
      <c r="C135" s="38">
        <f t="shared" ref="C135:G135" si="102">+C118</f>
        <v>1587</v>
      </c>
      <c r="D135" s="34">
        <f t="shared" si="102"/>
        <v>0</v>
      </c>
      <c r="E135" s="34">
        <f t="shared" si="102"/>
        <v>0</v>
      </c>
      <c r="F135" s="34">
        <f t="shared" si="102"/>
        <v>0</v>
      </c>
      <c r="G135" s="34">
        <f t="shared" si="102"/>
        <v>0</v>
      </c>
      <c r="H135" s="34"/>
      <c r="I135" s="34">
        <f t="shared" si="98"/>
        <v>1587</v>
      </c>
      <c r="K135" s="37"/>
      <c r="L135" s="37"/>
      <c r="M135" s="37"/>
      <c r="N135" s="37"/>
      <c r="O135" s="37"/>
      <c r="P135" s="37"/>
      <c r="Q135" s="37"/>
      <c r="R135" s="34"/>
      <c r="S135" s="37"/>
      <c r="T135" s="37"/>
      <c r="U135" s="37"/>
      <c r="V135" s="37"/>
      <c r="W135" s="37"/>
      <c r="X135" s="37"/>
      <c r="Y135" s="37"/>
    </row>
    <row r="136" spans="1:25" x14ac:dyDescent="0.25">
      <c r="A136" s="5" t="s">
        <v>69</v>
      </c>
      <c r="B136" s="34">
        <f>+B114</f>
        <v>-23</v>
      </c>
      <c r="C136" s="34">
        <f t="shared" ref="C136:G136" si="103">+C114</f>
        <v>-27</v>
      </c>
      <c r="D136" s="34">
        <f t="shared" si="103"/>
        <v>-27</v>
      </c>
      <c r="E136" s="34">
        <f t="shared" si="103"/>
        <v>-32</v>
      </c>
      <c r="F136" s="34">
        <f t="shared" si="103"/>
        <v>-76</v>
      </c>
      <c r="G136" s="38">
        <f t="shared" si="103"/>
        <v>-1659</v>
      </c>
      <c r="H136" s="38"/>
      <c r="I136" s="34">
        <f t="shared" si="98"/>
        <v>-1844</v>
      </c>
      <c r="K136" s="37"/>
      <c r="L136" s="37"/>
      <c r="M136" s="37"/>
      <c r="N136" s="37"/>
      <c r="O136" s="37"/>
      <c r="P136" s="37"/>
      <c r="Q136" s="37"/>
      <c r="R136" s="34"/>
      <c r="S136" s="37"/>
      <c r="T136" s="37"/>
      <c r="U136" s="37"/>
      <c r="V136" s="37"/>
      <c r="W136" s="37"/>
      <c r="X136" s="37"/>
      <c r="Y136" s="37"/>
    </row>
    <row r="137" spans="1:25" x14ac:dyDescent="0.25">
      <c r="A137" s="5" t="s">
        <v>186</v>
      </c>
      <c r="B137" s="34">
        <f>-B200</f>
        <v>-173</v>
      </c>
      <c r="C137" s="34">
        <f t="shared" ref="C137:G137" si="104">-C200</f>
        <v>-176</v>
      </c>
      <c r="D137" s="34">
        <f t="shared" si="104"/>
        <v>-173</v>
      </c>
      <c r="E137" s="34">
        <f t="shared" si="104"/>
        <v>-191</v>
      </c>
      <c r="F137" s="34">
        <f t="shared" si="104"/>
        <v>-200</v>
      </c>
      <c r="G137" s="34">
        <f t="shared" si="104"/>
        <v>-244</v>
      </c>
      <c r="H137" s="34"/>
      <c r="I137" s="34">
        <f t="shared" si="98"/>
        <v>-1157</v>
      </c>
      <c r="K137" s="37"/>
      <c r="L137" s="37"/>
      <c r="M137" s="37"/>
      <c r="N137" s="37"/>
      <c r="O137" s="37"/>
      <c r="P137" s="37"/>
      <c r="Q137" s="37"/>
      <c r="R137" s="34"/>
      <c r="S137" s="37"/>
      <c r="T137" s="37"/>
      <c r="U137" s="37"/>
      <c r="V137" s="37"/>
      <c r="W137" s="37"/>
      <c r="X137" s="37"/>
      <c r="Y137" s="37"/>
    </row>
    <row r="138" spans="1:25" x14ac:dyDescent="0.25">
      <c r="A138" s="5" t="s">
        <v>187</v>
      </c>
      <c r="B138" s="34">
        <f t="shared" ref="B138:G138" si="105">+B139-SUM(B132:B137)</f>
        <v>-2063</v>
      </c>
      <c r="C138" s="38">
        <f t="shared" si="105"/>
        <v>-2562</v>
      </c>
      <c r="D138" s="38">
        <f t="shared" si="105"/>
        <v>-1667</v>
      </c>
      <c r="E138" s="34">
        <f t="shared" si="105"/>
        <v>-1897</v>
      </c>
      <c r="F138" s="34">
        <f t="shared" si="105"/>
        <v>-1652</v>
      </c>
      <c r="G138" s="34">
        <f t="shared" si="105"/>
        <v>-1730</v>
      </c>
      <c r="H138" s="34"/>
      <c r="I138" s="34">
        <f t="shared" si="98"/>
        <v>-11571</v>
      </c>
      <c r="K138" s="37"/>
      <c r="L138" s="37"/>
      <c r="M138" s="37"/>
      <c r="N138" s="37"/>
      <c r="O138" s="37"/>
      <c r="P138" s="37"/>
      <c r="Q138" s="37"/>
      <c r="R138" s="34"/>
      <c r="S138" s="37"/>
      <c r="T138" s="37"/>
      <c r="U138" s="37"/>
      <c r="V138" s="37"/>
      <c r="W138" s="37"/>
      <c r="X138" s="37"/>
      <c r="Y138" s="37"/>
    </row>
    <row r="139" spans="1:25" x14ac:dyDescent="0.25">
      <c r="A139" s="2" t="s">
        <v>79</v>
      </c>
      <c r="B139" s="10">
        <f>+B128</f>
        <v>2469</v>
      </c>
      <c r="C139" s="10">
        <f t="shared" ref="C139:G139" si="106">+C128</f>
        <v>5364</v>
      </c>
      <c r="D139" s="10">
        <f t="shared" si="106"/>
        <v>4929</v>
      </c>
      <c r="E139" s="10">
        <f t="shared" si="106"/>
        <v>3552</v>
      </c>
      <c r="F139" s="10">
        <f t="shared" si="106"/>
        <v>2574</v>
      </c>
      <c r="G139" s="10">
        <f t="shared" si="106"/>
        <v>501</v>
      </c>
      <c r="H139" s="10"/>
      <c r="I139" s="10">
        <f t="shared" si="98"/>
        <v>19389</v>
      </c>
      <c r="K139" s="37"/>
      <c r="L139" s="37"/>
      <c r="M139" s="37"/>
      <c r="N139" s="37"/>
      <c r="O139" s="37"/>
      <c r="P139" s="37"/>
      <c r="Q139" s="37"/>
      <c r="R139" s="34"/>
      <c r="S139" s="37"/>
      <c r="T139" s="37"/>
      <c r="U139" s="37"/>
      <c r="V139" s="37"/>
      <c r="W139" s="37"/>
      <c r="X139" s="37"/>
      <c r="Y139" s="37"/>
    </row>
    <row r="140" spans="1:25" x14ac:dyDescent="0.25">
      <c r="A140" s="2" t="s">
        <v>81</v>
      </c>
      <c r="K140" s="28"/>
      <c r="L140" s="28"/>
      <c r="M140" s="28"/>
      <c r="N140" s="28"/>
      <c r="O140" s="28"/>
      <c r="P140" s="28"/>
      <c r="Q140" s="28"/>
      <c r="S140" s="28"/>
      <c r="T140" s="28"/>
      <c r="U140" s="28"/>
      <c r="V140" s="28"/>
      <c r="W140" s="28"/>
      <c r="X140" s="28"/>
      <c r="Y140" s="28"/>
    </row>
    <row r="141" spans="1:25" x14ac:dyDescent="0.25">
      <c r="A141" s="5" t="s">
        <v>82</v>
      </c>
      <c r="B141" s="2">
        <v>-916</v>
      </c>
      <c r="C141" s="2">
        <v>-905</v>
      </c>
      <c r="D141" s="2">
        <v>-596</v>
      </c>
      <c r="E141" s="2">
        <v>-768</v>
      </c>
      <c r="F141" s="2">
        <v>-826</v>
      </c>
      <c r="G141" s="2">
        <v>-1194</v>
      </c>
      <c r="I141" s="2">
        <f t="shared" ref="I141:I147" si="107">SUM(B141:G141)</f>
        <v>-5205</v>
      </c>
      <c r="K141" s="28">
        <f t="shared" ref="K141:P147" si="108">+B141/B$128</f>
        <v>-0.37100040502227621</v>
      </c>
      <c r="L141" s="28">
        <f t="shared" si="108"/>
        <v>-0.16871737509321402</v>
      </c>
      <c r="M141" s="28">
        <f t="shared" si="108"/>
        <v>-0.12091702170825726</v>
      </c>
      <c r="N141" s="28">
        <f t="shared" si="108"/>
        <v>-0.21621621621621623</v>
      </c>
      <c r="O141" s="28">
        <f t="shared" si="108"/>
        <v>-0.3209013209013209</v>
      </c>
      <c r="P141" s="28">
        <f t="shared" si="108"/>
        <v>-2.3832335329341316</v>
      </c>
      <c r="Q141" s="28"/>
      <c r="S141" s="28">
        <f t="shared" ref="S141:S147" si="109">RATE(5,0,-G141,B141)</f>
        <v>-5.1629078507473856E-2</v>
      </c>
      <c r="T141" s="28">
        <f t="shared" si="56"/>
        <v>-1.4354576845997035E-2</v>
      </c>
      <c r="U141" s="28">
        <f t="shared" ref="U141:Y147" si="110">(+B141-C141)/C141</f>
        <v>1.2154696132596685E-2</v>
      </c>
      <c r="V141" s="28">
        <f t="shared" si="110"/>
        <v>0.51845637583892612</v>
      </c>
      <c r="W141" s="28">
        <f t="shared" si="110"/>
        <v>-0.22395833333333334</v>
      </c>
      <c r="X141" s="28">
        <f t="shared" si="110"/>
        <v>-7.0217917675544791E-2</v>
      </c>
      <c r="Y141" s="28">
        <f t="shared" si="110"/>
        <v>-0.3082077051926298</v>
      </c>
    </row>
    <row r="142" spans="1:25" x14ac:dyDescent="0.25">
      <c r="A142" s="5" t="s">
        <v>121</v>
      </c>
      <c r="B142" s="2">
        <v>0</v>
      </c>
      <c r="C142" s="2">
        <v>0</v>
      </c>
      <c r="D142" s="2">
        <v>0</v>
      </c>
      <c r="E142" s="2">
        <v>0</v>
      </c>
      <c r="F142" s="2">
        <v>1296</v>
      </c>
      <c r="G142" s="2">
        <v>2286</v>
      </c>
      <c r="I142" s="2">
        <f t="shared" si="107"/>
        <v>3582</v>
      </c>
      <c r="K142" s="28">
        <f t="shared" si="108"/>
        <v>0</v>
      </c>
      <c r="L142" s="28">
        <f t="shared" si="108"/>
        <v>0</v>
      </c>
      <c r="M142" s="28">
        <f t="shared" si="108"/>
        <v>0</v>
      </c>
      <c r="N142" s="28">
        <f t="shared" si="108"/>
        <v>0</v>
      </c>
      <c r="O142" s="28">
        <f t="shared" si="108"/>
        <v>0.50349650349650354</v>
      </c>
      <c r="P142" s="28">
        <f t="shared" si="108"/>
        <v>4.5628742514970062</v>
      </c>
      <c r="Q142" s="28"/>
      <c r="S142" s="28">
        <f t="shared" si="109"/>
        <v>-0.99999940914518248</v>
      </c>
      <c r="T142" s="28" t="e">
        <f t="shared" si="56"/>
        <v>#DIV/0!</v>
      </c>
      <c r="U142" s="28" t="e">
        <f t="shared" si="110"/>
        <v>#DIV/0!</v>
      </c>
      <c r="V142" s="28" t="e">
        <f t="shared" si="110"/>
        <v>#DIV/0!</v>
      </c>
      <c r="W142" s="28" t="e">
        <f t="shared" si="110"/>
        <v>#DIV/0!</v>
      </c>
      <c r="X142" s="28">
        <f t="shared" si="110"/>
        <v>-1</v>
      </c>
      <c r="Y142" s="28">
        <f t="shared" si="110"/>
        <v>-0.43307086614173229</v>
      </c>
    </row>
    <row r="143" spans="1:25" x14ac:dyDescent="0.25">
      <c r="A143" s="5" t="s">
        <v>83</v>
      </c>
      <c r="B143" s="2">
        <v>-481</v>
      </c>
      <c r="C143" s="2">
        <v>-74</v>
      </c>
      <c r="D143" s="2">
        <v>0</v>
      </c>
      <c r="E143" s="2">
        <v>-199</v>
      </c>
      <c r="F143" s="2">
        <v>-248</v>
      </c>
      <c r="G143" s="2">
        <v>0</v>
      </c>
      <c r="I143" s="2">
        <f t="shared" si="107"/>
        <v>-1002</v>
      </c>
      <c r="K143" s="28">
        <f t="shared" si="108"/>
        <v>-0.19481571486431754</v>
      </c>
      <c r="L143" s="28">
        <f t="shared" si="108"/>
        <v>-1.3795674869500374E-2</v>
      </c>
      <c r="M143" s="28">
        <f t="shared" si="108"/>
        <v>0</v>
      </c>
      <c r="N143" s="28">
        <f t="shared" si="108"/>
        <v>-5.6024774774774772E-2</v>
      </c>
      <c r="O143" s="28">
        <f t="shared" si="108"/>
        <v>-9.6348096348096351E-2</v>
      </c>
      <c r="P143" s="28">
        <f t="shared" si="108"/>
        <v>0</v>
      </c>
      <c r="Q143" s="28"/>
      <c r="S143" s="28" t="e">
        <f t="shared" si="109"/>
        <v>#NUM!</v>
      </c>
      <c r="T143" s="28" t="e">
        <f t="shared" si="56"/>
        <v>#DIV/0!</v>
      </c>
      <c r="U143" s="28">
        <f t="shared" si="110"/>
        <v>5.5</v>
      </c>
      <c r="V143" s="28" t="e">
        <f t="shared" si="110"/>
        <v>#DIV/0!</v>
      </c>
      <c r="W143" s="28">
        <f t="shared" si="110"/>
        <v>-1</v>
      </c>
      <c r="X143" s="28">
        <f t="shared" si="110"/>
        <v>-0.19758064516129031</v>
      </c>
      <c r="Y143" s="28" t="e">
        <f t="shared" si="110"/>
        <v>#DIV/0!</v>
      </c>
    </row>
    <row r="144" spans="1:25" x14ac:dyDescent="0.25">
      <c r="A144" s="5" t="s">
        <v>84</v>
      </c>
      <c r="B144" s="2">
        <v>208</v>
      </c>
      <c r="C144" s="2">
        <v>-28</v>
      </c>
      <c r="D144" s="2">
        <v>25</v>
      </c>
      <c r="E144" s="2">
        <v>590</v>
      </c>
      <c r="F144" s="2">
        <v>24</v>
      </c>
      <c r="G144" s="2">
        <v>0</v>
      </c>
      <c r="I144" s="2">
        <f t="shared" si="107"/>
        <v>819</v>
      </c>
      <c r="K144" s="28">
        <f t="shared" si="108"/>
        <v>8.4244633454840012E-2</v>
      </c>
      <c r="L144" s="28">
        <f t="shared" si="108"/>
        <v>-5.219985085756898E-3</v>
      </c>
      <c r="M144" s="28">
        <f t="shared" si="108"/>
        <v>5.0720227226617974E-3</v>
      </c>
      <c r="N144" s="28">
        <f t="shared" si="108"/>
        <v>0.1661036036036036</v>
      </c>
      <c r="O144" s="28">
        <f t="shared" si="108"/>
        <v>9.324009324009324E-3</v>
      </c>
      <c r="P144" s="28">
        <f t="shared" si="108"/>
        <v>0</v>
      </c>
      <c r="Q144" s="28"/>
      <c r="S144" s="28" t="e">
        <f t="shared" si="109"/>
        <v>#NUM!</v>
      </c>
      <c r="T144" s="28" t="e">
        <f t="shared" si="56"/>
        <v>#DIV/0!</v>
      </c>
      <c r="U144" s="28">
        <f t="shared" si="110"/>
        <v>-8.4285714285714288</v>
      </c>
      <c r="V144" s="28">
        <f t="shared" si="110"/>
        <v>-2.12</v>
      </c>
      <c r="W144" s="28">
        <f t="shared" si="110"/>
        <v>-0.9576271186440678</v>
      </c>
      <c r="X144" s="28">
        <f t="shared" si="110"/>
        <v>23.583333333333332</v>
      </c>
      <c r="Y144" s="28" t="e">
        <f t="shared" si="110"/>
        <v>#DIV/0!</v>
      </c>
    </row>
    <row r="145" spans="1:25" x14ac:dyDescent="0.25">
      <c r="A145" s="5" t="s">
        <v>85</v>
      </c>
      <c r="B145" s="2">
        <v>88</v>
      </c>
      <c r="C145" s="2">
        <v>5014</v>
      </c>
      <c r="D145" s="2">
        <v>0</v>
      </c>
      <c r="E145" s="2">
        <v>1875</v>
      </c>
      <c r="F145" s="2">
        <v>18</v>
      </c>
      <c r="G145" s="2">
        <v>0</v>
      </c>
      <c r="I145" s="2">
        <f t="shared" si="107"/>
        <v>6995</v>
      </c>
      <c r="K145" s="28">
        <f t="shared" si="108"/>
        <v>3.5641960307816932E-2</v>
      </c>
      <c r="L145" s="28">
        <f t="shared" si="108"/>
        <v>0.93475018642803875</v>
      </c>
      <c r="M145" s="28">
        <f t="shared" si="108"/>
        <v>0</v>
      </c>
      <c r="N145" s="28">
        <f t="shared" si="108"/>
        <v>0.5278716216216216</v>
      </c>
      <c r="O145" s="28">
        <f t="shared" si="108"/>
        <v>6.993006993006993E-3</v>
      </c>
      <c r="P145" s="28">
        <f t="shared" si="108"/>
        <v>0</v>
      </c>
      <c r="Q145" s="28"/>
      <c r="S145" s="28" t="e">
        <f t="shared" si="109"/>
        <v>#NUM!</v>
      </c>
      <c r="T145" s="28" t="e">
        <f t="shared" si="56"/>
        <v>#DIV/0!</v>
      </c>
      <c r="U145" s="28">
        <f t="shared" si="110"/>
        <v>-0.98244914240127645</v>
      </c>
      <c r="V145" s="28" t="e">
        <f t="shared" si="110"/>
        <v>#DIV/0!</v>
      </c>
      <c r="W145" s="28">
        <f t="shared" si="110"/>
        <v>-1</v>
      </c>
      <c r="X145" s="28">
        <f t="shared" si="110"/>
        <v>103.16666666666667</v>
      </c>
      <c r="Y145" s="28" t="e">
        <f t="shared" si="110"/>
        <v>#DIV/0!</v>
      </c>
    </row>
    <row r="146" spans="1:25" x14ac:dyDescent="0.25">
      <c r="A146" s="5" t="s">
        <v>86</v>
      </c>
      <c r="B146" s="2">
        <v>10</v>
      </c>
      <c r="C146" s="2">
        <v>31</v>
      </c>
      <c r="D146" s="2">
        <v>49</v>
      </c>
      <c r="E146" s="2">
        <v>13</v>
      </c>
      <c r="F146" s="2">
        <v>24</v>
      </c>
      <c r="G146" s="2">
        <v>85</v>
      </c>
      <c r="I146" s="2">
        <f t="shared" si="107"/>
        <v>212</v>
      </c>
      <c r="K146" s="28">
        <f t="shared" si="108"/>
        <v>4.0502227622519239E-3</v>
      </c>
      <c r="L146" s="28">
        <f t="shared" si="108"/>
        <v>5.779269202087994E-3</v>
      </c>
      <c r="M146" s="28">
        <f t="shared" si="108"/>
        <v>9.9411645364171231E-3</v>
      </c>
      <c r="N146" s="28">
        <f t="shared" si="108"/>
        <v>3.6599099099099098E-3</v>
      </c>
      <c r="O146" s="28">
        <f t="shared" si="108"/>
        <v>9.324009324009324E-3</v>
      </c>
      <c r="P146" s="28">
        <f t="shared" si="108"/>
        <v>0.16966067864271456</v>
      </c>
      <c r="Q146" s="28"/>
      <c r="S146" s="28">
        <f t="shared" si="109"/>
        <v>-0.34819721036856505</v>
      </c>
      <c r="T146" s="28">
        <f t="shared" si="56"/>
        <v>0.10969681669193732</v>
      </c>
      <c r="U146" s="28">
        <f t="shared" si="110"/>
        <v>-0.67741935483870963</v>
      </c>
      <c r="V146" s="28">
        <f t="shared" si="110"/>
        <v>-0.36734693877551022</v>
      </c>
      <c r="W146" s="28">
        <f t="shared" si="110"/>
        <v>2.7692307692307692</v>
      </c>
      <c r="X146" s="28">
        <f t="shared" si="110"/>
        <v>-0.45833333333333331</v>
      </c>
      <c r="Y146" s="28">
        <f t="shared" si="110"/>
        <v>-0.71764705882352942</v>
      </c>
    </row>
    <row r="147" spans="1:25" x14ac:dyDescent="0.25">
      <c r="A147" s="2" t="s">
        <v>87</v>
      </c>
      <c r="B147" s="10">
        <f>SUM(B141:B146)</f>
        <v>-1091</v>
      </c>
      <c r="C147" s="10">
        <f t="shared" ref="C147:G147" si="111">SUM(C141:C146)</f>
        <v>4038</v>
      </c>
      <c r="D147" s="10">
        <f t="shared" si="111"/>
        <v>-522</v>
      </c>
      <c r="E147" s="10">
        <f t="shared" si="111"/>
        <v>1511</v>
      </c>
      <c r="F147" s="10">
        <f t="shared" si="111"/>
        <v>288</v>
      </c>
      <c r="G147" s="10">
        <f t="shared" si="111"/>
        <v>1177</v>
      </c>
      <c r="H147" s="10"/>
      <c r="I147" s="10">
        <f t="shared" si="107"/>
        <v>5401</v>
      </c>
      <c r="K147" s="33">
        <f t="shared" si="108"/>
        <v>-0.44187930336168491</v>
      </c>
      <c r="L147" s="33">
        <f t="shared" si="108"/>
        <v>0.75279642058165552</v>
      </c>
      <c r="M147" s="33">
        <f t="shared" si="108"/>
        <v>-0.10590383444917834</v>
      </c>
      <c r="N147" s="33">
        <f t="shared" si="108"/>
        <v>0.42539414414414417</v>
      </c>
      <c r="O147" s="33">
        <f t="shared" si="108"/>
        <v>0.11188811188811189</v>
      </c>
      <c r="P147" s="33">
        <f t="shared" si="108"/>
        <v>2.3493013972055889</v>
      </c>
      <c r="Q147" s="33"/>
      <c r="R147" s="10"/>
      <c r="S147" s="33" t="e">
        <f t="shared" si="109"/>
        <v>#NUM!</v>
      </c>
      <c r="T147" s="33">
        <f t="shared" si="56"/>
        <v>-1.5720128708089158</v>
      </c>
      <c r="U147" s="33">
        <f t="shared" si="110"/>
        <v>-1.2701832590391282</v>
      </c>
      <c r="V147" s="33">
        <f t="shared" si="110"/>
        <v>-8.7356321839080469</v>
      </c>
      <c r="W147" s="33">
        <f t="shared" si="110"/>
        <v>-1.3454665784248843</v>
      </c>
      <c r="X147" s="33">
        <f t="shared" si="110"/>
        <v>4.2465277777777777</v>
      </c>
      <c r="Y147" s="33">
        <f t="shared" si="110"/>
        <v>-0.75531011045029739</v>
      </c>
    </row>
    <row r="148" spans="1:25" x14ac:dyDescent="0.25">
      <c r="A148" s="2" t="s">
        <v>88</v>
      </c>
      <c r="K148" s="28"/>
      <c r="L148" s="28"/>
      <c r="M148" s="28"/>
      <c r="N148" s="28"/>
      <c r="O148" s="28"/>
      <c r="P148" s="28"/>
      <c r="Q148" s="28"/>
      <c r="S148" s="28"/>
      <c r="T148" s="28"/>
      <c r="U148" s="28"/>
      <c r="V148" s="28"/>
      <c r="W148" s="28"/>
      <c r="X148" s="28"/>
      <c r="Y148" s="28"/>
    </row>
    <row r="149" spans="1:25" x14ac:dyDescent="0.25">
      <c r="A149" s="35" t="s">
        <v>89</v>
      </c>
      <c r="B149" s="2">
        <v>-1465</v>
      </c>
      <c r="C149" s="2">
        <v>-6202</v>
      </c>
      <c r="D149" s="2">
        <v>-4697</v>
      </c>
      <c r="E149" s="2">
        <v>-4795</v>
      </c>
      <c r="F149" s="2">
        <v>-2713</v>
      </c>
      <c r="G149" s="2">
        <v>-2641</v>
      </c>
      <c r="I149" s="2">
        <f t="shared" ref="I149:I161" si="112">SUM(B149:G149)</f>
        <v>-22513</v>
      </c>
      <c r="K149" s="28">
        <f t="shared" ref="K149:P155" si="113">+B149/B$128</f>
        <v>-0.59335763466990687</v>
      </c>
      <c r="L149" s="28">
        <f t="shared" si="113"/>
        <v>-1.1562266964951529</v>
      </c>
      <c r="M149" s="28">
        <f t="shared" si="113"/>
        <v>-0.95293162913369855</v>
      </c>
      <c r="N149" s="28">
        <f t="shared" si="113"/>
        <v>-1.3499436936936937</v>
      </c>
      <c r="O149" s="28">
        <f t="shared" si="113"/>
        <v>-1.0540015540015539</v>
      </c>
      <c r="P149" s="28">
        <f t="shared" si="113"/>
        <v>-5.2714570858283434</v>
      </c>
      <c r="Q149" s="28"/>
      <c r="S149" s="28">
        <f t="shared" ref="S149:S155" si="114">RATE(5,0,-G149,B149)</f>
        <v>-0.11117994623485696</v>
      </c>
      <c r="T149" s="28">
        <f t="shared" si="56"/>
        <v>6.6174400199464883E-2</v>
      </c>
      <c r="U149" s="28">
        <f t="shared" ref="U149:Y155" si="115">(+B149-C149)/C149</f>
        <v>-0.76378587552402455</v>
      </c>
      <c r="V149" s="28">
        <f t="shared" si="115"/>
        <v>0.32041728763040239</v>
      </c>
      <c r="W149" s="28">
        <f t="shared" si="115"/>
        <v>-2.0437956204379562E-2</v>
      </c>
      <c r="X149" s="28">
        <f t="shared" si="115"/>
        <v>0.76741614448949502</v>
      </c>
      <c r="Y149" s="28">
        <f t="shared" si="115"/>
        <v>2.7262400605831124E-2</v>
      </c>
    </row>
    <row r="150" spans="1:25" x14ac:dyDescent="0.25">
      <c r="A150" s="35" t="s">
        <v>90</v>
      </c>
      <c r="B150" s="2">
        <v>0</v>
      </c>
      <c r="C150" s="2">
        <v>0</v>
      </c>
      <c r="D150" s="2">
        <v>3500</v>
      </c>
      <c r="E150" s="2">
        <v>2967</v>
      </c>
      <c r="F150" s="2">
        <v>2990</v>
      </c>
      <c r="G150" s="2">
        <v>1496</v>
      </c>
      <c r="I150" s="2">
        <f t="shared" si="112"/>
        <v>10953</v>
      </c>
      <c r="K150" s="28">
        <f t="shared" si="113"/>
        <v>0</v>
      </c>
      <c r="L150" s="28">
        <f t="shared" si="113"/>
        <v>0</v>
      </c>
      <c r="M150" s="28">
        <f t="shared" si="113"/>
        <v>0.71008318117265168</v>
      </c>
      <c r="N150" s="28">
        <f t="shared" si="113"/>
        <v>0.83530405405405406</v>
      </c>
      <c r="O150" s="28">
        <f t="shared" si="113"/>
        <v>1.1616161616161615</v>
      </c>
      <c r="P150" s="28">
        <f t="shared" si="113"/>
        <v>2.9860279441117763</v>
      </c>
      <c r="Q150" s="28"/>
      <c r="S150" s="28">
        <f t="shared" si="114"/>
        <v>-0.99999940914518248</v>
      </c>
      <c r="T150" s="28" t="e">
        <f t="shared" si="56"/>
        <v>#DIV/0!</v>
      </c>
      <c r="U150" s="28" t="e">
        <f t="shared" si="115"/>
        <v>#DIV/0!</v>
      </c>
      <c r="V150" s="28">
        <f t="shared" si="115"/>
        <v>-1</v>
      </c>
      <c r="W150" s="28">
        <f t="shared" si="115"/>
        <v>0.17964273677114931</v>
      </c>
      <c r="X150" s="28">
        <f t="shared" si="115"/>
        <v>-7.6923076923076927E-3</v>
      </c>
      <c r="Y150" s="28">
        <f t="shared" si="115"/>
        <v>0.99866310160427807</v>
      </c>
    </row>
    <row r="151" spans="1:25" x14ac:dyDescent="0.25">
      <c r="A151" s="35" t="s">
        <v>91</v>
      </c>
      <c r="B151" s="2">
        <v>10</v>
      </c>
      <c r="C151" s="2">
        <v>-924</v>
      </c>
      <c r="D151" s="2">
        <v>-116</v>
      </c>
      <c r="E151" s="2">
        <v>-99</v>
      </c>
      <c r="F151" s="2">
        <v>0</v>
      </c>
      <c r="G151" s="2">
        <v>0</v>
      </c>
      <c r="I151" s="2">
        <f t="shared" si="112"/>
        <v>-1129</v>
      </c>
      <c r="K151" s="28">
        <f t="shared" si="113"/>
        <v>4.0502227622519239E-3</v>
      </c>
      <c r="L151" s="28">
        <f t="shared" si="113"/>
        <v>-0.17225950782997762</v>
      </c>
      <c r="M151" s="28">
        <f t="shared" si="113"/>
        <v>-2.353418543315074E-2</v>
      </c>
      <c r="N151" s="28">
        <f t="shared" si="113"/>
        <v>-2.7871621621621621E-2</v>
      </c>
      <c r="O151" s="28">
        <f t="shared" si="113"/>
        <v>0</v>
      </c>
      <c r="P151" s="28">
        <f t="shared" si="113"/>
        <v>0</v>
      </c>
      <c r="Q151" s="28"/>
      <c r="S151" s="28" t="e">
        <f t="shared" si="114"/>
        <v>#NUM!</v>
      </c>
      <c r="T151" s="28" t="e">
        <f t="shared" si="56"/>
        <v>#DIV/0!</v>
      </c>
      <c r="U151" s="28">
        <f t="shared" si="115"/>
        <v>-1.0108225108225108</v>
      </c>
      <c r="V151" s="28">
        <f t="shared" si="115"/>
        <v>6.9655172413793105</v>
      </c>
      <c r="W151" s="28">
        <f t="shared" si="115"/>
        <v>0.17171717171717171</v>
      </c>
      <c r="X151" s="28" t="e">
        <f t="shared" si="115"/>
        <v>#DIV/0!</v>
      </c>
      <c r="Y151" s="28" t="e">
        <f t="shared" si="115"/>
        <v>#DIV/0!</v>
      </c>
    </row>
    <row r="152" spans="1:25" x14ac:dyDescent="0.25">
      <c r="A152" s="35" t="s">
        <v>92</v>
      </c>
      <c r="B152" s="2">
        <v>0</v>
      </c>
      <c r="C152" s="2">
        <v>0</v>
      </c>
      <c r="D152" s="2">
        <v>4000</v>
      </c>
      <c r="E152" s="2">
        <v>0</v>
      </c>
      <c r="F152" s="2">
        <v>0</v>
      </c>
      <c r="G152" s="2">
        <v>0</v>
      </c>
      <c r="I152" s="2">
        <f t="shared" si="112"/>
        <v>4000</v>
      </c>
      <c r="K152" s="28">
        <f t="shared" si="113"/>
        <v>0</v>
      </c>
      <c r="L152" s="28">
        <f t="shared" si="113"/>
        <v>0</v>
      </c>
      <c r="M152" s="28">
        <f t="shared" si="113"/>
        <v>0.81152363562588758</v>
      </c>
      <c r="N152" s="28">
        <f t="shared" si="113"/>
        <v>0</v>
      </c>
      <c r="O152" s="28">
        <f t="shared" si="113"/>
        <v>0</v>
      </c>
      <c r="P152" s="28">
        <f t="shared" si="113"/>
        <v>0</v>
      </c>
      <c r="Q152" s="28"/>
      <c r="S152" s="28" t="e">
        <f t="shared" si="114"/>
        <v>#NUM!</v>
      </c>
      <c r="T152" s="28" t="e">
        <f t="shared" si="56"/>
        <v>#DIV/0!</v>
      </c>
      <c r="U152" s="28" t="e">
        <f t="shared" si="115"/>
        <v>#DIV/0!</v>
      </c>
      <c r="V152" s="28">
        <f t="shared" si="115"/>
        <v>-1</v>
      </c>
      <c r="W152" s="28" t="e">
        <f t="shared" si="115"/>
        <v>#DIV/0!</v>
      </c>
      <c r="X152" s="28" t="e">
        <f t="shared" si="115"/>
        <v>#DIV/0!</v>
      </c>
      <c r="Y152" s="28" t="e">
        <f t="shared" si="115"/>
        <v>#DIV/0!</v>
      </c>
    </row>
    <row r="153" spans="1:25" x14ac:dyDescent="0.25">
      <c r="A153" s="35" t="s">
        <v>93</v>
      </c>
      <c r="B153" s="2">
        <v>0</v>
      </c>
      <c r="C153" s="2">
        <v>0</v>
      </c>
      <c r="D153" s="2">
        <v>-4000</v>
      </c>
      <c r="E153" s="2">
        <v>0</v>
      </c>
      <c r="F153" s="2">
        <v>0</v>
      </c>
      <c r="G153" s="2">
        <v>0</v>
      </c>
      <c r="I153" s="2">
        <f t="shared" si="112"/>
        <v>-4000</v>
      </c>
      <c r="K153" s="28">
        <f t="shared" si="113"/>
        <v>0</v>
      </c>
      <c r="L153" s="28">
        <f t="shared" si="113"/>
        <v>0</v>
      </c>
      <c r="M153" s="28">
        <f t="shared" si="113"/>
        <v>-0.81152363562588758</v>
      </c>
      <c r="N153" s="28">
        <f t="shared" si="113"/>
        <v>0</v>
      </c>
      <c r="O153" s="28">
        <f t="shared" si="113"/>
        <v>0</v>
      </c>
      <c r="P153" s="28">
        <f t="shared" si="113"/>
        <v>0</v>
      </c>
      <c r="Q153" s="28"/>
      <c r="S153" s="28" t="e">
        <f t="shared" si="114"/>
        <v>#NUM!</v>
      </c>
      <c r="T153" s="28" t="e">
        <f t="shared" si="56"/>
        <v>#DIV/0!</v>
      </c>
      <c r="U153" s="28" t="e">
        <f t="shared" si="115"/>
        <v>#DIV/0!</v>
      </c>
      <c r="V153" s="28">
        <f t="shared" si="115"/>
        <v>-1</v>
      </c>
      <c r="W153" s="28" t="e">
        <f t="shared" si="115"/>
        <v>#DIV/0!</v>
      </c>
      <c r="X153" s="28" t="e">
        <f t="shared" si="115"/>
        <v>#DIV/0!</v>
      </c>
      <c r="Y153" s="28" t="e">
        <f t="shared" si="115"/>
        <v>#DIV/0!</v>
      </c>
    </row>
    <row r="154" spans="1:25" x14ac:dyDescent="0.25">
      <c r="A154" s="35" t="s">
        <v>94</v>
      </c>
      <c r="B154" s="2">
        <v>228</v>
      </c>
      <c r="C154" s="2">
        <v>0</v>
      </c>
      <c r="D154" s="2">
        <v>0</v>
      </c>
      <c r="E154" s="2">
        <v>557</v>
      </c>
      <c r="F154" s="2">
        <v>2784</v>
      </c>
      <c r="G154" s="2">
        <v>6043</v>
      </c>
      <c r="I154" s="2">
        <f t="shared" si="112"/>
        <v>9612</v>
      </c>
      <c r="K154" s="28">
        <f t="shared" si="113"/>
        <v>9.2345078979343867E-2</v>
      </c>
      <c r="L154" s="28">
        <f t="shared" si="113"/>
        <v>0</v>
      </c>
      <c r="M154" s="28">
        <f t="shared" si="113"/>
        <v>0</v>
      </c>
      <c r="N154" s="28">
        <f t="shared" si="113"/>
        <v>0.15681306306306306</v>
      </c>
      <c r="O154" s="28">
        <f t="shared" si="113"/>
        <v>1.0815850815850816</v>
      </c>
      <c r="P154" s="28">
        <f t="shared" si="113"/>
        <v>12.061876247504991</v>
      </c>
      <c r="Q154" s="28"/>
      <c r="S154" s="28">
        <f t="shared" si="114"/>
        <v>-0.48079788783255906</v>
      </c>
      <c r="T154" s="28" t="e">
        <f t="shared" si="56"/>
        <v>#DIV/0!</v>
      </c>
      <c r="U154" s="28" t="e">
        <f t="shared" si="115"/>
        <v>#DIV/0!</v>
      </c>
      <c r="V154" s="28" t="e">
        <f t="shared" si="115"/>
        <v>#DIV/0!</v>
      </c>
      <c r="W154" s="28">
        <f t="shared" si="115"/>
        <v>-1</v>
      </c>
      <c r="X154" s="28">
        <f t="shared" si="115"/>
        <v>-0.79992816091954022</v>
      </c>
      <c r="Y154" s="28">
        <f t="shared" si="115"/>
        <v>-0.53930167135528706</v>
      </c>
    </row>
    <row r="155" spans="1:25" x14ac:dyDescent="0.25">
      <c r="A155" s="35" t="s">
        <v>95</v>
      </c>
      <c r="B155" s="2">
        <v>-228</v>
      </c>
      <c r="C155" s="2">
        <v>0</v>
      </c>
      <c r="D155" s="2">
        <v>0</v>
      </c>
      <c r="E155" s="2">
        <v>-557</v>
      </c>
      <c r="F155" s="2">
        <v>-3213</v>
      </c>
      <c r="G155" s="2">
        <v>-6249</v>
      </c>
      <c r="I155" s="2">
        <f t="shared" si="112"/>
        <v>-10247</v>
      </c>
      <c r="K155" s="28">
        <f t="shared" si="113"/>
        <v>-9.2345078979343867E-2</v>
      </c>
      <c r="L155" s="28">
        <f t="shared" si="113"/>
        <v>0</v>
      </c>
      <c r="M155" s="28">
        <f t="shared" si="113"/>
        <v>0</v>
      </c>
      <c r="N155" s="28">
        <f t="shared" si="113"/>
        <v>-0.15681306306306306</v>
      </c>
      <c r="O155" s="28">
        <f t="shared" si="113"/>
        <v>-1.2482517482517483</v>
      </c>
      <c r="P155" s="28">
        <f t="shared" si="113"/>
        <v>-12.473053892215569</v>
      </c>
      <c r="Q155" s="28"/>
      <c r="S155" s="28">
        <f t="shared" si="114"/>
        <v>-0.48426706751700083</v>
      </c>
      <c r="T155" s="28" t="e">
        <f t="shared" si="56"/>
        <v>#DIV/0!</v>
      </c>
      <c r="U155" s="28" t="e">
        <f t="shared" si="115"/>
        <v>#DIV/0!</v>
      </c>
      <c r="V155" s="28" t="e">
        <f t="shared" si="115"/>
        <v>#DIV/0!</v>
      </c>
      <c r="W155" s="28">
        <f t="shared" si="115"/>
        <v>-1</v>
      </c>
      <c r="X155" s="28">
        <f t="shared" si="115"/>
        <v>-0.82664176781823839</v>
      </c>
      <c r="Y155" s="28">
        <f t="shared" si="115"/>
        <v>-0.48583773403744601</v>
      </c>
    </row>
    <row r="156" spans="1:25" x14ac:dyDescent="0.25">
      <c r="A156" s="5" t="s">
        <v>189</v>
      </c>
      <c r="B156" s="6">
        <f>SUM(B149:B155)</f>
        <v>-1455</v>
      </c>
      <c r="C156" s="6">
        <f t="shared" ref="C156:G156" si="116">SUM(C149:C155)</f>
        <v>-7126</v>
      </c>
      <c r="D156" s="6">
        <f t="shared" si="116"/>
        <v>-1313</v>
      </c>
      <c r="E156" s="6">
        <f t="shared" si="116"/>
        <v>-1927</v>
      </c>
      <c r="F156" s="6">
        <f t="shared" si="116"/>
        <v>-152</v>
      </c>
      <c r="G156" s="6">
        <f t="shared" si="116"/>
        <v>-1351</v>
      </c>
      <c r="H156" s="6"/>
      <c r="I156" s="6">
        <f t="shared" si="112"/>
        <v>-13324</v>
      </c>
      <c r="K156" s="28"/>
      <c r="L156" s="28"/>
      <c r="M156" s="28"/>
      <c r="N156" s="28"/>
      <c r="O156" s="28"/>
      <c r="P156" s="28"/>
      <c r="Q156" s="28"/>
      <c r="S156" s="28"/>
      <c r="T156" s="28"/>
      <c r="U156" s="28"/>
      <c r="V156" s="28"/>
      <c r="W156" s="28"/>
      <c r="X156" s="28"/>
      <c r="Y156" s="28"/>
    </row>
    <row r="157" spans="1:25" x14ac:dyDescent="0.25">
      <c r="A157" s="5" t="s">
        <v>96</v>
      </c>
      <c r="B157" s="2">
        <v>-1960</v>
      </c>
      <c r="C157" s="2">
        <v>-1959</v>
      </c>
      <c r="D157" s="2">
        <v>-1958</v>
      </c>
      <c r="E157" s="2">
        <v>-1953</v>
      </c>
      <c r="F157" s="2">
        <v>-3183</v>
      </c>
      <c r="G157" s="2">
        <v>-2888</v>
      </c>
      <c r="I157" s="2">
        <f t="shared" si="112"/>
        <v>-13901</v>
      </c>
      <c r="K157" s="28">
        <f t="shared" ref="K157:P163" si="117">+B157/B$128</f>
        <v>-0.79384366140137708</v>
      </c>
      <c r="L157" s="28">
        <f t="shared" si="117"/>
        <v>-0.36521252796420584</v>
      </c>
      <c r="M157" s="28">
        <f t="shared" si="117"/>
        <v>-0.39724081963887198</v>
      </c>
      <c r="N157" s="28">
        <f t="shared" si="117"/>
        <v>-0.54983108108108103</v>
      </c>
      <c r="O157" s="28">
        <f t="shared" si="117"/>
        <v>-1.2365967365967365</v>
      </c>
      <c r="P157" s="28">
        <f t="shared" si="117"/>
        <v>-5.764471057884232</v>
      </c>
      <c r="Q157" s="28"/>
      <c r="S157" s="28">
        <f t="shared" ref="S157:S163" si="118">RATE(5,0,-G157,B157)</f>
        <v>-7.4595138905815289E-2</v>
      </c>
      <c r="T157" s="28">
        <f t="shared" si="56"/>
        <v>-5.6139946040355194E-2</v>
      </c>
      <c r="U157" s="28">
        <f t="shared" ref="U157:Y163" si="119">(+B157-C157)/C157</f>
        <v>5.1046452271567128E-4</v>
      </c>
      <c r="V157" s="28">
        <f t="shared" si="119"/>
        <v>5.1072522982635344E-4</v>
      </c>
      <c r="W157" s="28">
        <f t="shared" si="119"/>
        <v>2.5601638504864311E-3</v>
      </c>
      <c r="X157" s="28">
        <f t="shared" si="119"/>
        <v>-0.38642789820923656</v>
      </c>
      <c r="Y157" s="28">
        <f t="shared" si="119"/>
        <v>0.10214681440443213</v>
      </c>
    </row>
    <row r="158" spans="1:25" x14ac:dyDescent="0.25">
      <c r="A158" s="5" t="s">
        <v>97</v>
      </c>
      <c r="B158" s="2">
        <v>-299</v>
      </c>
      <c r="C158" s="2">
        <v>-259</v>
      </c>
      <c r="D158" s="2">
        <v>-60</v>
      </c>
      <c r="E158" s="2">
        <v>-33</v>
      </c>
      <c r="F158" s="2">
        <v>-28</v>
      </c>
      <c r="G158" s="2">
        <v>18</v>
      </c>
      <c r="I158" s="2">
        <f t="shared" si="112"/>
        <v>-661</v>
      </c>
      <c r="K158" s="28">
        <f t="shared" si="117"/>
        <v>-0.12110166059133252</v>
      </c>
      <c r="L158" s="28">
        <f t="shared" si="117"/>
        <v>-4.8284862043251303E-2</v>
      </c>
      <c r="M158" s="28">
        <f t="shared" si="117"/>
        <v>-1.2172854534388313E-2</v>
      </c>
      <c r="N158" s="28">
        <f t="shared" si="117"/>
        <v>-9.2905405405405411E-3</v>
      </c>
      <c r="O158" s="28">
        <f t="shared" si="117"/>
        <v>-1.0878010878010878E-2</v>
      </c>
      <c r="P158" s="28">
        <f t="shared" si="117"/>
        <v>3.5928143712574849E-2</v>
      </c>
      <c r="Q158" s="28"/>
      <c r="S158" s="28" t="e">
        <f t="shared" si="118"/>
        <v>#NUM!</v>
      </c>
      <c r="T158" s="28">
        <f t="shared" si="56"/>
        <v>0.38246090246090264</v>
      </c>
      <c r="U158" s="28">
        <f t="shared" si="119"/>
        <v>0.15444015444015444</v>
      </c>
      <c r="V158" s="28">
        <f t="shared" si="119"/>
        <v>3.3166666666666669</v>
      </c>
      <c r="W158" s="28">
        <f t="shared" si="119"/>
        <v>0.81818181818181823</v>
      </c>
      <c r="X158" s="28">
        <f t="shared" si="119"/>
        <v>0.17857142857142858</v>
      </c>
      <c r="Y158" s="28">
        <f t="shared" si="119"/>
        <v>-2.5555555555555554</v>
      </c>
    </row>
    <row r="159" spans="1:25" x14ac:dyDescent="0.25">
      <c r="A159" s="2" t="s">
        <v>98</v>
      </c>
      <c r="B159" s="10">
        <f>SUM(B156:B158)</f>
        <v>-3714</v>
      </c>
      <c r="C159" s="10">
        <f t="shared" ref="C159:G159" si="120">SUM(C156:C158)</f>
        <v>-9344</v>
      </c>
      <c r="D159" s="10">
        <f t="shared" si="120"/>
        <v>-3331</v>
      </c>
      <c r="E159" s="10">
        <f t="shared" si="120"/>
        <v>-3913</v>
      </c>
      <c r="F159" s="10">
        <f t="shared" si="120"/>
        <v>-3363</v>
      </c>
      <c r="G159" s="10">
        <f t="shared" si="120"/>
        <v>-4221</v>
      </c>
      <c r="H159" s="10"/>
      <c r="I159" s="10">
        <f t="shared" si="112"/>
        <v>-27886</v>
      </c>
      <c r="K159" s="33">
        <f t="shared" si="117"/>
        <v>-1.5042527339003646</v>
      </c>
      <c r="L159" s="33">
        <f t="shared" si="117"/>
        <v>-1.7419835943325876</v>
      </c>
      <c r="M159" s="33">
        <f t="shared" si="117"/>
        <v>-0.6757963075674579</v>
      </c>
      <c r="N159" s="33">
        <f t="shared" si="117"/>
        <v>-1.101632882882883</v>
      </c>
      <c r="O159" s="33">
        <f t="shared" si="117"/>
        <v>-1.3065268065268065</v>
      </c>
      <c r="P159" s="33">
        <f t="shared" si="117"/>
        <v>-8.4251497005988032</v>
      </c>
      <c r="Q159" s="33"/>
      <c r="R159" s="10"/>
      <c r="S159" s="33">
        <f t="shared" si="118"/>
        <v>-2.5267808183075099E-2</v>
      </c>
      <c r="T159" s="33">
        <f t="shared" ref="T159:T163" si="121">AVERAGE(U159:Y159)</f>
        <v>0.20283560611242665</v>
      </c>
      <c r="U159" s="33">
        <f t="shared" si="119"/>
        <v>-0.60252568493150682</v>
      </c>
      <c r="V159" s="33">
        <f t="shared" si="119"/>
        <v>1.805163614530171</v>
      </c>
      <c r="W159" s="33">
        <f t="shared" si="119"/>
        <v>-0.14873498594428827</v>
      </c>
      <c r="X159" s="33">
        <f t="shared" si="119"/>
        <v>0.16354445435622955</v>
      </c>
      <c r="Y159" s="33">
        <f t="shared" si="119"/>
        <v>-0.20326936744847193</v>
      </c>
    </row>
    <row r="160" spans="1:25" x14ac:dyDescent="0.25">
      <c r="A160" s="2" t="s">
        <v>99</v>
      </c>
      <c r="B160" s="2">
        <v>-69</v>
      </c>
      <c r="C160" s="2">
        <v>-30</v>
      </c>
      <c r="D160" s="2">
        <v>62</v>
      </c>
      <c r="E160" s="2">
        <v>-6</v>
      </c>
      <c r="F160" s="2">
        <v>-132</v>
      </c>
      <c r="G160" s="2">
        <v>57</v>
      </c>
      <c r="I160" s="2">
        <f t="shared" si="112"/>
        <v>-118</v>
      </c>
      <c r="K160" s="33">
        <f t="shared" si="117"/>
        <v>-2.7946537059538274E-2</v>
      </c>
      <c r="L160" s="33">
        <f t="shared" si="117"/>
        <v>-5.5928411633109623E-3</v>
      </c>
      <c r="M160" s="33">
        <f t="shared" si="117"/>
        <v>1.2578616352201259E-2</v>
      </c>
      <c r="N160" s="33">
        <f t="shared" si="117"/>
        <v>-1.6891891891891893E-3</v>
      </c>
      <c r="O160" s="33">
        <f t="shared" si="117"/>
        <v>-5.128205128205128E-2</v>
      </c>
      <c r="P160" s="33">
        <f t="shared" si="117"/>
        <v>0.11377245508982035</v>
      </c>
      <c r="Q160" s="33"/>
      <c r="R160" s="10"/>
      <c r="S160" s="33" t="e">
        <f t="shared" si="118"/>
        <v>#NUM!</v>
      </c>
      <c r="T160" s="33">
        <f t="shared" si="121"/>
        <v>-3.1575078458609869</v>
      </c>
      <c r="U160" s="33">
        <f t="shared" si="119"/>
        <v>1.3</v>
      </c>
      <c r="V160" s="33">
        <f t="shared" si="119"/>
        <v>-1.4838709677419355</v>
      </c>
      <c r="W160" s="33">
        <f t="shared" si="119"/>
        <v>-11.333333333333334</v>
      </c>
      <c r="X160" s="33">
        <f t="shared" si="119"/>
        <v>-0.95454545454545459</v>
      </c>
      <c r="Y160" s="33">
        <f t="shared" si="119"/>
        <v>-3.3157894736842106</v>
      </c>
    </row>
    <row r="161" spans="1:25" x14ac:dyDescent="0.25">
      <c r="A161" s="2" t="s">
        <v>100</v>
      </c>
      <c r="B161" s="6">
        <f t="shared" ref="B161:G161" si="122">+B160+B159+B147+B128</f>
        <v>-2405</v>
      </c>
      <c r="C161" s="6">
        <f t="shared" si="122"/>
        <v>28</v>
      </c>
      <c r="D161" s="6">
        <f t="shared" si="122"/>
        <v>1138</v>
      </c>
      <c r="E161" s="6">
        <f t="shared" si="122"/>
        <v>1144</v>
      </c>
      <c r="F161" s="6">
        <f t="shared" si="122"/>
        <v>-633</v>
      </c>
      <c r="G161" s="6">
        <f t="shared" si="122"/>
        <v>-2486</v>
      </c>
      <c r="H161" s="6"/>
      <c r="I161" s="6">
        <f t="shared" si="112"/>
        <v>-3214</v>
      </c>
      <c r="K161" s="28">
        <f t="shared" si="117"/>
        <v>-0.97407857432158773</v>
      </c>
      <c r="L161" s="28">
        <f t="shared" si="117"/>
        <v>5.219985085756898E-3</v>
      </c>
      <c r="M161" s="28">
        <f t="shared" si="117"/>
        <v>0.23087847433556502</v>
      </c>
      <c r="N161" s="28">
        <f t="shared" si="117"/>
        <v>0.32207207207207206</v>
      </c>
      <c r="O161" s="28">
        <f t="shared" si="117"/>
        <v>-0.24592074592074592</v>
      </c>
      <c r="P161" s="28">
        <f t="shared" si="117"/>
        <v>-4.9620758483033933</v>
      </c>
      <c r="Q161" s="28"/>
      <c r="S161" s="28">
        <f t="shared" si="118"/>
        <v>-6.6031208578273834E-3</v>
      </c>
      <c r="T161" s="28">
        <f t="shared" si="121"/>
        <v>-18.285227681247186</v>
      </c>
      <c r="U161" s="28">
        <f t="shared" si="119"/>
        <v>-86.892857142857139</v>
      </c>
      <c r="V161" s="28">
        <f t="shared" si="119"/>
        <v>-0.97539543057996481</v>
      </c>
      <c r="W161" s="28">
        <f t="shared" si="119"/>
        <v>-5.244755244755245E-3</v>
      </c>
      <c r="X161" s="28">
        <f t="shared" si="119"/>
        <v>-2.807266982622433</v>
      </c>
      <c r="Y161" s="28">
        <f t="shared" si="119"/>
        <v>-0.7453740949316171</v>
      </c>
    </row>
    <row r="162" spans="1:25" x14ac:dyDescent="0.25">
      <c r="A162" s="2" t="s">
        <v>101</v>
      </c>
      <c r="B162" s="2">
        <f>+C163</f>
        <v>3446</v>
      </c>
      <c r="C162" s="2">
        <f t="shared" ref="C162:E162" si="123">+D163</f>
        <v>3418</v>
      </c>
      <c r="D162" s="2">
        <v>2280</v>
      </c>
      <c r="E162" s="2">
        <f t="shared" si="123"/>
        <v>1136</v>
      </c>
      <c r="F162" s="2">
        <v>1769</v>
      </c>
      <c r="G162" s="2">
        <v>4255</v>
      </c>
      <c r="I162" s="2">
        <f>+G162</f>
        <v>4255</v>
      </c>
      <c r="K162" s="28">
        <f t="shared" si="117"/>
        <v>1.3957067638720129</v>
      </c>
      <c r="L162" s="28">
        <f t="shared" si="117"/>
        <v>0.63721103653989564</v>
      </c>
      <c r="M162" s="28">
        <f t="shared" si="117"/>
        <v>0.46256847230675591</v>
      </c>
      <c r="N162" s="28">
        <f t="shared" si="117"/>
        <v>0.31981981981981983</v>
      </c>
      <c r="O162" s="28">
        <f t="shared" si="117"/>
        <v>0.68725718725718721</v>
      </c>
      <c r="P162" s="28">
        <f t="shared" si="117"/>
        <v>8.4930139720558877</v>
      </c>
      <c r="Q162" s="28"/>
      <c r="S162" s="28">
        <f t="shared" si="118"/>
        <v>-4.1299085289094761E-2</v>
      </c>
      <c r="T162" s="28">
        <f t="shared" si="121"/>
        <v>0.11445477690487413</v>
      </c>
      <c r="U162" s="28">
        <f t="shared" si="119"/>
        <v>8.1919251023990641E-3</v>
      </c>
      <c r="V162" s="28">
        <f t="shared" si="119"/>
        <v>0.49912280701754386</v>
      </c>
      <c r="W162" s="28">
        <f t="shared" si="119"/>
        <v>1.0070422535211268</v>
      </c>
      <c r="X162" s="28">
        <f t="shared" si="119"/>
        <v>-0.35782928208027132</v>
      </c>
      <c r="Y162" s="28">
        <f t="shared" si="119"/>
        <v>-0.5842538190364277</v>
      </c>
    </row>
    <row r="163" spans="1:25" ht="15.75" thickBot="1" x14ac:dyDescent="0.3">
      <c r="A163" s="2" t="s">
        <v>102</v>
      </c>
      <c r="B163" s="9">
        <f>+B162+B161</f>
        <v>1041</v>
      </c>
      <c r="C163" s="9">
        <f t="shared" ref="C163:G163" si="124">+C162+C161</f>
        <v>3446</v>
      </c>
      <c r="D163" s="9">
        <f t="shared" si="124"/>
        <v>3418</v>
      </c>
      <c r="E163" s="9">
        <f t="shared" si="124"/>
        <v>2280</v>
      </c>
      <c r="F163" s="9">
        <f t="shared" si="124"/>
        <v>1136</v>
      </c>
      <c r="G163" s="9">
        <f t="shared" si="124"/>
        <v>1769</v>
      </c>
      <c r="H163" s="9"/>
      <c r="I163" s="9">
        <f>+I162+I161</f>
        <v>1041</v>
      </c>
      <c r="K163" s="32">
        <f t="shared" si="117"/>
        <v>0.42162818955042525</v>
      </c>
      <c r="L163" s="32">
        <f t="shared" si="117"/>
        <v>0.64243102162565247</v>
      </c>
      <c r="M163" s="32">
        <f t="shared" si="117"/>
        <v>0.69344694664232098</v>
      </c>
      <c r="N163" s="32">
        <f t="shared" si="117"/>
        <v>0.64189189189189189</v>
      </c>
      <c r="O163" s="32">
        <f t="shared" si="117"/>
        <v>0.44133644133644134</v>
      </c>
      <c r="P163" s="32">
        <f t="shared" si="117"/>
        <v>3.5309381237524948</v>
      </c>
      <c r="Q163" s="32"/>
      <c r="R163" s="11"/>
      <c r="S163" s="32">
        <f t="shared" si="118"/>
        <v>-0.10061719678040582</v>
      </c>
      <c r="T163" s="32">
        <f t="shared" si="121"/>
        <v>9.1723416510186367E-2</v>
      </c>
      <c r="U163" s="32">
        <f t="shared" si="119"/>
        <v>-0.69791062100986656</v>
      </c>
      <c r="V163" s="32">
        <f t="shared" si="119"/>
        <v>8.1919251023990641E-3</v>
      </c>
      <c r="W163" s="32">
        <f t="shared" si="119"/>
        <v>0.49912280701754386</v>
      </c>
      <c r="X163" s="32">
        <f t="shared" si="119"/>
        <v>1.0070422535211268</v>
      </c>
      <c r="Y163" s="32">
        <f t="shared" si="119"/>
        <v>-0.35782928208027132</v>
      </c>
    </row>
    <row r="164" spans="1:25" ht="15.75" thickTop="1" x14ac:dyDescent="0.25">
      <c r="A164" s="3" t="s">
        <v>190</v>
      </c>
      <c r="B164" s="2">
        <f t="shared" ref="B164:G164" si="125">+B163-B6</f>
        <v>1</v>
      </c>
      <c r="C164" s="2">
        <f t="shared" si="125"/>
        <v>1</v>
      </c>
      <c r="D164" s="2">
        <f t="shared" si="125"/>
        <v>1</v>
      </c>
      <c r="E164" s="2">
        <f t="shared" si="125"/>
        <v>1</v>
      </c>
      <c r="F164" s="2">
        <f t="shared" si="125"/>
        <v>6</v>
      </c>
      <c r="G164" s="2">
        <f t="shared" si="125"/>
        <v>140</v>
      </c>
    </row>
    <row r="165" spans="1:25" x14ac:dyDescent="0.25">
      <c r="A165" s="3"/>
    </row>
    <row r="166" spans="1:25" s="15" customFormat="1" x14ac:dyDescent="0.25">
      <c r="A166" s="15" t="s">
        <v>326</v>
      </c>
      <c r="B166" s="15" t="s">
        <v>139</v>
      </c>
    </row>
    <row r="167" spans="1:25" s="15" customFormat="1" x14ac:dyDescent="0.25">
      <c r="A167" s="15" t="s">
        <v>327</v>
      </c>
    </row>
    <row r="168" spans="1:25" s="15" customFormat="1" x14ac:dyDescent="0.25">
      <c r="A168" s="15" t="s">
        <v>2</v>
      </c>
      <c r="F168" s="15" t="s">
        <v>150</v>
      </c>
      <c r="G168" s="16" t="s">
        <v>125</v>
      </c>
      <c r="H168" s="16"/>
      <c r="I168" s="16"/>
      <c r="P168" s="16"/>
      <c r="Q168" s="16"/>
    </row>
    <row r="169" spans="1:25" s="15" customFormat="1" ht="15.75" thickBot="1" x14ac:dyDescent="0.3">
      <c r="A169" s="16" t="s">
        <v>328</v>
      </c>
      <c r="B169" s="17">
        <v>2022</v>
      </c>
      <c r="C169" s="17">
        <v>2021</v>
      </c>
      <c r="D169" s="17">
        <v>2020</v>
      </c>
      <c r="E169" s="17">
        <v>2019</v>
      </c>
      <c r="F169" s="17">
        <v>2018</v>
      </c>
      <c r="G169" s="17">
        <v>2017</v>
      </c>
      <c r="H169" s="17"/>
      <c r="I169" s="17" t="s">
        <v>157</v>
      </c>
      <c r="K169" s="17"/>
      <c r="L169" s="17"/>
      <c r="M169" s="17"/>
      <c r="N169" s="17"/>
      <c r="O169" s="17"/>
      <c r="P169" s="17"/>
      <c r="Q169" s="22"/>
      <c r="S169" s="29"/>
      <c r="T169" s="29"/>
      <c r="U169" s="17"/>
      <c r="V169" s="17"/>
      <c r="W169" s="17"/>
      <c r="X169" s="17"/>
      <c r="Y169" s="17"/>
    </row>
    <row r="170" spans="1:25" customFormat="1" x14ac:dyDescent="0.25">
      <c r="A170" t="s">
        <v>332</v>
      </c>
      <c r="B170" s="63">
        <f>B60</f>
        <v>26485</v>
      </c>
      <c r="C170" s="63">
        <f t="shared" ref="C170:G170" si="126">C60</f>
        <v>26042</v>
      </c>
      <c r="D170" s="63">
        <f t="shared" si="126"/>
        <v>26185</v>
      </c>
      <c r="E170" s="63">
        <f t="shared" si="126"/>
        <v>24977</v>
      </c>
      <c r="F170" s="63">
        <f t="shared" si="126"/>
        <v>26268</v>
      </c>
      <c r="G170" s="63">
        <f t="shared" si="126"/>
        <v>26076</v>
      </c>
      <c r="H170" s="63"/>
    </row>
    <row r="171" spans="1:25" customFormat="1" x14ac:dyDescent="0.25">
      <c r="A171" s="64" t="s">
        <v>330</v>
      </c>
      <c r="B171" s="30">
        <f>B172/B170</f>
        <v>0.14921653766282802</v>
      </c>
      <c r="C171" s="30">
        <f t="shared" ref="C171:G171" si="127">C172/C170</f>
        <v>0.19038476307503263</v>
      </c>
      <c r="D171" s="30">
        <f t="shared" si="127"/>
        <v>0.17074661065495514</v>
      </c>
      <c r="E171" s="30">
        <f t="shared" si="127"/>
        <v>0.15153941626296191</v>
      </c>
      <c r="F171" s="30">
        <f t="shared" si="127"/>
        <v>0.17652657225521548</v>
      </c>
      <c r="G171" s="30">
        <f t="shared" si="127"/>
        <v>0.14822058597944471</v>
      </c>
      <c r="H171" s="37"/>
    </row>
    <row r="172" spans="1:25" customFormat="1" x14ac:dyDescent="0.25">
      <c r="A172" t="s">
        <v>331</v>
      </c>
      <c r="B172" s="65">
        <f>B121</f>
        <v>3952</v>
      </c>
      <c r="C172" s="65">
        <f t="shared" ref="C172:G172" si="128">C121</f>
        <v>4958</v>
      </c>
      <c r="D172" s="65">
        <f t="shared" si="128"/>
        <v>4471</v>
      </c>
      <c r="E172" s="65">
        <f t="shared" si="128"/>
        <v>3785</v>
      </c>
      <c r="F172" s="65">
        <f t="shared" si="128"/>
        <v>4637</v>
      </c>
      <c r="G172" s="65">
        <f t="shared" si="128"/>
        <v>3865</v>
      </c>
      <c r="H172" s="65"/>
    </row>
    <row r="173" spans="1:25" customFormat="1" x14ac:dyDescent="0.25">
      <c r="A173" s="64" t="s">
        <v>333</v>
      </c>
      <c r="B173" s="66">
        <f>B174-B172</f>
        <v>-1483</v>
      </c>
      <c r="C173" s="66">
        <f t="shared" ref="C173:G173" si="129">C174-C172</f>
        <v>406</v>
      </c>
      <c r="D173" s="66">
        <f t="shared" si="129"/>
        <v>458</v>
      </c>
      <c r="E173" s="66">
        <f t="shared" si="129"/>
        <v>-233</v>
      </c>
      <c r="F173" s="66">
        <f t="shared" si="129"/>
        <v>-2063</v>
      </c>
      <c r="G173" s="66">
        <f t="shared" si="129"/>
        <v>-3364</v>
      </c>
      <c r="H173" s="65"/>
    </row>
    <row r="174" spans="1:25" customFormat="1" x14ac:dyDescent="0.25">
      <c r="A174" t="s">
        <v>308</v>
      </c>
      <c r="B174" s="65">
        <f>B139</f>
        <v>2469</v>
      </c>
      <c r="C174" s="65">
        <f t="shared" ref="C174:G174" si="130">C139</f>
        <v>5364</v>
      </c>
      <c r="D174" s="65">
        <f t="shared" si="130"/>
        <v>4929</v>
      </c>
      <c r="E174" s="65">
        <f t="shared" si="130"/>
        <v>3552</v>
      </c>
      <c r="F174" s="65">
        <f t="shared" si="130"/>
        <v>2574</v>
      </c>
      <c r="G174" s="65">
        <f t="shared" si="130"/>
        <v>501</v>
      </c>
      <c r="H174" s="65"/>
    </row>
    <row r="175" spans="1:25" customFormat="1" x14ac:dyDescent="0.25">
      <c r="A175" s="64" t="s">
        <v>334</v>
      </c>
      <c r="B175" s="66">
        <f>B141</f>
        <v>-916</v>
      </c>
      <c r="C175" s="66">
        <f t="shared" ref="C175:G175" si="131">C141</f>
        <v>-905</v>
      </c>
      <c r="D175" s="66">
        <f t="shared" si="131"/>
        <v>-596</v>
      </c>
      <c r="E175" s="66">
        <f t="shared" si="131"/>
        <v>-768</v>
      </c>
      <c r="F175" s="66">
        <f t="shared" si="131"/>
        <v>-826</v>
      </c>
      <c r="G175" s="66">
        <f t="shared" si="131"/>
        <v>-1194</v>
      </c>
      <c r="H175" s="65"/>
    </row>
    <row r="176" spans="1:25" customFormat="1" x14ac:dyDescent="0.25">
      <c r="A176" t="s">
        <v>195</v>
      </c>
      <c r="B176" s="65">
        <f>SUM(B174:B175)</f>
        <v>1553</v>
      </c>
      <c r="C176" s="65">
        <f t="shared" ref="C176:G176" si="132">SUM(C174:C175)</f>
        <v>4459</v>
      </c>
      <c r="D176" s="65">
        <f t="shared" si="132"/>
        <v>4333</v>
      </c>
      <c r="E176" s="65">
        <f t="shared" si="132"/>
        <v>2784</v>
      </c>
      <c r="F176" s="65">
        <f t="shared" si="132"/>
        <v>1748</v>
      </c>
      <c r="G176" s="65">
        <f t="shared" si="132"/>
        <v>-693</v>
      </c>
      <c r="H176" s="65"/>
    </row>
    <row r="177" spans="1:13" customFormat="1" x14ac:dyDescent="0.25">
      <c r="A177" s="64" t="s">
        <v>344</v>
      </c>
      <c r="B177" s="65">
        <f>B144</f>
        <v>208</v>
      </c>
      <c r="C177" s="65">
        <f t="shared" ref="C177:G177" si="133">C144</f>
        <v>-28</v>
      </c>
      <c r="D177" s="65">
        <f t="shared" si="133"/>
        <v>25</v>
      </c>
      <c r="E177" s="65">
        <f t="shared" si="133"/>
        <v>590</v>
      </c>
      <c r="F177" s="65">
        <f t="shared" si="133"/>
        <v>24</v>
      </c>
      <c r="G177" s="65">
        <f t="shared" si="133"/>
        <v>0</v>
      </c>
      <c r="H177" s="65"/>
    </row>
    <row r="178" spans="1:13" customFormat="1" x14ac:dyDescent="0.25">
      <c r="A178" s="64" t="s">
        <v>83</v>
      </c>
      <c r="B178" s="65">
        <f>B143</f>
        <v>-481</v>
      </c>
      <c r="C178" s="65">
        <f t="shared" ref="C178:G178" si="134">C143</f>
        <v>-74</v>
      </c>
      <c r="D178" s="65">
        <f t="shared" si="134"/>
        <v>0</v>
      </c>
      <c r="E178" s="65">
        <f t="shared" si="134"/>
        <v>-199</v>
      </c>
      <c r="F178" s="65">
        <f t="shared" si="134"/>
        <v>-248</v>
      </c>
      <c r="G178" s="65">
        <f t="shared" si="134"/>
        <v>0</v>
      </c>
      <c r="H178" s="65"/>
    </row>
    <row r="179" spans="1:13" customFormat="1" x14ac:dyDescent="0.25">
      <c r="A179" s="64" t="s">
        <v>335</v>
      </c>
      <c r="B179" s="65">
        <f>B156</f>
        <v>-1455</v>
      </c>
      <c r="C179" s="65">
        <f t="shared" ref="C179:G179" si="135">C156</f>
        <v>-7126</v>
      </c>
      <c r="D179" s="65">
        <f t="shared" si="135"/>
        <v>-1313</v>
      </c>
      <c r="E179" s="65">
        <f t="shared" si="135"/>
        <v>-1927</v>
      </c>
      <c r="F179" s="65">
        <f t="shared" si="135"/>
        <v>-152</v>
      </c>
      <c r="G179" s="65">
        <f t="shared" si="135"/>
        <v>-1351</v>
      </c>
      <c r="H179" s="65"/>
    </row>
    <row r="180" spans="1:13" customFormat="1" x14ac:dyDescent="0.25">
      <c r="A180" s="64" t="s">
        <v>345</v>
      </c>
      <c r="B180" s="65">
        <f>B142</f>
        <v>0</v>
      </c>
      <c r="C180" s="65">
        <f t="shared" ref="C180:G180" si="136">C142</f>
        <v>0</v>
      </c>
      <c r="D180" s="65">
        <f t="shared" si="136"/>
        <v>0</v>
      </c>
      <c r="E180" s="65">
        <f t="shared" si="136"/>
        <v>0</v>
      </c>
      <c r="F180" s="65">
        <f t="shared" si="136"/>
        <v>1296</v>
      </c>
      <c r="G180" s="65">
        <f t="shared" si="136"/>
        <v>2286</v>
      </c>
      <c r="H180" s="65"/>
    </row>
    <row r="181" spans="1:13" customFormat="1" x14ac:dyDescent="0.25">
      <c r="A181" s="64" t="s">
        <v>346</v>
      </c>
      <c r="B181" s="65">
        <f>B145</f>
        <v>88</v>
      </c>
      <c r="C181" s="65">
        <f t="shared" ref="C181:G181" si="137">C145</f>
        <v>5014</v>
      </c>
      <c r="D181" s="65">
        <f t="shared" si="137"/>
        <v>0</v>
      </c>
      <c r="E181" s="65">
        <f t="shared" si="137"/>
        <v>1875</v>
      </c>
      <c r="F181" s="65">
        <f t="shared" si="137"/>
        <v>18</v>
      </c>
      <c r="G181" s="65">
        <f t="shared" si="137"/>
        <v>0</v>
      </c>
      <c r="H181" s="65"/>
    </row>
    <row r="182" spans="1:13" customFormat="1" x14ac:dyDescent="0.25">
      <c r="A182" s="64" t="s">
        <v>336</v>
      </c>
      <c r="B182" s="65">
        <f>B157</f>
        <v>-1960</v>
      </c>
      <c r="C182" s="65">
        <f t="shared" ref="C182:G182" si="138">C157</f>
        <v>-1959</v>
      </c>
      <c r="D182" s="65">
        <f t="shared" si="138"/>
        <v>-1958</v>
      </c>
      <c r="E182" s="65">
        <f t="shared" si="138"/>
        <v>-1953</v>
      </c>
      <c r="F182" s="65">
        <f t="shared" si="138"/>
        <v>-3183</v>
      </c>
      <c r="G182" s="65">
        <f t="shared" si="138"/>
        <v>-2888</v>
      </c>
      <c r="H182" s="65"/>
    </row>
    <row r="183" spans="1:13" customFormat="1" x14ac:dyDescent="0.25">
      <c r="A183" s="64" t="s">
        <v>337</v>
      </c>
      <c r="B183" s="65">
        <f t="shared" ref="B183:G183" si="139">B184-SUM(B176:B182)</f>
        <v>-358</v>
      </c>
      <c r="C183" s="65">
        <f t="shared" si="139"/>
        <v>-258</v>
      </c>
      <c r="D183" s="65">
        <f t="shared" si="139"/>
        <v>51</v>
      </c>
      <c r="E183" s="65">
        <f t="shared" si="139"/>
        <v>-26</v>
      </c>
      <c r="F183" s="65">
        <f t="shared" si="139"/>
        <v>-136</v>
      </c>
      <c r="G183" s="65">
        <f t="shared" si="139"/>
        <v>160</v>
      </c>
      <c r="H183" s="65"/>
    </row>
    <row r="184" spans="1:13" customFormat="1" ht="15.75" thickBot="1" x14ac:dyDescent="0.3">
      <c r="A184" t="s">
        <v>338</v>
      </c>
      <c r="B184" s="67">
        <f>B161</f>
        <v>-2405</v>
      </c>
      <c r="C184" s="67">
        <f t="shared" ref="C184:G184" si="140">C161</f>
        <v>28</v>
      </c>
      <c r="D184" s="67">
        <f t="shared" si="140"/>
        <v>1138</v>
      </c>
      <c r="E184" s="67">
        <f t="shared" si="140"/>
        <v>1144</v>
      </c>
      <c r="F184" s="67">
        <f t="shared" si="140"/>
        <v>-633</v>
      </c>
      <c r="G184" s="67">
        <f t="shared" si="140"/>
        <v>-2486</v>
      </c>
      <c r="H184" s="65"/>
      <c r="I184" s="65"/>
      <c r="J184" s="65"/>
      <c r="K184" s="65"/>
      <c r="L184" s="65"/>
      <c r="M184" s="65"/>
    </row>
    <row r="185" spans="1:13" customFormat="1" ht="15.75" thickTop="1" x14ac:dyDescent="0.25"/>
    <row r="186" spans="1:13" customFormat="1" x14ac:dyDescent="0.25">
      <c r="A186" s="68" t="s">
        <v>331</v>
      </c>
      <c r="B186" s="8">
        <f>B121</f>
        <v>3952</v>
      </c>
      <c r="C186" s="8">
        <f>C121</f>
        <v>4958</v>
      </c>
      <c r="D186" s="8">
        <f t="shared" ref="D186:G186" si="141">D121</f>
        <v>4471</v>
      </c>
      <c r="E186" s="8">
        <f t="shared" si="141"/>
        <v>3785</v>
      </c>
      <c r="F186" s="8">
        <f t="shared" si="141"/>
        <v>4637</v>
      </c>
      <c r="G186" s="8">
        <f t="shared" si="141"/>
        <v>3865</v>
      </c>
      <c r="H186" s="8"/>
    </row>
    <row r="187" spans="1:13" customFormat="1" x14ac:dyDescent="0.25">
      <c r="A187" s="68" t="s">
        <v>195</v>
      </c>
      <c r="B187" s="69">
        <f>B176</f>
        <v>1553</v>
      </c>
      <c r="C187" s="69">
        <f>C176</f>
        <v>4459</v>
      </c>
      <c r="D187" s="69">
        <f t="shared" ref="D187:G187" si="142">D176</f>
        <v>4333</v>
      </c>
      <c r="E187" s="69">
        <f t="shared" si="142"/>
        <v>2784</v>
      </c>
      <c r="F187" s="69">
        <f t="shared" si="142"/>
        <v>1748</v>
      </c>
      <c r="G187" s="69">
        <f t="shared" si="142"/>
        <v>-693</v>
      </c>
      <c r="H187" s="69"/>
    </row>
    <row r="188" spans="1:13" customFormat="1" x14ac:dyDescent="0.25">
      <c r="A188" s="68" t="s">
        <v>306</v>
      </c>
      <c r="B188" s="69">
        <f>B187+(B70*0.75)</f>
        <v>2243.75</v>
      </c>
      <c r="C188" s="69">
        <f>C187+(C70*0.75)</f>
        <v>5994.25</v>
      </c>
      <c r="D188" s="69">
        <f t="shared" ref="D188:G188" si="143">D187+(D70*0.75)</f>
        <v>5378.5</v>
      </c>
      <c r="E188" s="69">
        <f t="shared" si="143"/>
        <v>3804.75</v>
      </c>
      <c r="F188" s="69">
        <f t="shared" si="143"/>
        <v>2711</v>
      </c>
      <c r="G188" s="69">
        <f t="shared" si="143"/>
        <v>232.5</v>
      </c>
      <c r="H188" s="69"/>
    </row>
    <row r="189" spans="1:13" customFormat="1" x14ac:dyDescent="0.25">
      <c r="A189" s="68" t="s">
        <v>347</v>
      </c>
      <c r="B189" s="8">
        <f>B188+B179</f>
        <v>788.75</v>
      </c>
      <c r="C189" s="8">
        <f>C188+C179</f>
        <v>-1131.75</v>
      </c>
      <c r="D189" s="8">
        <f t="shared" ref="D189:G189" si="144">D188+D179</f>
        <v>4065.5</v>
      </c>
      <c r="E189" s="8">
        <f t="shared" si="144"/>
        <v>1877.75</v>
      </c>
      <c r="F189" s="8">
        <f t="shared" si="144"/>
        <v>2559</v>
      </c>
      <c r="G189" s="8">
        <f t="shared" si="144"/>
        <v>-1118.5</v>
      </c>
      <c r="H189" s="8"/>
    </row>
    <row r="190" spans="1:13" customFormat="1" x14ac:dyDescent="0.25"/>
    <row r="191" spans="1:13" customFormat="1" x14ac:dyDescent="0.25">
      <c r="A191" t="s">
        <v>329</v>
      </c>
      <c r="B191" s="70">
        <f t="shared" ref="B191:F191" si="145">-B141/B109</f>
        <v>0.98177920685959275</v>
      </c>
      <c r="C191" s="70">
        <f t="shared" si="145"/>
        <v>0.99450549450549453</v>
      </c>
      <c r="D191" s="70">
        <f t="shared" si="145"/>
        <v>0.61506707946336425</v>
      </c>
      <c r="E191" s="70">
        <f t="shared" si="145"/>
        <v>0.77263581488933597</v>
      </c>
      <c r="F191" s="70">
        <f t="shared" si="145"/>
        <v>0.84028484231943035</v>
      </c>
      <c r="G191" s="70">
        <f>-G141/G109</f>
        <v>1.1580989330746847</v>
      </c>
      <c r="H191" s="70"/>
    </row>
    <row r="192" spans="1:13" customFormat="1" x14ac:dyDescent="0.25">
      <c r="A192" t="s">
        <v>339</v>
      </c>
      <c r="B192" s="70">
        <f>B15/B109</f>
        <v>11.738478027867096</v>
      </c>
      <c r="C192" s="70">
        <f t="shared" ref="C192:G192" si="146">C15/C109</f>
        <v>11.729670329670329</v>
      </c>
      <c r="D192" s="70">
        <f t="shared" si="146"/>
        <v>10.77296181630547</v>
      </c>
      <c r="E192" s="70">
        <f t="shared" si="146"/>
        <v>10.303822937625755</v>
      </c>
      <c r="F192" s="70">
        <f t="shared" si="146"/>
        <v>9.8290946083418103</v>
      </c>
      <c r="G192" s="70">
        <f t="shared" si="146"/>
        <v>8.874878758486906</v>
      </c>
      <c r="H192" s="70"/>
    </row>
    <row r="193" spans="1:9" customFormat="1" x14ac:dyDescent="0.25">
      <c r="A193" t="s">
        <v>340</v>
      </c>
      <c r="B193" s="70">
        <f>-B16/B109</f>
        <v>4.514469453376206</v>
      </c>
      <c r="C193" s="70">
        <f t="shared" ref="C193:G193" si="147">-C16/C109</f>
        <v>4.2505494505494505</v>
      </c>
      <c r="D193" s="70">
        <f t="shared" si="147"/>
        <v>3.6769865841073273</v>
      </c>
      <c r="E193" s="70">
        <f t="shared" si="147"/>
        <v>3.2062374245472838</v>
      </c>
      <c r="F193" s="70">
        <f t="shared" si="147"/>
        <v>2.6286876907426246</v>
      </c>
      <c r="G193" s="70">
        <f t="shared" si="147"/>
        <v>2.0261881668283221</v>
      </c>
      <c r="H193" s="70"/>
    </row>
    <row r="194" spans="1:9" customFormat="1" x14ac:dyDescent="0.25">
      <c r="A194" t="s">
        <v>341</v>
      </c>
      <c r="B194" s="70">
        <f>B192-B193</f>
        <v>7.22400857449089</v>
      </c>
      <c r="C194" s="70">
        <f t="shared" ref="C194:G194" si="148">C192-C193</f>
        <v>7.4791208791208783</v>
      </c>
      <c r="D194" s="70">
        <f t="shared" si="148"/>
        <v>7.0959752321981426</v>
      </c>
      <c r="E194" s="70">
        <f t="shared" si="148"/>
        <v>7.0975855130784709</v>
      </c>
      <c r="F194" s="70">
        <f t="shared" si="148"/>
        <v>7.2004069175991852</v>
      </c>
      <c r="G194" s="70">
        <f t="shared" si="148"/>
        <v>6.8486905916585838</v>
      </c>
      <c r="H194" s="70"/>
    </row>
    <row r="195" spans="1:9" customFormat="1" x14ac:dyDescent="0.25">
      <c r="A195" t="s">
        <v>342</v>
      </c>
      <c r="B195" s="28">
        <f>B193/B192</f>
        <v>0.38458728999269537</v>
      </c>
      <c r="C195" s="28">
        <f t="shared" ref="C195:G195" si="149">C193/C192</f>
        <v>0.36237586659171822</v>
      </c>
      <c r="D195" s="28">
        <f t="shared" si="149"/>
        <v>0.34131621802854678</v>
      </c>
      <c r="E195" s="28">
        <f t="shared" si="149"/>
        <v>0.31116969341925405</v>
      </c>
      <c r="F195" s="28">
        <f t="shared" si="149"/>
        <v>0.26743945352928999</v>
      </c>
      <c r="G195" s="28">
        <f t="shared" si="149"/>
        <v>0.22830601092896177</v>
      </c>
      <c r="H195" s="28"/>
    </row>
    <row r="196" spans="1:9" customFormat="1" x14ac:dyDescent="0.25">
      <c r="A196" t="s">
        <v>343</v>
      </c>
      <c r="B196" s="70">
        <v>0</v>
      </c>
      <c r="C196" s="70">
        <v>0</v>
      </c>
      <c r="D196" s="70">
        <v>0</v>
      </c>
      <c r="E196" s="70">
        <v>0</v>
      </c>
      <c r="F196" s="70">
        <v>0</v>
      </c>
      <c r="G196" s="70">
        <v>0</v>
      </c>
      <c r="H196" s="70"/>
    </row>
    <row r="198" spans="1:9" x14ac:dyDescent="0.25">
      <c r="A198" s="2" t="s">
        <v>103</v>
      </c>
      <c r="B198" s="8">
        <v>937</v>
      </c>
      <c r="C198" s="8">
        <v>1196</v>
      </c>
      <c r="D198" s="8">
        <v>1286</v>
      </c>
      <c r="E198" s="8">
        <v>1306</v>
      </c>
      <c r="F198" s="8">
        <v>1322</v>
      </c>
      <c r="G198" s="8">
        <v>1269</v>
      </c>
      <c r="H198" s="8"/>
      <c r="I198" s="8"/>
    </row>
    <row r="199" spans="1:9" x14ac:dyDescent="0.25">
      <c r="A199" s="2" t="s">
        <v>104</v>
      </c>
      <c r="B199" s="2">
        <v>1260</v>
      </c>
      <c r="C199" s="2">
        <v>1295</v>
      </c>
      <c r="D199" s="2">
        <v>1027</v>
      </c>
      <c r="E199" s="2">
        <v>974</v>
      </c>
      <c r="F199" s="2">
        <v>543</v>
      </c>
      <c r="G199" s="2">
        <v>1206</v>
      </c>
    </row>
    <row r="200" spans="1:9" x14ac:dyDescent="0.25">
      <c r="A200" s="2" t="s">
        <v>105</v>
      </c>
      <c r="B200" s="8">
        <v>173</v>
      </c>
      <c r="C200" s="8">
        <v>176</v>
      </c>
      <c r="D200" s="8">
        <v>173</v>
      </c>
      <c r="E200" s="8">
        <v>191</v>
      </c>
      <c r="F200" s="8">
        <v>200</v>
      </c>
      <c r="G200" s="8">
        <v>244</v>
      </c>
      <c r="H200" s="8"/>
      <c r="I200" s="8"/>
    </row>
    <row r="202" spans="1:9" s="15" customFormat="1" x14ac:dyDescent="0.25">
      <c r="A202" s="15" t="str">
        <f>+A1</f>
        <v>Kraft Heinz Company</v>
      </c>
      <c r="B202" s="15" t="str">
        <f>+B1</f>
        <v>Reclassified</v>
      </c>
    </row>
    <row r="203" spans="1:9" s="15" customFormat="1" x14ac:dyDescent="0.25">
      <c r="A203" s="15" t="s">
        <v>106</v>
      </c>
    </row>
    <row r="204" spans="1:9" s="15" customFormat="1" x14ac:dyDescent="0.25">
      <c r="A204" s="15" t="str">
        <f>+A3</f>
        <v>in millions except per share data</v>
      </c>
      <c r="F204" s="15" t="s">
        <v>150</v>
      </c>
      <c r="G204" s="16" t="s">
        <v>125</v>
      </c>
      <c r="H204" s="16"/>
      <c r="I204" s="16"/>
    </row>
    <row r="205" spans="1:9" s="15" customFormat="1" ht="15.75" thickBot="1" x14ac:dyDescent="0.3">
      <c r="A205" s="16" t="str">
        <f>+A4</f>
        <v>Year ended near 12/31:</v>
      </c>
      <c r="B205" s="17">
        <v>2022</v>
      </c>
      <c r="C205" s="17">
        <v>2021</v>
      </c>
      <c r="D205" s="17">
        <v>2020</v>
      </c>
      <c r="E205" s="17">
        <v>2019</v>
      </c>
      <c r="F205" s="17">
        <v>2018</v>
      </c>
      <c r="G205" s="17">
        <v>2017</v>
      </c>
      <c r="H205" s="22"/>
      <c r="I205" s="22"/>
    </row>
    <row r="206" spans="1:9" s="23" customFormat="1" x14ac:dyDescent="0.25">
      <c r="A206" s="23" t="s">
        <v>122</v>
      </c>
      <c r="B206" s="26">
        <v>945</v>
      </c>
      <c r="C206" s="26">
        <v>1039</v>
      </c>
      <c r="D206" s="26">
        <v>1070</v>
      </c>
      <c r="E206" s="26">
        <v>1100</v>
      </c>
      <c r="F206" s="26">
        <v>1140</v>
      </c>
      <c r="G206" s="26">
        <v>1115</v>
      </c>
      <c r="H206" s="26"/>
      <c r="I206" s="26"/>
    </row>
    <row r="207" spans="1:9" s="23" customFormat="1" x14ac:dyDescent="0.25">
      <c r="A207" s="23" t="s">
        <v>123</v>
      </c>
      <c r="B207" s="25">
        <v>127</v>
      </c>
      <c r="C207" s="25">
        <v>140</v>
      </c>
      <c r="D207" s="25">
        <v>119</v>
      </c>
      <c r="E207" s="25">
        <v>112</v>
      </c>
      <c r="F207" s="25">
        <v>109</v>
      </c>
      <c r="G207" s="25">
        <v>93</v>
      </c>
      <c r="H207" s="25"/>
      <c r="I207" s="25"/>
    </row>
    <row r="208" spans="1:9" s="23" customFormat="1" x14ac:dyDescent="0.25">
      <c r="B208" s="24"/>
      <c r="C208" s="24"/>
      <c r="D208" s="24"/>
      <c r="E208" s="24"/>
      <c r="F208" s="24"/>
      <c r="G208" s="24"/>
      <c r="H208" s="24"/>
      <c r="I208" s="24"/>
    </row>
    <row r="209" spans="1:9" x14ac:dyDescent="0.25">
      <c r="A209" s="2" t="s">
        <v>108</v>
      </c>
      <c r="B209" s="8">
        <v>200</v>
      </c>
      <c r="C209" s="8">
        <v>207</v>
      </c>
      <c r="D209" s="8">
        <v>219</v>
      </c>
      <c r="E209" s="8">
        <v>210</v>
      </c>
      <c r="F209" s="8">
        <v>218</v>
      </c>
      <c r="G209" s="8">
        <v>250</v>
      </c>
      <c r="H209" s="8"/>
      <c r="I209" s="8"/>
    </row>
    <row r="210" spans="1:9" x14ac:dyDescent="0.25">
      <c r="A210" s="2" t="s">
        <v>109</v>
      </c>
      <c r="B210" s="2">
        <v>1161</v>
      </c>
      <c r="C210" s="2">
        <v>1002</v>
      </c>
      <c r="D210" s="2">
        <v>792</v>
      </c>
      <c r="E210" s="2">
        <v>1033</v>
      </c>
      <c r="F210" s="2">
        <v>1165</v>
      </c>
      <c r="G210" s="2">
        <v>1345</v>
      </c>
    </row>
    <row r="211" spans="1:9" x14ac:dyDescent="0.25">
      <c r="A211" s="2" t="s">
        <v>110</v>
      </c>
      <c r="B211" s="2">
        <f>+B212-B210-B209</f>
        <v>9591</v>
      </c>
      <c r="C211" s="2">
        <f t="shared" ref="C211:G211" si="150">+C212-C210-C209</f>
        <v>9465</v>
      </c>
      <c r="D211" s="2">
        <f t="shared" si="150"/>
        <v>9428</v>
      </c>
      <c r="E211" s="2">
        <f t="shared" si="150"/>
        <v>8999</v>
      </c>
      <c r="F211" s="2">
        <f t="shared" si="150"/>
        <v>8279</v>
      </c>
      <c r="G211" s="2">
        <f t="shared" si="150"/>
        <v>7555</v>
      </c>
    </row>
    <row r="212" spans="1:9" x14ac:dyDescent="0.25">
      <c r="A212" s="2" t="s">
        <v>111</v>
      </c>
      <c r="B212" s="6">
        <f>+B214-B213</f>
        <v>10952</v>
      </c>
      <c r="C212" s="6">
        <f t="shared" ref="C212:G212" si="151">+C214-C213</f>
        <v>10674</v>
      </c>
      <c r="D212" s="6">
        <f t="shared" si="151"/>
        <v>10439</v>
      </c>
      <c r="E212" s="6">
        <f t="shared" si="151"/>
        <v>10242</v>
      </c>
      <c r="F212" s="6">
        <f t="shared" si="151"/>
        <v>9662</v>
      </c>
      <c r="G212" s="6">
        <f t="shared" si="151"/>
        <v>9150</v>
      </c>
      <c r="H212" s="34"/>
      <c r="I212" s="34"/>
    </row>
    <row r="213" spans="1:9" x14ac:dyDescent="0.25">
      <c r="A213" s="2" t="s">
        <v>112</v>
      </c>
      <c r="B213" s="2">
        <v>-4212</v>
      </c>
      <c r="C213" s="2">
        <v>-3868</v>
      </c>
      <c r="D213" s="2">
        <v>-3563</v>
      </c>
      <c r="E213" s="2">
        <v>-3187</v>
      </c>
      <c r="F213" s="2">
        <v>-2584</v>
      </c>
      <c r="G213" s="2">
        <v>-2089</v>
      </c>
    </row>
    <row r="214" spans="1:9" ht="15.75" thickBot="1" x14ac:dyDescent="0.3">
      <c r="A214" s="2" t="s">
        <v>113</v>
      </c>
      <c r="B214" s="9">
        <f t="shared" ref="B214:G214" si="152">+B17</f>
        <v>6740</v>
      </c>
      <c r="C214" s="9">
        <f t="shared" si="152"/>
        <v>6806</v>
      </c>
      <c r="D214" s="9">
        <f t="shared" si="152"/>
        <v>6876</v>
      </c>
      <c r="E214" s="9">
        <f t="shared" si="152"/>
        <v>7055</v>
      </c>
      <c r="F214" s="9">
        <f t="shared" si="152"/>
        <v>7078</v>
      </c>
      <c r="G214" s="9">
        <f t="shared" si="152"/>
        <v>7061</v>
      </c>
      <c r="H214" s="36"/>
      <c r="I214" s="36"/>
    </row>
    <row r="215" spans="1:9" ht="15.75" thickTop="1" x14ac:dyDescent="0.25"/>
    <row r="216" spans="1:9" x14ac:dyDescent="0.25">
      <c r="A216" s="2" t="s">
        <v>114</v>
      </c>
      <c r="B216" s="8">
        <v>672</v>
      </c>
      <c r="C216" s="8">
        <v>671</v>
      </c>
      <c r="D216" s="8">
        <v>705</v>
      </c>
      <c r="E216" s="8">
        <v>708</v>
      </c>
      <c r="F216" s="8">
        <v>693</v>
      </c>
      <c r="G216" s="8">
        <v>680</v>
      </c>
      <c r="H216" s="8"/>
      <c r="I216" s="8"/>
    </row>
    <row r="218" spans="1:9" x14ac:dyDescent="0.25">
      <c r="A218" s="2" t="s">
        <v>115</v>
      </c>
      <c r="B218" s="8">
        <v>668</v>
      </c>
      <c r="C218" s="8">
        <v>569</v>
      </c>
      <c r="D218" s="8">
        <v>562</v>
      </c>
      <c r="E218" s="8">
        <v>542</v>
      </c>
      <c r="F218" s="8">
        <v>0</v>
      </c>
      <c r="G218" s="8">
        <v>0</v>
      </c>
      <c r="H218" s="8"/>
      <c r="I218" s="8"/>
    </row>
    <row r="219" spans="1:9" x14ac:dyDescent="0.25">
      <c r="A219" s="2" t="s">
        <v>116</v>
      </c>
      <c r="B219" s="2">
        <v>125</v>
      </c>
      <c r="C219" s="2">
        <v>133</v>
      </c>
      <c r="D219" s="2">
        <v>135</v>
      </c>
      <c r="E219" s="2">
        <v>147</v>
      </c>
      <c r="F219" s="2">
        <v>0</v>
      </c>
      <c r="G219" s="2">
        <v>0</v>
      </c>
    </row>
    <row r="220" spans="1:9" x14ac:dyDescent="0.25">
      <c r="A220" s="2" t="s">
        <v>117</v>
      </c>
      <c r="B220" s="8">
        <v>585</v>
      </c>
      <c r="C220" s="8">
        <v>484</v>
      </c>
      <c r="D220" s="8">
        <v>475</v>
      </c>
      <c r="E220" s="8">
        <v>454</v>
      </c>
      <c r="F220" s="8">
        <v>0</v>
      </c>
      <c r="G220" s="8">
        <v>0</v>
      </c>
      <c r="H220" s="8"/>
      <c r="I220" s="8"/>
    </row>
    <row r="223" spans="1:9" s="13" customFormat="1" x14ac:dyDescent="0.25">
      <c r="A223" s="13" t="str">
        <f>+A1</f>
        <v>Kraft Heinz Company</v>
      </c>
      <c r="B223" s="15" t="str">
        <f>+B1</f>
        <v>Reclassified</v>
      </c>
      <c r="C223" s="15"/>
      <c r="D223" s="15"/>
      <c r="E223" s="15"/>
      <c r="F223" s="15"/>
      <c r="G223" s="15"/>
      <c r="H223" s="15"/>
      <c r="I223" s="15"/>
    </row>
    <row r="224" spans="1:9" s="13" customFormat="1" x14ac:dyDescent="0.25">
      <c r="A224" s="13" t="s">
        <v>146</v>
      </c>
      <c r="B224" s="15"/>
      <c r="C224" s="15"/>
      <c r="D224" s="15"/>
      <c r="E224" s="15"/>
      <c r="F224" s="15"/>
      <c r="G224" s="15"/>
      <c r="H224" s="15"/>
      <c r="I224" s="15"/>
    </row>
    <row r="225" spans="1:25" s="13" customFormat="1" x14ac:dyDescent="0.25">
      <c r="A225" s="13" t="str">
        <f>+A3</f>
        <v>in millions except per share data</v>
      </c>
      <c r="B225" s="15"/>
      <c r="C225" s="15"/>
      <c r="D225" s="15"/>
      <c r="E225" s="15"/>
      <c r="F225" s="15" t="s">
        <v>150</v>
      </c>
      <c r="G225" s="16" t="s">
        <v>125</v>
      </c>
      <c r="H225" s="16"/>
      <c r="I225" s="16"/>
    </row>
    <row r="226" spans="1:25" s="13" customFormat="1" ht="15.75" thickBot="1" x14ac:dyDescent="0.3">
      <c r="A226" s="14" t="str">
        <f>+A4</f>
        <v>Year ended near 12/31:</v>
      </c>
      <c r="B226" s="17">
        <v>2022</v>
      </c>
      <c r="C226" s="17">
        <v>2021</v>
      </c>
      <c r="D226" s="17">
        <v>2020</v>
      </c>
      <c r="E226" s="17">
        <v>2019</v>
      </c>
      <c r="F226" s="17">
        <v>2018</v>
      </c>
      <c r="G226" s="17">
        <v>2017</v>
      </c>
      <c r="H226" s="22"/>
      <c r="I226" s="22"/>
    </row>
    <row r="227" spans="1:25" x14ac:dyDescent="0.25">
      <c r="A227" s="5" t="s">
        <v>124</v>
      </c>
      <c r="B227" s="8">
        <v>0</v>
      </c>
      <c r="C227" s="8">
        <v>0</v>
      </c>
      <c r="D227" s="8">
        <v>0</v>
      </c>
      <c r="E227" s="8">
        <v>0</v>
      </c>
      <c r="F227" s="8">
        <v>152</v>
      </c>
      <c r="G227" s="8">
        <v>538</v>
      </c>
      <c r="H227" s="8"/>
      <c r="I227" s="8"/>
      <c r="K227" s="28">
        <f t="shared" ref="K227:P230" si="153">+B227/B$21</f>
        <v>0</v>
      </c>
      <c r="L227" s="28">
        <f t="shared" si="153"/>
        <v>0</v>
      </c>
      <c r="M227" s="28">
        <f t="shared" si="153"/>
        <v>0</v>
      </c>
      <c r="N227" s="28">
        <f t="shared" si="153"/>
        <v>0</v>
      </c>
      <c r="O227" s="28">
        <f t="shared" si="153"/>
        <v>1.4691526275601434E-3</v>
      </c>
      <c r="P227" s="28">
        <f t="shared" si="153"/>
        <v>4.4798987442960401E-3</v>
      </c>
      <c r="Q227" s="28"/>
      <c r="S227" s="28">
        <f>RATE(5,0,-G227,B227)</f>
        <v>-0.99999940914518248</v>
      </c>
      <c r="T227" s="28" t="e">
        <f t="shared" ref="T227:T230" si="154">AVERAGE(U227:Y227)</f>
        <v>#DIV/0!</v>
      </c>
      <c r="U227" s="28" t="e">
        <f t="shared" ref="U227:Y230" si="155">(+B227-C227)/C227</f>
        <v>#DIV/0!</v>
      </c>
      <c r="V227" s="28" t="e">
        <f t="shared" si="155"/>
        <v>#DIV/0!</v>
      </c>
      <c r="W227" s="28" t="e">
        <f t="shared" si="155"/>
        <v>#DIV/0!</v>
      </c>
      <c r="X227" s="28">
        <f t="shared" si="155"/>
        <v>-1</v>
      </c>
      <c r="Y227" s="28">
        <f t="shared" si="155"/>
        <v>-0.71747211895910779</v>
      </c>
    </row>
    <row r="228" spans="1:25" x14ac:dyDescent="0.25">
      <c r="A228" s="5" t="s">
        <v>9</v>
      </c>
      <c r="B228" s="2">
        <v>240</v>
      </c>
      <c r="C228" s="2">
        <v>136</v>
      </c>
      <c r="D228" s="2">
        <v>351</v>
      </c>
      <c r="E228" s="2">
        <v>384</v>
      </c>
      <c r="F228" s="2">
        <v>400</v>
      </c>
      <c r="G228" s="2">
        <v>345</v>
      </c>
      <c r="K228" s="28">
        <f t="shared" si="153"/>
        <v>2.6515528156176461E-3</v>
      </c>
      <c r="L228" s="28">
        <f t="shared" si="153"/>
        <v>1.4561963295286636E-3</v>
      </c>
      <c r="M228" s="28">
        <f t="shared" si="153"/>
        <v>3.5159771611739956E-3</v>
      </c>
      <c r="N228" s="28">
        <f t="shared" si="153"/>
        <v>3.7851158206012813E-3</v>
      </c>
      <c r="O228" s="28">
        <f t="shared" si="153"/>
        <v>3.8661911251582724E-3</v>
      </c>
      <c r="P228" s="28">
        <f t="shared" si="153"/>
        <v>2.8727975218998769E-3</v>
      </c>
      <c r="Q228" s="28"/>
      <c r="S228" s="28">
        <f>RATE(5,0,-G228,B228)</f>
        <v>-7.0009677432707695E-2</v>
      </c>
      <c r="T228" s="28">
        <f t="shared" si="154"/>
        <v>3.7130611934480209E-2</v>
      </c>
      <c r="U228" s="28">
        <f t="shared" si="155"/>
        <v>0.76470588235294112</v>
      </c>
      <c r="V228" s="28">
        <f t="shared" si="155"/>
        <v>-0.61253561253561251</v>
      </c>
      <c r="W228" s="28">
        <f t="shared" si="155"/>
        <v>-8.59375E-2</v>
      </c>
      <c r="X228" s="28">
        <f t="shared" si="155"/>
        <v>-0.04</v>
      </c>
      <c r="Y228" s="28">
        <f t="shared" si="155"/>
        <v>0.15942028985507245</v>
      </c>
    </row>
    <row r="229" spans="1:25" x14ac:dyDescent="0.25">
      <c r="A229" s="5" t="s">
        <v>10</v>
      </c>
      <c r="B229" s="2">
        <v>842</v>
      </c>
      <c r="C229" s="2">
        <v>716</v>
      </c>
      <c r="D229" s="2">
        <v>574</v>
      </c>
      <c r="E229" s="2">
        <v>618</v>
      </c>
      <c r="F229" s="2">
        <v>1221</v>
      </c>
      <c r="G229" s="2">
        <v>655</v>
      </c>
      <c r="K229" s="28">
        <f t="shared" si="153"/>
        <v>9.3025311281252424E-3</v>
      </c>
      <c r="L229" s="28">
        <f t="shared" si="153"/>
        <v>7.6664453819303164E-3</v>
      </c>
      <c r="M229" s="28">
        <f t="shared" si="153"/>
        <v>5.7497746168486425E-3</v>
      </c>
      <c r="N229" s="28">
        <f t="shared" si="153"/>
        <v>6.091670773780187E-3</v>
      </c>
      <c r="O229" s="28">
        <f t="shared" si="153"/>
        <v>1.1801548409545625E-2</v>
      </c>
      <c r="P229" s="28">
        <f t="shared" si="153"/>
        <v>5.4541518169403461E-3</v>
      </c>
      <c r="Q229" s="28"/>
      <c r="S229" s="28">
        <f>RATE(5,0,-G229,B229)</f>
        <v>5.1511818464607374E-2</v>
      </c>
      <c r="T229" s="28">
        <f t="shared" si="154"/>
        <v>0.1444863291514033</v>
      </c>
      <c r="U229" s="28">
        <f t="shared" si="155"/>
        <v>0.17597765363128492</v>
      </c>
      <c r="V229" s="28">
        <f t="shared" si="155"/>
        <v>0.24738675958188153</v>
      </c>
      <c r="W229" s="28">
        <f t="shared" si="155"/>
        <v>-7.1197411003236247E-2</v>
      </c>
      <c r="X229" s="28">
        <f t="shared" si="155"/>
        <v>-0.49385749385749383</v>
      </c>
      <c r="Y229" s="28">
        <f t="shared" si="155"/>
        <v>0.8641221374045801</v>
      </c>
    </row>
    <row r="230" spans="1:25" x14ac:dyDescent="0.25">
      <c r="A230" s="5" t="s">
        <v>11</v>
      </c>
      <c r="B230" s="2">
        <v>4</v>
      </c>
      <c r="C230" s="2">
        <v>11</v>
      </c>
      <c r="D230" s="2">
        <v>1863</v>
      </c>
      <c r="E230" s="2">
        <v>122</v>
      </c>
      <c r="F230" s="2">
        <v>1376</v>
      </c>
      <c r="G230" s="2">
        <v>353</v>
      </c>
      <c r="K230" s="30">
        <f t="shared" si="153"/>
        <v>4.4192546926960765E-5</v>
      </c>
      <c r="L230" s="30">
        <f t="shared" si="153"/>
        <v>1.1778058547658308E-4</v>
      </c>
      <c r="M230" s="30">
        <f t="shared" si="153"/>
        <v>1.8661724932385056E-2</v>
      </c>
      <c r="N230" s="30">
        <f t="shared" si="153"/>
        <v>1.2025628388368655E-3</v>
      </c>
      <c r="O230" s="30">
        <f t="shared" si="153"/>
        <v>1.3299697470544457E-2</v>
      </c>
      <c r="P230" s="30">
        <f t="shared" si="153"/>
        <v>2.9394131166105984E-3</v>
      </c>
      <c r="Q230" s="30"/>
      <c r="R230" s="31"/>
      <c r="S230" s="30">
        <f>RATE(5,0,-G230,B230)</f>
        <v>-0.59181498497391294</v>
      </c>
      <c r="T230" s="30">
        <f t="shared" si="154"/>
        <v>2.9253424819919362</v>
      </c>
      <c r="U230" s="30">
        <f t="shared" si="155"/>
        <v>-0.63636363636363635</v>
      </c>
      <c r="V230" s="30">
        <f t="shared" si="155"/>
        <v>-0.99409554482018248</v>
      </c>
      <c r="W230" s="30">
        <f t="shared" si="155"/>
        <v>14.270491803278688</v>
      </c>
      <c r="X230" s="30">
        <f t="shared" si="155"/>
        <v>-0.91133720930232553</v>
      </c>
      <c r="Y230" s="30">
        <f t="shared" si="155"/>
        <v>2.8980169971671388</v>
      </c>
    </row>
    <row r="231" spans="1:25" ht="15.75" thickBot="1" x14ac:dyDescent="0.3">
      <c r="A231" s="2" t="s">
        <v>10</v>
      </c>
      <c r="B231" s="9">
        <f>SUM(B227:B230)</f>
        <v>1086</v>
      </c>
      <c r="C231" s="9">
        <f t="shared" ref="C231:G231" si="156">SUM(C227:C230)</f>
        <v>863</v>
      </c>
      <c r="D231" s="9">
        <f t="shared" si="156"/>
        <v>2788</v>
      </c>
      <c r="E231" s="9">
        <f t="shared" si="156"/>
        <v>1124</v>
      </c>
      <c r="F231" s="9">
        <f t="shared" si="156"/>
        <v>3149</v>
      </c>
      <c r="G231" s="9">
        <f t="shared" si="156"/>
        <v>1891</v>
      </c>
      <c r="H231" s="36"/>
      <c r="I231" s="36"/>
    </row>
    <row r="232" spans="1:25" ht="15.75" thickTop="1" x14ac:dyDescent="0.25"/>
    <row r="233" spans="1:25" x14ac:dyDescent="0.25">
      <c r="A233" s="5" t="s">
        <v>14</v>
      </c>
      <c r="B233" s="8">
        <v>30833</v>
      </c>
      <c r="C233" s="8">
        <v>31296</v>
      </c>
      <c r="D233" s="8">
        <v>33089</v>
      </c>
      <c r="E233" s="8">
        <v>35546</v>
      </c>
      <c r="F233" s="8">
        <v>36503</v>
      </c>
      <c r="G233" s="8">
        <v>44825</v>
      </c>
      <c r="H233" s="8"/>
      <c r="I233" s="8"/>
      <c r="K233" s="28">
        <f t="shared" ref="K233:P234" si="157">+B233/B$21</f>
        <v>0.34064719984974534</v>
      </c>
      <c r="L233" s="28">
        <f t="shared" si="157"/>
        <v>0.33509647300683126</v>
      </c>
      <c r="M233" s="28">
        <f t="shared" si="157"/>
        <v>0.3314534709005309</v>
      </c>
      <c r="N233" s="28">
        <f t="shared" si="157"/>
        <v>0.35037949728930506</v>
      </c>
      <c r="O233" s="28">
        <f t="shared" si="157"/>
        <v>0.35281893660413105</v>
      </c>
      <c r="P233" s="28">
        <f t="shared" si="157"/>
        <v>0.37325550411351299</v>
      </c>
      <c r="Q233" s="28"/>
      <c r="S233" s="28">
        <f>RATE(5,0,-G233,B233)</f>
        <v>-7.2104439321893851E-2</v>
      </c>
      <c r="T233" s="28">
        <f t="shared" ref="T233:T234" si="158">AVERAGE(U233:Y233)</f>
        <v>-6.999509320131285E-2</v>
      </c>
      <c r="U233" s="28">
        <f t="shared" ref="U233:Y234" si="159">(+B233-C233)/C233</f>
        <v>-1.4794222903885481E-2</v>
      </c>
      <c r="V233" s="28">
        <f t="shared" si="159"/>
        <v>-5.4187192118226604E-2</v>
      </c>
      <c r="W233" s="28">
        <f t="shared" si="159"/>
        <v>-6.9121701457266635E-2</v>
      </c>
      <c r="X233" s="28">
        <f t="shared" si="159"/>
        <v>-2.6217023258362327E-2</v>
      </c>
      <c r="Y233" s="28">
        <f t="shared" si="159"/>
        <v>-0.1856553262688232</v>
      </c>
    </row>
    <row r="234" spans="1:25" x14ac:dyDescent="0.25">
      <c r="A234" s="5" t="s">
        <v>15</v>
      </c>
      <c r="B234" s="2">
        <v>42649</v>
      </c>
      <c r="C234" s="2">
        <v>43542</v>
      </c>
      <c r="D234" s="2">
        <v>46667</v>
      </c>
      <c r="E234" s="2">
        <v>48652</v>
      </c>
      <c r="F234" s="2">
        <v>49468</v>
      </c>
      <c r="G234" s="2">
        <v>59432</v>
      </c>
      <c r="K234" s="28">
        <f t="shared" si="157"/>
        <v>0.47119198347198743</v>
      </c>
      <c r="L234" s="28">
        <f t="shared" si="157"/>
        <v>0.46621838662012549</v>
      </c>
      <c r="M234" s="28">
        <f t="shared" si="157"/>
        <v>0.46746468997295404</v>
      </c>
      <c r="N234" s="28">
        <f t="shared" si="157"/>
        <v>0.4795662888122228</v>
      </c>
      <c r="O234" s="28">
        <f t="shared" si="157"/>
        <v>0.47813185644832351</v>
      </c>
      <c r="P234" s="28">
        <f t="shared" si="157"/>
        <v>0.49488725310595211</v>
      </c>
      <c r="Q234" s="28"/>
      <c r="S234" s="28">
        <f>RATE(5,0,-G234,B234)</f>
        <v>-6.4211505046658401E-2</v>
      </c>
      <c r="T234" s="28">
        <f t="shared" si="158"/>
        <v>-6.2484401974492662E-2</v>
      </c>
      <c r="U234" s="28">
        <f t="shared" si="159"/>
        <v>-2.050893390289835E-2</v>
      </c>
      <c r="V234" s="28">
        <f t="shared" si="159"/>
        <v>-6.6963807401375711E-2</v>
      </c>
      <c r="W234" s="28">
        <f t="shared" si="159"/>
        <v>-4.0799967113376634E-2</v>
      </c>
      <c r="X234" s="28">
        <f t="shared" si="159"/>
        <v>-1.6495512250343656E-2</v>
      </c>
      <c r="Y234" s="28">
        <f t="shared" si="159"/>
        <v>-0.16765378920446897</v>
      </c>
    </row>
    <row r="235" spans="1:25" ht="15.75" thickBot="1" x14ac:dyDescent="0.3">
      <c r="A235" s="2" t="s">
        <v>142</v>
      </c>
      <c r="B235" s="9">
        <f>SUM(B233:B234)</f>
        <v>73482</v>
      </c>
      <c r="C235" s="9">
        <f t="shared" ref="C235:G235" si="160">SUM(C233:C234)</f>
        <v>74838</v>
      </c>
      <c r="D235" s="9">
        <f t="shared" si="160"/>
        <v>79756</v>
      </c>
      <c r="E235" s="9">
        <f t="shared" si="160"/>
        <v>84198</v>
      </c>
      <c r="F235" s="9">
        <f t="shared" si="160"/>
        <v>85971</v>
      </c>
      <c r="G235" s="9">
        <f t="shared" si="160"/>
        <v>104257</v>
      </c>
      <c r="H235" s="36"/>
      <c r="I235" s="36"/>
    </row>
    <row r="236" spans="1:25" ht="15.75" thickTop="1" x14ac:dyDescent="0.25"/>
    <row r="237" spans="1:25" x14ac:dyDescent="0.25">
      <c r="A237" s="5" t="s">
        <v>197</v>
      </c>
      <c r="B237" s="2">
        <v>2394</v>
      </c>
      <c r="C237" s="2">
        <v>2756</v>
      </c>
      <c r="D237" s="2">
        <v>2376</v>
      </c>
      <c r="E237" s="2">
        <v>2100</v>
      </c>
      <c r="F237" s="2">
        <v>1337</v>
      </c>
      <c r="G237" s="2">
        <v>1573</v>
      </c>
    </row>
    <row r="238" spans="1:25" x14ac:dyDescent="0.25">
      <c r="A238" s="5" t="s">
        <v>198</v>
      </c>
      <c r="B238" s="2">
        <f>-B218</f>
        <v>-668</v>
      </c>
      <c r="C238" s="2">
        <f t="shared" ref="C238:G238" si="161">-C218</f>
        <v>-569</v>
      </c>
      <c r="D238" s="2">
        <f t="shared" si="161"/>
        <v>-562</v>
      </c>
      <c r="E238" s="2">
        <f t="shared" si="161"/>
        <v>-542</v>
      </c>
      <c r="F238" s="2">
        <f t="shared" si="161"/>
        <v>0</v>
      </c>
      <c r="G238" s="2">
        <f t="shared" si="161"/>
        <v>0</v>
      </c>
    </row>
    <row r="239" spans="1:25" ht="15.75" thickBot="1" x14ac:dyDescent="0.3">
      <c r="A239" s="2" t="s">
        <v>199</v>
      </c>
      <c r="B239" s="9">
        <f>SUM(B237:B238)</f>
        <v>1726</v>
      </c>
      <c r="C239" s="9">
        <f t="shared" ref="C239:G239" si="162">SUM(C237:C238)</f>
        <v>2187</v>
      </c>
      <c r="D239" s="9">
        <f t="shared" si="162"/>
        <v>1814</v>
      </c>
      <c r="E239" s="9">
        <f t="shared" si="162"/>
        <v>1558</v>
      </c>
      <c r="F239" s="9">
        <f t="shared" si="162"/>
        <v>1337</v>
      </c>
      <c r="G239" s="9">
        <f t="shared" si="162"/>
        <v>1573</v>
      </c>
      <c r="H239" s="36"/>
    </row>
    <row r="240" spans="1:25" ht="15.75" thickTop="1" x14ac:dyDescent="0.25"/>
    <row r="241" spans="1:25" x14ac:dyDescent="0.25">
      <c r="A241" s="5" t="s">
        <v>19</v>
      </c>
      <c r="B241" s="8">
        <v>6</v>
      </c>
      <c r="C241" s="8">
        <v>14</v>
      </c>
      <c r="D241" s="8">
        <v>6</v>
      </c>
      <c r="E241" s="8">
        <v>6</v>
      </c>
      <c r="F241" s="8">
        <v>21</v>
      </c>
      <c r="G241" s="8">
        <v>462</v>
      </c>
      <c r="H241" s="8"/>
      <c r="I241" s="8"/>
      <c r="K241" s="28">
        <f t="shared" ref="K241:P242" si="163">+B241/B$21</f>
        <v>6.6288820390441154E-5</v>
      </c>
      <c r="L241" s="28">
        <f t="shared" si="163"/>
        <v>1.4990256333383302E-4</v>
      </c>
      <c r="M241" s="28">
        <f t="shared" si="163"/>
        <v>6.0102173695281982E-5</v>
      </c>
      <c r="N241" s="28">
        <f t="shared" si="163"/>
        <v>5.914243469689502E-5</v>
      </c>
      <c r="O241" s="28">
        <f t="shared" si="163"/>
        <v>2.0297503407080928E-4</v>
      </c>
      <c r="P241" s="28">
        <f t="shared" si="163"/>
        <v>3.8470505945441828E-3</v>
      </c>
      <c r="Q241" s="28"/>
      <c r="S241" s="28">
        <f>RATE(5,0,-G241,B241)</f>
        <v>-0.58052908347039545</v>
      </c>
      <c r="T241" s="28">
        <f t="shared" ref="T241:T256" si="164">AVERAGE(U241:Y241)</f>
        <v>-0.1813852813852814</v>
      </c>
      <c r="U241" s="28">
        <f t="shared" ref="U241:Y242" si="165">(+B241-C241)/C241</f>
        <v>-0.5714285714285714</v>
      </c>
      <c r="V241" s="28">
        <f t="shared" si="165"/>
        <v>1.3333333333333333</v>
      </c>
      <c r="W241" s="28">
        <f t="shared" si="165"/>
        <v>0</v>
      </c>
      <c r="X241" s="28">
        <f t="shared" si="165"/>
        <v>-0.7142857142857143</v>
      </c>
      <c r="Y241" s="28">
        <f t="shared" si="165"/>
        <v>-0.95454545454545459</v>
      </c>
    </row>
    <row r="242" spans="1:25" x14ac:dyDescent="0.25">
      <c r="A242" s="5" t="s">
        <v>20</v>
      </c>
      <c r="B242" s="2">
        <v>831</v>
      </c>
      <c r="C242" s="2">
        <v>740</v>
      </c>
      <c r="D242" s="2">
        <v>230</v>
      </c>
      <c r="E242" s="2">
        <v>1022</v>
      </c>
      <c r="F242" s="2">
        <v>377</v>
      </c>
      <c r="G242" s="2">
        <v>2733</v>
      </c>
      <c r="K242" s="28">
        <f t="shared" si="163"/>
        <v>9.1810016240760992E-3</v>
      </c>
      <c r="L242" s="28">
        <f t="shared" si="163"/>
        <v>7.9234212047883164E-3</v>
      </c>
      <c r="M242" s="28">
        <f t="shared" si="163"/>
        <v>2.3039166583191427E-3</v>
      </c>
      <c r="N242" s="28">
        <f t="shared" si="163"/>
        <v>1.0073928043371119E-2</v>
      </c>
      <c r="O242" s="28">
        <f t="shared" si="163"/>
        <v>3.6438851354616717E-3</v>
      </c>
      <c r="P242" s="28">
        <f t="shared" si="163"/>
        <v>2.2757552543050327E-2</v>
      </c>
      <c r="Q242" s="28"/>
      <c r="S242" s="28">
        <f>RATE(5,0,-G242,B242)</f>
        <v>-0.21188012748640178</v>
      </c>
      <c r="T242" s="28">
        <f t="shared" si="164"/>
        <v>0.48284643684593676</v>
      </c>
      <c r="U242" s="28">
        <f t="shared" si="165"/>
        <v>0.12297297297297298</v>
      </c>
      <c r="V242" s="28">
        <f t="shared" si="165"/>
        <v>2.2173913043478262</v>
      </c>
      <c r="W242" s="28">
        <f t="shared" si="165"/>
        <v>-0.77495107632093929</v>
      </c>
      <c r="X242" s="28">
        <f t="shared" si="165"/>
        <v>1.7108753315649867</v>
      </c>
      <c r="Y242" s="28">
        <f t="shared" si="165"/>
        <v>-0.86205634833516287</v>
      </c>
    </row>
    <row r="243" spans="1:25" ht="15.75" thickBot="1" x14ac:dyDescent="0.3">
      <c r="A243" s="12" t="s">
        <v>144</v>
      </c>
      <c r="B243" s="9">
        <f>SUM(B241:B242)</f>
        <v>837</v>
      </c>
      <c r="C243" s="9">
        <f t="shared" ref="C243:G243" si="166">SUM(C241:C242)</f>
        <v>754</v>
      </c>
      <c r="D243" s="9">
        <f t="shared" si="166"/>
        <v>236</v>
      </c>
      <c r="E243" s="9">
        <f t="shared" si="166"/>
        <v>1028</v>
      </c>
      <c r="F243" s="9">
        <f t="shared" si="166"/>
        <v>398</v>
      </c>
      <c r="G243" s="9">
        <f t="shared" si="166"/>
        <v>3195</v>
      </c>
      <c r="H243" s="36"/>
      <c r="I243" s="36"/>
      <c r="K243" s="28"/>
      <c r="L243" s="28"/>
      <c r="M243" s="28"/>
      <c r="N243" s="28"/>
      <c r="O243" s="28"/>
      <c r="P243" s="28"/>
      <c r="Q243" s="28"/>
      <c r="S243" s="28"/>
      <c r="T243" s="28"/>
      <c r="U243" s="28"/>
      <c r="V243" s="28"/>
      <c r="W243" s="28"/>
      <c r="X243" s="28"/>
      <c r="Y243" s="28"/>
    </row>
    <row r="244" spans="1:25" ht="15.75" thickTop="1" x14ac:dyDescent="0.25">
      <c r="A244" s="5"/>
      <c r="K244" s="28"/>
      <c r="L244" s="28"/>
      <c r="M244" s="28"/>
      <c r="N244" s="28"/>
      <c r="O244" s="28"/>
      <c r="P244" s="28"/>
      <c r="Q244" s="28"/>
      <c r="S244" s="28"/>
      <c r="T244" s="28"/>
      <c r="U244" s="28"/>
      <c r="V244" s="28"/>
      <c r="W244" s="28"/>
      <c r="X244" s="28"/>
      <c r="Y244" s="28"/>
    </row>
    <row r="245" spans="1:25" x14ac:dyDescent="0.25">
      <c r="A245" s="5" t="s">
        <v>26</v>
      </c>
      <c r="B245" s="8">
        <v>749</v>
      </c>
      <c r="C245" s="8">
        <v>804</v>
      </c>
      <c r="D245" s="8">
        <v>946</v>
      </c>
      <c r="E245" s="8">
        <v>647</v>
      </c>
      <c r="F245" s="8">
        <v>722</v>
      </c>
      <c r="G245" s="8">
        <v>689</v>
      </c>
      <c r="H245" s="8"/>
      <c r="I245" s="8"/>
      <c r="K245" s="28">
        <f t="shared" ref="K245:P249" si="167">+B245/B$21</f>
        <v>8.2750544120734036E-3</v>
      </c>
      <c r="L245" s="28">
        <f t="shared" si="167"/>
        <v>8.6086900657429809E-3</v>
      </c>
      <c r="M245" s="28">
        <f t="shared" si="167"/>
        <v>9.4761093859561246E-3</v>
      </c>
      <c r="N245" s="28">
        <f t="shared" si="167"/>
        <v>6.3775258748151797E-3</v>
      </c>
      <c r="O245" s="28">
        <f t="shared" si="167"/>
        <v>6.9784749809106809E-3</v>
      </c>
      <c r="P245" s="28">
        <f t="shared" si="167"/>
        <v>5.7372680944609133E-3</v>
      </c>
      <c r="Q245" s="28"/>
      <c r="S245" s="28">
        <f>RATE(5,0,-G245,B245)</f>
        <v>1.6839759291933765E-2</v>
      </c>
      <c r="T245" s="28">
        <f t="shared" si="164"/>
        <v>3.7527327422520657E-2</v>
      </c>
      <c r="U245" s="28">
        <f t="shared" ref="U245:Y249" si="168">(+B245-C245)/C245</f>
        <v>-6.8407960199004969E-2</v>
      </c>
      <c r="V245" s="28">
        <f t="shared" si="168"/>
        <v>-0.15010570824524314</v>
      </c>
      <c r="W245" s="28">
        <f t="shared" si="168"/>
        <v>0.46213292117465227</v>
      </c>
      <c r="X245" s="28">
        <f t="shared" si="168"/>
        <v>-0.1038781163434903</v>
      </c>
      <c r="Y245" s="28">
        <f t="shared" si="168"/>
        <v>4.7895500725689405E-2</v>
      </c>
    </row>
    <row r="246" spans="1:25" x14ac:dyDescent="0.25">
      <c r="A246" s="5" t="s">
        <v>22</v>
      </c>
      <c r="B246" s="2">
        <v>264</v>
      </c>
      <c r="C246" s="2">
        <v>268</v>
      </c>
      <c r="D246" s="2">
        <v>358</v>
      </c>
      <c r="E246" s="2">
        <v>384</v>
      </c>
      <c r="F246" s="2">
        <v>408</v>
      </c>
      <c r="G246" s="2">
        <v>419</v>
      </c>
      <c r="K246" s="28">
        <f t="shared" si="167"/>
        <v>2.9167080971794108E-3</v>
      </c>
      <c r="L246" s="28">
        <f t="shared" si="167"/>
        <v>2.8695633552476606E-3</v>
      </c>
      <c r="M246" s="28">
        <f t="shared" si="167"/>
        <v>3.5860963638184914E-3</v>
      </c>
      <c r="N246" s="28">
        <f t="shared" si="167"/>
        <v>3.7851158206012813E-3</v>
      </c>
      <c r="O246" s="28">
        <f t="shared" si="167"/>
        <v>3.9435149476614376E-3</v>
      </c>
      <c r="P246" s="28">
        <f t="shared" si="167"/>
        <v>3.4889917729740531E-3</v>
      </c>
      <c r="Q246" s="28"/>
      <c r="S246" s="28">
        <f>RATE(5,0,-G246,B246)</f>
        <v>-8.8245362884069409E-2</v>
      </c>
      <c r="T246" s="28">
        <f t="shared" si="164"/>
        <v>-8.3821373443535047E-2</v>
      </c>
      <c r="U246" s="28">
        <f t="shared" si="168"/>
        <v>-1.4925373134328358E-2</v>
      </c>
      <c r="V246" s="28">
        <f t="shared" si="168"/>
        <v>-0.25139664804469275</v>
      </c>
      <c r="W246" s="28">
        <f t="shared" si="168"/>
        <v>-6.7708333333333329E-2</v>
      </c>
      <c r="X246" s="28">
        <f t="shared" si="168"/>
        <v>-5.8823529411764705E-2</v>
      </c>
      <c r="Y246" s="28">
        <f t="shared" si="168"/>
        <v>-2.6252983293556086E-2</v>
      </c>
    </row>
    <row r="247" spans="1:25" x14ac:dyDescent="0.25">
      <c r="A247" s="5" t="s">
        <v>23</v>
      </c>
      <c r="B247" s="2">
        <v>136</v>
      </c>
      <c r="C247" s="2">
        <v>541</v>
      </c>
      <c r="D247" s="2">
        <v>0</v>
      </c>
      <c r="E247" s="2">
        <v>0</v>
      </c>
      <c r="F247" s="2">
        <v>0</v>
      </c>
      <c r="G247" s="2">
        <v>0</v>
      </c>
      <c r="K247" s="28">
        <f t="shared" si="167"/>
        <v>1.5025465955166661E-3</v>
      </c>
      <c r="L247" s="28">
        <f t="shared" si="167"/>
        <v>5.7926633402574038E-3</v>
      </c>
      <c r="M247" s="28">
        <f t="shared" si="167"/>
        <v>0</v>
      </c>
      <c r="N247" s="28">
        <f t="shared" si="167"/>
        <v>0</v>
      </c>
      <c r="O247" s="28">
        <f t="shared" si="167"/>
        <v>0</v>
      </c>
      <c r="P247" s="28">
        <f t="shared" si="167"/>
        <v>0</v>
      </c>
      <c r="Q247" s="28"/>
      <c r="S247" s="28" t="e">
        <f>RATE(5,0,-G247,B247)</f>
        <v>#NUM!</v>
      </c>
      <c r="T247" s="28" t="e">
        <f t="shared" si="164"/>
        <v>#DIV/0!</v>
      </c>
      <c r="U247" s="28">
        <f t="shared" si="168"/>
        <v>-0.74861367837338266</v>
      </c>
      <c r="V247" s="28" t="e">
        <f t="shared" si="168"/>
        <v>#DIV/0!</v>
      </c>
      <c r="W247" s="28" t="e">
        <f t="shared" si="168"/>
        <v>#DIV/0!</v>
      </c>
      <c r="X247" s="28" t="e">
        <f t="shared" si="168"/>
        <v>#DIV/0!</v>
      </c>
      <c r="Y247" s="28" t="e">
        <f t="shared" si="168"/>
        <v>#DIV/0!</v>
      </c>
    </row>
    <row r="248" spans="1:25" x14ac:dyDescent="0.25">
      <c r="A248" s="5" t="s">
        <v>118</v>
      </c>
      <c r="B248" s="2">
        <v>0</v>
      </c>
      <c r="C248" s="2">
        <v>0</v>
      </c>
      <c r="D248" s="2">
        <v>17</v>
      </c>
      <c r="E248" s="2">
        <v>9</v>
      </c>
      <c r="F248" s="2">
        <v>55</v>
      </c>
      <c r="G248" s="2">
        <v>0</v>
      </c>
      <c r="K248" s="28">
        <f t="shared" si="167"/>
        <v>0</v>
      </c>
      <c r="L248" s="28">
        <f t="shared" si="167"/>
        <v>0</v>
      </c>
      <c r="M248" s="28">
        <f t="shared" si="167"/>
        <v>1.7028949213663226E-4</v>
      </c>
      <c r="N248" s="28">
        <f t="shared" si="167"/>
        <v>8.8713652045342527E-5</v>
      </c>
      <c r="O248" s="28">
        <f t="shared" si="167"/>
        <v>5.3160127970926241E-4</v>
      </c>
      <c r="P248" s="28">
        <f t="shared" si="167"/>
        <v>0</v>
      </c>
      <c r="Q248" s="28"/>
      <c r="S248" s="28" t="e">
        <f>RATE(5,0,-G248,B248)</f>
        <v>#NUM!</v>
      </c>
      <c r="T248" s="28" t="e">
        <f t="shared" si="164"/>
        <v>#DIV/0!</v>
      </c>
      <c r="U248" s="28" t="e">
        <f t="shared" si="168"/>
        <v>#DIV/0!</v>
      </c>
      <c r="V248" s="28">
        <f t="shared" si="168"/>
        <v>-1</v>
      </c>
      <c r="W248" s="28">
        <f t="shared" si="168"/>
        <v>0.88888888888888884</v>
      </c>
      <c r="X248" s="28">
        <f t="shared" si="168"/>
        <v>-0.83636363636363631</v>
      </c>
      <c r="Y248" s="28" t="e">
        <f t="shared" si="168"/>
        <v>#DIV/0!</v>
      </c>
    </row>
    <row r="249" spans="1:25" x14ac:dyDescent="0.25">
      <c r="A249" s="5" t="s">
        <v>24</v>
      </c>
      <c r="B249" s="34">
        <v>2194</v>
      </c>
      <c r="C249" s="34">
        <v>1944</v>
      </c>
      <c r="D249" s="34">
        <v>2200</v>
      </c>
      <c r="E249" s="34">
        <v>1804</v>
      </c>
      <c r="F249" s="34">
        <v>1767</v>
      </c>
      <c r="G249" s="34">
        <v>1489</v>
      </c>
      <c r="H249" s="34"/>
      <c r="I249" s="34"/>
      <c r="K249" s="30">
        <f t="shared" si="167"/>
        <v>2.4239611989437981E-2</v>
      </c>
      <c r="L249" s="30">
        <f t="shared" si="167"/>
        <v>2.0815041651497956E-2</v>
      </c>
      <c r="M249" s="30">
        <f t="shared" si="167"/>
        <v>2.2037463688270059E-2</v>
      </c>
      <c r="N249" s="30">
        <f t="shared" si="167"/>
        <v>1.7782158698866436E-2</v>
      </c>
      <c r="O249" s="30">
        <f t="shared" si="167"/>
        <v>1.7078899295386668E-2</v>
      </c>
      <c r="P249" s="30">
        <f t="shared" si="167"/>
        <v>1.2398827565533092E-2</v>
      </c>
      <c r="Q249" s="30"/>
      <c r="R249" s="31"/>
      <c r="S249" s="30">
        <f>RATE(5,0,-G249,B249)</f>
        <v>8.0608514301309969E-2</v>
      </c>
      <c r="T249" s="30">
        <f t="shared" si="164"/>
        <v>8.7878262416086469E-2</v>
      </c>
      <c r="U249" s="30">
        <f t="shared" si="168"/>
        <v>0.12860082304526749</v>
      </c>
      <c r="V249" s="30">
        <f t="shared" si="168"/>
        <v>-0.11636363636363636</v>
      </c>
      <c r="W249" s="30">
        <f t="shared" si="168"/>
        <v>0.21951219512195122</v>
      </c>
      <c r="X249" s="30">
        <f t="shared" si="168"/>
        <v>2.0939445387662705E-2</v>
      </c>
      <c r="Y249" s="30">
        <f t="shared" si="168"/>
        <v>0.18670248488918736</v>
      </c>
    </row>
    <row r="250" spans="1:25" x14ac:dyDescent="0.25">
      <c r="A250" s="5" t="s">
        <v>201</v>
      </c>
      <c r="B250" s="34">
        <f>-B219</f>
        <v>-125</v>
      </c>
      <c r="C250" s="34">
        <f t="shared" ref="C250:G250" si="169">-C219</f>
        <v>-133</v>
      </c>
      <c r="D250" s="34">
        <f t="shared" si="169"/>
        <v>-135</v>
      </c>
      <c r="E250" s="34">
        <f t="shared" si="169"/>
        <v>-147</v>
      </c>
      <c r="F250" s="34">
        <f t="shared" si="169"/>
        <v>0</v>
      </c>
      <c r="G250" s="34">
        <f t="shared" si="169"/>
        <v>0</v>
      </c>
      <c r="H250" s="34"/>
      <c r="I250" s="34"/>
      <c r="K250" s="37"/>
      <c r="L250" s="37"/>
      <c r="M250" s="37"/>
      <c r="N250" s="37"/>
      <c r="O250" s="37"/>
      <c r="P250" s="37"/>
      <c r="Q250" s="37"/>
      <c r="R250" s="34"/>
      <c r="S250" s="37"/>
      <c r="T250" s="37"/>
      <c r="U250" s="37"/>
      <c r="V250" s="37"/>
      <c r="W250" s="37"/>
      <c r="X250" s="37"/>
      <c r="Y250" s="37"/>
    </row>
    <row r="251" spans="1:25" ht="15.75" thickBot="1" x14ac:dyDescent="0.3">
      <c r="A251" s="2" t="s">
        <v>24</v>
      </c>
      <c r="B251" s="9">
        <f>SUM(B245:B250)</f>
        <v>3218</v>
      </c>
      <c r="C251" s="9">
        <f t="shared" ref="C251:G251" si="170">SUM(C245:C250)</f>
        <v>3424</v>
      </c>
      <c r="D251" s="9">
        <f t="shared" si="170"/>
        <v>3386</v>
      </c>
      <c r="E251" s="9">
        <f t="shared" si="170"/>
        <v>2697</v>
      </c>
      <c r="F251" s="9">
        <f t="shared" si="170"/>
        <v>2952</v>
      </c>
      <c r="G251" s="9">
        <f t="shared" si="170"/>
        <v>2597</v>
      </c>
      <c r="H251" s="36"/>
      <c r="I251" s="36"/>
      <c r="K251" s="28">
        <f>+B251/B$21</f>
        <v>3.5552904002739937E-2</v>
      </c>
      <c r="L251" s="28"/>
      <c r="M251" s="28"/>
      <c r="N251" s="28"/>
      <c r="O251" s="28"/>
      <c r="P251" s="28"/>
      <c r="Q251" s="28"/>
      <c r="S251" s="28"/>
      <c r="T251" s="28"/>
      <c r="U251" s="28"/>
      <c r="V251" s="28"/>
      <c r="W251" s="28"/>
      <c r="X251" s="28"/>
      <c r="Y251" s="28"/>
    </row>
    <row r="252" spans="1:25" ht="15.75" thickTop="1" x14ac:dyDescent="0.25">
      <c r="B252" s="34"/>
      <c r="C252" s="34"/>
      <c r="D252" s="34"/>
      <c r="E252" s="34"/>
      <c r="F252" s="34"/>
      <c r="G252" s="34"/>
      <c r="H252" s="34"/>
      <c r="I252" s="34"/>
      <c r="K252" s="28"/>
      <c r="L252" s="28"/>
      <c r="M252" s="28"/>
      <c r="N252" s="28"/>
      <c r="O252" s="28"/>
      <c r="P252" s="28"/>
      <c r="Q252" s="28"/>
      <c r="S252" s="28"/>
      <c r="T252" s="28"/>
      <c r="U252" s="28"/>
      <c r="V252" s="28"/>
      <c r="W252" s="28"/>
      <c r="X252" s="28"/>
      <c r="Y252" s="28"/>
    </row>
    <row r="253" spans="1:25" x14ac:dyDescent="0.25">
      <c r="A253" s="5" t="s">
        <v>28</v>
      </c>
      <c r="B253" s="8">
        <v>10152</v>
      </c>
      <c r="C253" s="8">
        <v>10536</v>
      </c>
      <c r="D253" s="8">
        <v>11462</v>
      </c>
      <c r="E253" s="8">
        <v>11878</v>
      </c>
      <c r="F253" s="8">
        <v>12202</v>
      </c>
      <c r="G253" s="8">
        <v>14039</v>
      </c>
      <c r="H253" s="8"/>
      <c r="I253" s="8"/>
      <c r="K253" s="28">
        <f t="shared" ref="K253:P256" si="171">+B253/B$21</f>
        <v>0.11216068410062643</v>
      </c>
      <c r="L253" s="28">
        <f t="shared" si="171"/>
        <v>0.11281238623466175</v>
      </c>
      <c r="M253" s="28">
        <f t="shared" si="171"/>
        <v>0.11481518581588701</v>
      </c>
      <c r="N253" s="28">
        <f t="shared" si="171"/>
        <v>0.11708230655495318</v>
      </c>
      <c r="O253" s="28">
        <f t="shared" si="171"/>
        <v>0.11793816027295309</v>
      </c>
      <c r="P253" s="28">
        <f t="shared" si="171"/>
        <v>0.11690204176797789</v>
      </c>
      <c r="Q253" s="28"/>
      <c r="S253" s="28">
        <f>RATE(5,0,-G253,B253)</f>
        <v>-6.2776678206707098E-2</v>
      </c>
      <c r="T253" s="28">
        <f t="shared" si="164"/>
        <v>-6.1932138628004139E-2</v>
      </c>
      <c r="U253" s="28">
        <f t="shared" ref="U253:Y256" si="172">(+B253-C253)/C253</f>
        <v>-3.644646924829157E-2</v>
      </c>
      <c r="V253" s="28">
        <f t="shared" si="172"/>
        <v>-8.0788693072762166E-2</v>
      </c>
      <c r="W253" s="28">
        <f t="shared" si="172"/>
        <v>-3.5022731099511699E-2</v>
      </c>
      <c r="X253" s="28">
        <f t="shared" si="172"/>
        <v>-2.6553024094410752E-2</v>
      </c>
      <c r="Y253" s="28">
        <f t="shared" si="172"/>
        <v>-0.13084977562504452</v>
      </c>
    </row>
    <row r="254" spans="1:25" x14ac:dyDescent="0.25">
      <c r="A254" s="5" t="s">
        <v>119</v>
      </c>
      <c r="B254" s="2">
        <v>144</v>
      </c>
      <c r="C254" s="2">
        <v>205</v>
      </c>
      <c r="D254" s="2">
        <v>243</v>
      </c>
      <c r="E254" s="2">
        <v>273</v>
      </c>
      <c r="F254" s="2">
        <v>306</v>
      </c>
      <c r="G254" s="2">
        <v>427</v>
      </c>
      <c r="K254" s="28">
        <f t="shared" si="171"/>
        <v>1.5909316893705876E-3</v>
      </c>
      <c r="L254" s="28">
        <f t="shared" si="171"/>
        <v>2.1950018202454118E-3</v>
      </c>
      <c r="M254" s="28">
        <f t="shared" si="171"/>
        <v>2.43413803465892E-3</v>
      </c>
      <c r="N254" s="28">
        <f t="shared" si="171"/>
        <v>2.6909807787087233E-3</v>
      </c>
      <c r="O254" s="28">
        <f t="shared" si="171"/>
        <v>2.9576362107460782E-3</v>
      </c>
      <c r="P254" s="28">
        <f t="shared" si="171"/>
        <v>3.5556073676847751E-3</v>
      </c>
      <c r="Q254" s="28"/>
      <c r="S254" s="28">
        <f>RATE(5,0,-G254,B254)</f>
        <v>-0.19538722547686657</v>
      </c>
      <c r="T254" s="28">
        <f t="shared" si="164"/>
        <v>-0.19100903778347836</v>
      </c>
      <c r="U254" s="28">
        <f t="shared" si="172"/>
        <v>-0.29756097560975608</v>
      </c>
      <c r="V254" s="28">
        <f t="shared" si="172"/>
        <v>-0.15637860082304528</v>
      </c>
      <c r="W254" s="28">
        <f t="shared" si="172"/>
        <v>-0.10989010989010989</v>
      </c>
      <c r="X254" s="28">
        <f t="shared" si="172"/>
        <v>-0.10784313725490197</v>
      </c>
      <c r="Y254" s="28">
        <f t="shared" si="172"/>
        <v>-0.28337236533957844</v>
      </c>
    </row>
    <row r="255" spans="1:25" x14ac:dyDescent="0.25">
      <c r="A255" s="5" t="s">
        <v>29</v>
      </c>
      <c r="B255" s="2">
        <v>1477</v>
      </c>
      <c r="C255" s="2">
        <v>1534</v>
      </c>
      <c r="D255" s="2">
        <v>0</v>
      </c>
      <c r="E255" s="2">
        <v>0</v>
      </c>
      <c r="F255" s="2">
        <v>0</v>
      </c>
      <c r="G255" s="2">
        <v>0</v>
      </c>
      <c r="K255" s="28">
        <f t="shared" si="171"/>
        <v>1.6318097952780265E-2</v>
      </c>
      <c r="L255" s="28">
        <f t="shared" si="171"/>
        <v>1.6425038011007132E-2</v>
      </c>
      <c r="M255" s="28">
        <f t="shared" si="171"/>
        <v>0</v>
      </c>
      <c r="N255" s="28">
        <f t="shared" si="171"/>
        <v>0</v>
      </c>
      <c r="O255" s="28">
        <f t="shared" si="171"/>
        <v>0</v>
      </c>
      <c r="P255" s="28">
        <f t="shared" si="171"/>
        <v>0</v>
      </c>
      <c r="Q255" s="28"/>
      <c r="S255" s="28" t="e">
        <f>RATE(5,0,-G255,B255)</f>
        <v>#NUM!</v>
      </c>
      <c r="T255" s="28" t="e">
        <f t="shared" si="164"/>
        <v>#DIV/0!</v>
      </c>
      <c r="U255" s="28">
        <f t="shared" si="172"/>
        <v>-3.7157757496740544E-2</v>
      </c>
      <c r="V255" s="28" t="e">
        <f t="shared" si="172"/>
        <v>#DIV/0!</v>
      </c>
      <c r="W255" s="28" t="e">
        <f t="shared" si="172"/>
        <v>#DIV/0!</v>
      </c>
      <c r="X255" s="28" t="e">
        <f t="shared" si="172"/>
        <v>#DIV/0!</v>
      </c>
      <c r="Y255" s="28" t="e">
        <f t="shared" si="172"/>
        <v>#DIV/0!</v>
      </c>
    </row>
    <row r="256" spans="1:25" x14ac:dyDescent="0.25">
      <c r="A256" s="5" t="s">
        <v>30</v>
      </c>
      <c r="B256" s="2">
        <v>1609</v>
      </c>
      <c r="C256" s="2">
        <v>1542</v>
      </c>
      <c r="D256" s="2">
        <v>1751</v>
      </c>
      <c r="E256" s="2">
        <v>1459</v>
      </c>
      <c r="F256" s="2">
        <v>902</v>
      </c>
      <c r="G256" s="2">
        <v>1088</v>
      </c>
      <c r="K256" s="30">
        <f t="shared" si="171"/>
        <v>1.7776452001369968E-2</v>
      </c>
      <c r="L256" s="30">
        <f t="shared" si="171"/>
        <v>1.6510696618626464E-2</v>
      </c>
      <c r="M256" s="30">
        <f t="shared" si="171"/>
        <v>1.7539817690073123E-2</v>
      </c>
      <c r="N256" s="30">
        <f t="shared" si="171"/>
        <v>1.4381468703794973E-2</v>
      </c>
      <c r="O256" s="30">
        <f t="shared" si="171"/>
        <v>8.7182609872319041E-3</v>
      </c>
      <c r="P256" s="30">
        <f t="shared" si="171"/>
        <v>9.0597208806581613E-3</v>
      </c>
      <c r="Q256" s="30"/>
      <c r="R256" s="31"/>
      <c r="S256" s="30">
        <f>RATE(5,0,-G256,B256)</f>
        <v>8.1397670613528067E-2</v>
      </c>
      <c r="T256" s="30">
        <f t="shared" si="164"/>
        <v>0.11415750537922809</v>
      </c>
      <c r="U256" s="30">
        <f t="shared" si="172"/>
        <v>4.3450064850843059E-2</v>
      </c>
      <c r="V256" s="30">
        <f t="shared" si="172"/>
        <v>-0.11936036550542548</v>
      </c>
      <c r="W256" s="30">
        <f t="shared" si="172"/>
        <v>0.20013708019191226</v>
      </c>
      <c r="X256" s="30">
        <f t="shared" si="172"/>
        <v>0.6175166297117517</v>
      </c>
      <c r="Y256" s="30">
        <f t="shared" si="172"/>
        <v>-0.17095588235294118</v>
      </c>
    </row>
    <row r="257" spans="1:25" x14ac:dyDescent="0.25">
      <c r="A257" s="5" t="s">
        <v>203</v>
      </c>
      <c r="B257" s="2">
        <f>-B220</f>
        <v>-585</v>
      </c>
      <c r="C257" s="2">
        <f t="shared" ref="C257:G257" si="173">-C220</f>
        <v>-484</v>
      </c>
      <c r="D257" s="2">
        <f t="shared" si="173"/>
        <v>-475</v>
      </c>
      <c r="E257" s="2">
        <f t="shared" si="173"/>
        <v>-454</v>
      </c>
      <c r="F257" s="2">
        <f t="shared" si="173"/>
        <v>0</v>
      </c>
      <c r="G257" s="2">
        <f t="shared" si="173"/>
        <v>0</v>
      </c>
      <c r="K257" s="37"/>
      <c r="L257" s="37"/>
      <c r="M257" s="37"/>
      <c r="N257" s="37"/>
      <c r="O257" s="37"/>
      <c r="P257" s="37"/>
      <c r="Q257" s="37"/>
      <c r="R257" s="34"/>
      <c r="S257" s="37"/>
      <c r="T257" s="37"/>
      <c r="U257" s="37"/>
      <c r="V257" s="37"/>
      <c r="W257" s="37"/>
      <c r="X257" s="37"/>
      <c r="Y257" s="37"/>
    </row>
    <row r="258" spans="1:25" ht="15.75" thickBot="1" x14ac:dyDescent="0.3">
      <c r="A258" s="2" t="s">
        <v>145</v>
      </c>
      <c r="B258" s="9">
        <f>SUM(B253:B257)</f>
        <v>12797</v>
      </c>
      <c r="C258" s="9">
        <f t="shared" ref="C258:G258" si="174">SUM(C253:C257)</f>
        <v>13333</v>
      </c>
      <c r="D258" s="9">
        <f t="shared" si="174"/>
        <v>12981</v>
      </c>
      <c r="E258" s="9">
        <f t="shared" si="174"/>
        <v>13156</v>
      </c>
      <c r="F258" s="9">
        <f t="shared" si="174"/>
        <v>13410</v>
      </c>
      <c r="G258" s="9">
        <f t="shared" si="174"/>
        <v>15554</v>
      </c>
      <c r="H258" s="36"/>
      <c r="I258" s="36"/>
    </row>
    <row r="259" spans="1:25" ht="15.75" thickTop="1" x14ac:dyDescent="0.25"/>
    <row r="260" spans="1:25" x14ac:dyDescent="0.25">
      <c r="A260" s="5" t="s">
        <v>33</v>
      </c>
      <c r="B260" s="8">
        <v>12</v>
      </c>
      <c r="C260" s="8">
        <v>12</v>
      </c>
      <c r="D260" s="8">
        <v>12</v>
      </c>
      <c r="E260" s="8">
        <v>12</v>
      </c>
      <c r="F260" s="8">
        <v>12</v>
      </c>
      <c r="G260" s="8">
        <v>12</v>
      </c>
      <c r="H260" s="8"/>
      <c r="I260" s="8"/>
      <c r="K260" s="28">
        <f t="shared" ref="K260:P266" si="175">+B260/B$21</f>
        <v>1.3257764078088231E-4</v>
      </c>
      <c r="L260" s="28">
        <f t="shared" si="175"/>
        <v>1.2848791142899973E-4</v>
      </c>
      <c r="M260" s="28">
        <f t="shared" si="175"/>
        <v>1.2020434739056396E-4</v>
      </c>
      <c r="N260" s="28">
        <f t="shared" si="175"/>
        <v>1.1828486939379004E-4</v>
      </c>
      <c r="O260" s="28">
        <f t="shared" si="175"/>
        <v>1.1598573375474817E-4</v>
      </c>
      <c r="P260" s="28">
        <f t="shared" si="175"/>
        <v>9.9923392066082669E-5</v>
      </c>
      <c r="Q260" s="28"/>
      <c r="S260" s="28">
        <f t="shared" ref="S260:S266" si="176">RATE(5,0,-G260,B260)</f>
        <v>1.1505115232739206E-16</v>
      </c>
      <c r="T260" s="28">
        <f t="shared" ref="T260:T266" si="177">AVERAGE(U260:Y260)</f>
        <v>0</v>
      </c>
      <c r="U260" s="28">
        <f t="shared" ref="U260:Y266" si="178">(+B260-C260)/C260</f>
        <v>0</v>
      </c>
      <c r="V260" s="28">
        <f t="shared" si="178"/>
        <v>0</v>
      </c>
      <c r="W260" s="28">
        <f t="shared" si="178"/>
        <v>0</v>
      </c>
      <c r="X260" s="28">
        <f t="shared" si="178"/>
        <v>0</v>
      </c>
      <c r="Y260" s="28">
        <f t="shared" si="178"/>
        <v>0</v>
      </c>
    </row>
    <row r="261" spans="1:25" x14ac:dyDescent="0.25">
      <c r="A261" s="5" t="s">
        <v>34</v>
      </c>
      <c r="B261" s="2">
        <v>51834</v>
      </c>
      <c r="C261" s="2">
        <v>53379</v>
      </c>
      <c r="D261" s="2">
        <v>55096</v>
      </c>
      <c r="E261" s="2">
        <v>56828</v>
      </c>
      <c r="F261" s="2">
        <v>58723</v>
      </c>
      <c r="G261" s="2">
        <v>58634</v>
      </c>
      <c r="K261" s="28">
        <f t="shared" si="175"/>
        <v>0.57266911935302112</v>
      </c>
      <c r="L261" s="28">
        <f t="shared" si="175"/>
        <v>0.57154635201404802</v>
      </c>
      <c r="M261" s="28">
        <f t="shared" si="175"/>
        <v>0.55189822698587598</v>
      </c>
      <c r="N261" s="28">
        <f t="shared" si="175"/>
        <v>0.56015771315919172</v>
      </c>
      <c r="O261" s="28">
        <f t="shared" si="175"/>
        <v>0.56758585360667302</v>
      </c>
      <c r="P261" s="28">
        <f t="shared" si="175"/>
        <v>0.48824234753355761</v>
      </c>
      <c r="Q261" s="28"/>
      <c r="S261" s="28">
        <f t="shared" si="176"/>
        <v>-2.4352265709732968E-2</v>
      </c>
      <c r="T261" s="28">
        <f t="shared" si="177"/>
        <v>-2.4267589205706836E-2</v>
      </c>
      <c r="U261" s="28">
        <f t="shared" si="178"/>
        <v>-2.8943966728488733E-2</v>
      </c>
      <c r="V261" s="28">
        <f t="shared" si="178"/>
        <v>-3.1163786844780019E-2</v>
      </c>
      <c r="W261" s="28">
        <f t="shared" si="178"/>
        <v>-3.0477933413106215E-2</v>
      </c>
      <c r="X261" s="28">
        <f t="shared" si="178"/>
        <v>-3.2270149685813057E-2</v>
      </c>
      <c r="Y261" s="28">
        <f t="shared" si="178"/>
        <v>1.5178906436538527E-3</v>
      </c>
    </row>
    <row r="262" spans="1:25" x14ac:dyDescent="0.25">
      <c r="A262" s="5" t="s">
        <v>35</v>
      </c>
      <c r="B262" s="2">
        <v>489</v>
      </c>
      <c r="C262" s="2">
        <v>-1682</v>
      </c>
      <c r="D262" s="2">
        <v>-2694</v>
      </c>
      <c r="E262" s="2">
        <v>-3060</v>
      </c>
      <c r="F262" s="2">
        <v>-4853</v>
      </c>
      <c r="G262" s="2">
        <v>8495</v>
      </c>
      <c r="K262" s="28">
        <f t="shared" si="175"/>
        <v>5.4025388618209541E-3</v>
      </c>
      <c r="L262" s="28">
        <f t="shared" si="175"/>
        <v>-1.8009722251964795E-2</v>
      </c>
      <c r="M262" s="28">
        <f t="shared" si="175"/>
        <v>-2.6985875989181608E-2</v>
      </c>
      <c r="N262" s="28">
        <f t="shared" si="175"/>
        <v>-3.0162641695416461E-2</v>
      </c>
      <c r="O262" s="28">
        <f t="shared" si="175"/>
        <v>-4.6906563825982739E-2</v>
      </c>
      <c r="P262" s="28">
        <f t="shared" si="175"/>
        <v>7.0737434633447685E-2</v>
      </c>
      <c r="Q262" s="28"/>
      <c r="S262" s="28">
        <f t="shared" si="176"/>
        <v>-0.43502517645517697</v>
      </c>
      <c r="T262" s="28">
        <f t="shared" si="177"/>
        <v>-0.7453444344093002</v>
      </c>
      <c r="U262" s="28">
        <f t="shared" si="178"/>
        <v>-1.2907253269916765</v>
      </c>
      <c r="V262" s="28">
        <f t="shared" si="178"/>
        <v>-0.37564959168522644</v>
      </c>
      <c r="W262" s="28">
        <f t="shared" si="178"/>
        <v>-0.11960784313725491</v>
      </c>
      <c r="X262" s="28">
        <f t="shared" si="178"/>
        <v>-0.36946218833711109</v>
      </c>
      <c r="Y262" s="28">
        <f t="shared" si="178"/>
        <v>-1.5712772218952324</v>
      </c>
    </row>
    <row r="263" spans="1:25" x14ac:dyDescent="0.25">
      <c r="A263" s="5" t="s">
        <v>36</v>
      </c>
      <c r="B263" s="2">
        <v>-2810</v>
      </c>
      <c r="C263" s="2">
        <v>-1824</v>
      </c>
      <c r="D263" s="2">
        <v>-1967</v>
      </c>
      <c r="E263" s="2">
        <v>-1886</v>
      </c>
      <c r="F263" s="2">
        <v>-1943</v>
      </c>
      <c r="G263" s="2">
        <v>-1054</v>
      </c>
      <c r="K263" s="28">
        <f t="shared" si="175"/>
        <v>-3.104526421618994E-2</v>
      </c>
      <c r="L263" s="28">
        <f t="shared" si="175"/>
        <v>-1.9530162537207959E-2</v>
      </c>
      <c r="M263" s="28">
        <f t="shared" si="175"/>
        <v>-1.9703495943103274E-2</v>
      </c>
      <c r="N263" s="28">
        <f t="shared" si="175"/>
        <v>-1.8590438639724E-2</v>
      </c>
      <c r="O263" s="28">
        <f t="shared" si="175"/>
        <v>-1.8780023390456306E-2</v>
      </c>
      <c r="P263" s="28">
        <f t="shared" si="175"/>
        <v>-8.776604603137594E-3</v>
      </c>
      <c r="Q263" s="28"/>
      <c r="S263" s="28">
        <f t="shared" si="176"/>
        <v>0.21667095873235825</v>
      </c>
      <c r="T263" s="28">
        <f t="shared" si="177"/>
        <v>0.26498722067421782</v>
      </c>
      <c r="U263" s="28">
        <f t="shared" si="178"/>
        <v>0.54057017543859653</v>
      </c>
      <c r="V263" s="28">
        <f t="shared" si="178"/>
        <v>-7.2699542450432128E-2</v>
      </c>
      <c r="W263" s="28">
        <f t="shared" si="178"/>
        <v>4.2948038176033931E-2</v>
      </c>
      <c r="X263" s="28">
        <f t="shared" si="178"/>
        <v>-2.9336078229541946E-2</v>
      </c>
      <c r="Y263" s="28">
        <f t="shared" si="178"/>
        <v>0.84345351043643269</v>
      </c>
    </row>
    <row r="264" spans="1:25" x14ac:dyDescent="0.25">
      <c r="A264" s="5" t="s">
        <v>37</v>
      </c>
      <c r="B264" s="2">
        <v>-847</v>
      </c>
      <c r="C264" s="2">
        <v>-587</v>
      </c>
      <c r="D264" s="2">
        <v>-344</v>
      </c>
      <c r="E264" s="2">
        <v>-271</v>
      </c>
      <c r="F264" s="2">
        <v>-282</v>
      </c>
      <c r="G264" s="2">
        <v>-224</v>
      </c>
      <c r="K264" s="28">
        <f t="shared" si="175"/>
        <v>-9.357771811783943E-3</v>
      </c>
      <c r="L264" s="28">
        <f t="shared" si="175"/>
        <v>-6.28520033406857E-3</v>
      </c>
      <c r="M264" s="28">
        <f t="shared" si="175"/>
        <v>-3.4458579585295002E-3</v>
      </c>
      <c r="N264" s="28">
        <f t="shared" si="175"/>
        <v>-2.6712666338097584E-3</v>
      </c>
      <c r="O264" s="28">
        <f t="shared" si="175"/>
        <v>-2.7256647432365817E-3</v>
      </c>
      <c r="P264" s="28">
        <f t="shared" si="175"/>
        <v>-1.8652366519002097E-3</v>
      </c>
      <c r="Q264" s="28"/>
      <c r="S264" s="28">
        <f t="shared" si="176"/>
        <v>0.30474931763943724</v>
      </c>
      <c r="T264" s="28">
        <f t="shared" si="177"/>
        <v>0.32772393502322256</v>
      </c>
      <c r="U264" s="28">
        <f t="shared" si="178"/>
        <v>0.44293015332197616</v>
      </c>
      <c r="V264" s="28">
        <f t="shared" si="178"/>
        <v>0.70639534883720934</v>
      </c>
      <c r="W264" s="28">
        <f t="shared" si="178"/>
        <v>0.26937269372693728</v>
      </c>
      <c r="X264" s="28">
        <f t="shared" si="178"/>
        <v>-3.9007092198581561E-2</v>
      </c>
      <c r="Y264" s="28">
        <f t="shared" si="178"/>
        <v>0.25892857142857145</v>
      </c>
    </row>
    <row r="265" spans="1:25" x14ac:dyDescent="0.25">
      <c r="A265" s="5" t="s">
        <v>38</v>
      </c>
      <c r="B265" s="2">
        <v>152</v>
      </c>
      <c r="C265" s="2">
        <v>150</v>
      </c>
      <c r="D265" s="2">
        <v>140</v>
      </c>
      <c r="E265" s="2">
        <v>126</v>
      </c>
      <c r="F265" s="2">
        <v>118</v>
      </c>
      <c r="G265" s="2">
        <v>207</v>
      </c>
      <c r="K265" s="30">
        <f t="shared" si="175"/>
        <v>1.6793167832245093E-3</v>
      </c>
      <c r="L265" s="30">
        <f t="shared" si="175"/>
        <v>1.6060988928624964E-3</v>
      </c>
      <c r="M265" s="30">
        <f t="shared" si="175"/>
        <v>1.4023840528899129E-3</v>
      </c>
      <c r="N265" s="30">
        <f t="shared" si="175"/>
        <v>1.2419911286347955E-3</v>
      </c>
      <c r="O265" s="30">
        <f t="shared" si="175"/>
        <v>1.1405263819216902E-3</v>
      </c>
      <c r="P265" s="30">
        <f t="shared" si="175"/>
        <v>1.7236785131399261E-3</v>
      </c>
      <c r="Q265" s="30"/>
      <c r="R265" s="31"/>
      <c r="S265" s="30">
        <f t="shared" si="176"/>
        <v>-5.9898710260960809E-2</v>
      </c>
      <c r="T265" s="30">
        <f t="shared" si="177"/>
        <v>-3.3256412955749735E-2</v>
      </c>
      <c r="U265" s="30">
        <f t="shared" si="178"/>
        <v>1.3333333333333334E-2</v>
      </c>
      <c r="V265" s="30">
        <f t="shared" si="178"/>
        <v>7.1428571428571425E-2</v>
      </c>
      <c r="W265" s="30">
        <f t="shared" si="178"/>
        <v>0.1111111111111111</v>
      </c>
      <c r="X265" s="30">
        <f t="shared" si="178"/>
        <v>6.7796610169491525E-2</v>
      </c>
      <c r="Y265" s="30">
        <f t="shared" si="178"/>
        <v>-0.42995169082125606</v>
      </c>
    </row>
    <row r="266" spans="1:25" ht="15.75" thickBot="1" x14ac:dyDescent="0.3">
      <c r="A266" s="2" t="s">
        <v>40</v>
      </c>
      <c r="B266" s="9">
        <f>SUM(B260:B265)</f>
        <v>48830</v>
      </c>
      <c r="C266" s="9">
        <f t="shared" ref="C266:G266" si="179">SUM(C260:C265)</f>
        <v>49448</v>
      </c>
      <c r="D266" s="9">
        <f t="shared" si="179"/>
        <v>50243</v>
      </c>
      <c r="E266" s="9">
        <f t="shared" si="179"/>
        <v>51749</v>
      </c>
      <c r="F266" s="9">
        <f t="shared" si="179"/>
        <v>51775</v>
      </c>
      <c r="G266" s="9">
        <f t="shared" si="179"/>
        <v>66070</v>
      </c>
      <c r="H266" s="36"/>
      <c r="I266" s="36"/>
      <c r="K266" s="28">
        <f t="shared" si="175"/>
        <v>0.53948051661087359</v>
      </c>
      <c r="L266" s="28">
        <f t="shared" si="175"/>
        <v>0.52945585369509818</v>
      </c>
      <c r="M266" s="28">
        <f t="shared" si="175"/>
        <v>0.50328558549534208</v>
      </c>
      <c r="N266" s="28">
        <f t="shared" si="175"/>
        <v>0.51009364218827014</v>
      </c>
      <c r="O266" s="28">
        <f t="shared" si="175"/>
        <v>0.50043011376267388</v>
      </c>
      <c r="P266" s="28">
        <f t="shared" si="175"/>
        <v>0.55016154281717355</v>
      </c>
      <c r="Q266" s="28"/>
      <c r="S266" s="28">
        <f t="shared" si="176"/>
        <v>-5.8681739699202047E-2</v>
      </c>
      <c r="T266" s="28">
        <f t="shared" si="177"/>
        <v>-5.4857339349412525E-2</v>
      </c>
      <c r="U266" s="28">
        <f t="shared" si="178"/>
        <v>-1.2497977673515612E-2</v>
      </c>
      <c r="V266" s="28">
        <f t="shared" si="178"/>
        <v>-1.5823099735286509E-2</v>
      </c>
      <c r="W266" s="28">
        <f t="shared" si="178"/>
        <v>-2.9102011633075034E-2</v>
      </c>
      <c r="X266" s="28">
        <f t="shared" si="178"/>
        <v>-5.0217286335103818E-4</v>
      </c>
      <c r="Y266" s="28">
        <f t="shared" si="178"/>
        <v>-0.21636143484183443</v>
      </c>
    </row>
    <row r="267" spans="1:25" ht="15.75" thickTop="1" x14ac:dyDescent="0.25"/>
    <row r="268" spans="1:25" x14ac:dyDescent="0.25">
      <c r="A268" s="5" t="s">
        <v>165</v>
      </c>
      <c r="B268" s="8">
        <v>3575</v>
      </c>
      <c r="C268" s="8">
        <v>3588</v>
      </c>
      <c r="D268" s="8">
        <v>3650</v>
      </c>
      <c r="E268" s="8">
        <v>3178</v>
      </c>
      <c r="F268" s="8">
        <v>3190</v>
      </c>
      <c r="G268" s="8">
        <v>2927</v>
      </c>
      <c r="H268" s="8"/>
      <c r="K268" s="28">
        <f t="shared" ref="K268:P271" si="180">+B268/B$60</f>
        <v>0.13498206531999246</v>
      </c>
      <c r="L268" s="28">
        <f t="shared" si="180"/>
        <v>0.13777743644881346</v>
      </c>
      <c r="M268" s="28">
        <f t="shared" si="180"/>
        <v>0.13939278212717204</v>
      </c>
      <c r="N268" s="28">
        <f t="shared" si="180"/>
        <v>0.12723705809344596</v>
      </c>
      <c r="O268" s="28">
        <f t="shared" si="180"/>
        <v>0.12144053601340034</v>
      </c>
      <c r="P268" s="28">
        <f t="shared" si="180"/>
        <v>0.11224881116735695</v>
      </c>
      <c r="Q268" s="28"/>
      <c r="S268" s="28">
        <f>RATE(5,0,-G268,B268)</f>
        <v>4.080810314999915E-2</v>
      </c>
      <c r="T268" s="28">
        <f t="shared" ref="T268:T271" si="181">AVERAGE(U268:Y268)</f>
        <v>4.2800585816641215E-2</v>
      </c>
      <c r="U268" s="28">
        <f t="shared" ref="U268:Y271" si="182">(+B268-C268)/C268</f>
        <v>-3.6231884057971015E-3</v>
      </c>
      <c r="V268" s="28">
        <f t="shared" si="182"/>
        <v>-1.6986301369863014E-2</v>
      </c>
      <c r="W268" s="28">
        <f t="shared" si="182"/>
        <v>0.1485210824417873</v>
      </c>
      <c r="X268" s="28">
        <f t="shared" si="182"/>
        <v>-3.761755485893417E-3</v>
      </c>
      <c r="Y268" s="28">
        <f t="shared" si="182"/>
        <v>8.9853091902972332E-2</v>
      </c>
    </row>
    <row r="269" spans="1:25" x14ac:dyDescent="0.25">
      <c r="A269" s="5" t="s">
        <v>166</v>
      </c>
      <c r="B269" s="2">
        <f>-B207</f>
        <v>-127</v>
      </c>
      <c r="C269" s="2">
        <f t="shared" ref="C269:G269" si="183">-C207</f>
        <v>-140</v>
      </c>
      <c r="D269" s="2">
        <f t="shared" si="183"/>
        <v>-119</v>
      </c>
      <c r="E269" s="2">
        <f t="shared" si="183"/>
        <v>-112</v>
      </c>
      <c r="F269" s="2">
        <f t="shared" si="183"/>
        <v>-109</v>
      </c>
      <c r="G269" s="2">
        <f t="shared" si="183"/>
        <v>-93</v>
      </c>
      <c r="K269" s="28">
        <f t="shared" si="180"/>
        <v>-4.7951670757032279E-3</v>
      </c>
      <c r="L269" s="28">
        <f t="shared" si="180"/>
        <v>-5.3759311880807927E-3</v>
      </c>
      <c r="M269" s="28">
        <f t="shared" si="180"/>
        <v>-4.544586595379034E-3</v>
      </c>
      <c r="N269" s="28">
        <f t="shared" si="180"/>
        <v>-4.4841253953637342E-3</v>
      </c>
      <c r="O269" s="28">
        <f t="shared" si="180"/>
        <v>-4.1495355565707324E-3</v>
      </c>
      <c r="P269" s="28">
        <f t="shared" si="180"/>
        <v>-3.5664979291302346E-3</v>
      </c>
      <c r="Q269" s="28"/>
      <c r="S269" s="28">
        <f>RATE(5,0,-G269,B269)</f>
        <v>6.4300226266165716E-2</v>
      </c>
      <c r="T269" s="28">
        <f t="shared" si="181"/>
        <v>6.91358783821312E-2</v>
      </c>
      <c r="U269" s="28">
        <f t="shared" si="182"/>
        <v>-9.285714285714286E-2</v>
      </c>
      <c r="V269" s="28">
        <f t="shared" si="182"/>
        <v>0.17647058823529413</v>
      </c>
      <c r="W269" s="28">
        <f t="shared" si="182"/>
        <v>6.25E-2</v>
      </c>
      <c r="X269" s="28">
        <f t="shared" si="182"/>
        <v>2.7522935779816515E-2</v>
      </c>
      <c r="Y269" s="28">
        <f t="shared" si="182"/>
        <v>0.17204301075268819</v>
      </c>
    </row>
    <row r="270" spans="1:25" x14ac:dyDescent="0.25">
      <c r="A270" s="5" t="s">
        <v>167</v>
      </c>
      <c r="B270" s="2">
        <f>-B206</f>
        <v>-945</v>
      </c>
      <c r="C270" s="2">
        <f t="shared" ref="C270:G270" si="184">-C206</f>
        <v>-1039</v>
      </c>
      <c r="D270" s="2">
        <f t="shared" si="184"/>
        <v>-1070</v>
      </c>
      <c r="E270" s="2">
        <f t="shared" si="184"/>
        <v>-1100</v>
      </c>
      <c r="F270" s="2">
        <f t="shared" si="184"/>
        <v>-1140</v>
      </c>
      <c r="G270" s="2">
        <f t="shared" si="184"/>
        <v>-1115</v>
      </c>
      <c r="K270" s="28">
        <f t="shared" si="180"/>
        <v>-3.568057390976024E-2</v>
      </c>
      <c r="L270" s="28">
        <f t="shared" si="180"/>
        <v>-3.9897089317256738E-2</v>
      </c>
      <c r="M270" s="28">
        <f t="shared" si="180"/>
        <v>-4.0863089555088793E-2</v>
      </c>
      <c r="N270" s="28">
        <f t="shared" si="180"/>
        <v>-4.4040517275893823E-2</v>
      </c>
      <c r="O270" s="28">
        <f t="shared" si="180"/>
        <v>-4.3398812243033345E-2</v>
      </c>
      <c r="P270" s="28">
        <f t="shared" si="180"/>
        <v>-4.2759625709464642E-2</v>
      </c>
      <c r="Q270" s="28"/>
      <c r="S270" s="28">
        <f>RATE(5,0,-G270,B270)</f>
        <v>-3.254363055898047E-2</v>
      </c>
      <c r="T270" s="28">
        <f t="shared" si="181"/>
        <v>-3.1876498367768777E-2</v>
      </c>
      <c r="U270" s="28">
        <f t="shared" si="182"/>
        <v>-9.0471607314725699E-2</v>
      </c>
      <c r="V270" s="28">
        <f t="shared" si="182"/>
        <v>-2.897196261682243E-2</v>
      </c>
      <c r="W270" s="28">
        <f t="shared" si="182"/>
        <v>-2.7272727272727271E-2</v>
      </c>
      <c r="X270" s="28">
        <f t="shared" si="182"/>
        <v>-3.5087719298245612E-2</v>
      </c>
      <c r="Y270" s="28">
        <f t="shared" si="182"/>
        <v>2.2421524663677129E-2</v>
      </c>
    </row>
    <row r="271" spans="1:25" ht="15.75" thickBot="1" x14ac:dyDescent="0.3">
      <c r="A271" s="2" t="s">
        <v>168</v>
      </c>
      <c r="B271" s="9">
        <f>SUM(B268:B270)</f>
        <v>2503</v>
      </c>
      <c r="C271" s="9">
        <f t="shared" ref="C271:G271" si="185">SUM(C268:C270)</f>
        <v>2409</v>
      </c>
      <c r="D271" s="39">
        <f t="shared" si="185"/>
        <v>2461</v>
      </c>
      <c r="E271" s="39">
        <f t="shared" si="185"/>
        <v>1966</v>
      </c>
      <c r="F271" s="9">
        <f t="shared" si="185"/>
        <v>1941</v>
      </c>
      <c r="G271" s="9">
        <f t="shared" si="185"/>
        <v>1719</v>
      </c>
      <c r="H271" s="36"/>
      <c r="K271" s="28">
        <f t="shared" si="180"/>
        <v>9.4506324334528977E-2</v>
      </c>
      <c r="L271" s="28">
        <f t="shared" si="180"/>
        <v>9.2504415943475929E-2</v>
      </c>
      <c r="M271" s="28">
        <f t="shared" si="180"/>
        <v>9.3985105976704217E-2</v>
      </c>
      <c r="N271" s="28">
        <f t="shared" si="180"/>
        <v>7.8712415422188417E-2</v>
      </c>
      <c r="O271" s="28">
        <f t="shared" si="180"/>
        <v>7.3892188213796256E-2</v>
      </c>
      <c r="P271" s="28">
        <f t="shared" si="180"/>
        <v>6.5922687528762083E-2</v>
      </c>
      <c r="Q271" s="28"/>
      <c r="S271" s="28">
        <f>RATE(5,0,-G271,B271)</f>
        <v>7.8045260485801612E-2</v>
      </c>
      <c r="T271" s="28">
        <f t="shared" si="181"/>
        <v>8.2339158644776006E-2</v>
      </c>
      <c r="U271" s="28">
        <f t="shared" si="182"/>
        <v>3.9020340390203405E-2</v>
      </c>
      <c r="V271" s="28">
        <f t="shared" si="182"/>
        <v>-2.1129622104835433E-2</v>
      </c>
      <c r="W271" s="40">
        <f t="shared" si="182"/>
        <v>0.25178026449643948</v>
      </c>
      <c r="X271" s="28">
        <f t="shared" si="182"/>
        <v>1.287995878413189E-2</v>
      </c>
      <c r="Y271" s="28">
        <f t="shared" si="182"/>
        <v>0.12914485165794065</v>
      </c>
    </row>
    <row r="272" spans="1:25" ht="15.75" thickTop="1" x14ac:dyDescent="0.25"/>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5987-4218-47C8-96F6-7C36E4CA05BF}">
  <dimension ref="A1:Y446"/>
  <sheetViews>
    <sheetView topLeftCell="A101" workbookViewId="0">
      <selection activeCell="D116" sqref="D116"/>
    </sheetView>
  </sheetViews>
  <sheetFormatPr defaultRowHeight="15" x14ac:dyDescent="0.25"/>
  <cols>
    <col min="1" max="1" width="40.7109375" style="2" customWidth="1"/>
    <col min="2" max="8" width="10.7109375" style="2" customWidth="1"/>
    <col min="9" max="9" width="8.85546875" style="2" bestFit="1" customWidth="1"/>
    <col min="10" max="24" width="8.7109375" style="2" customWidth="1"/>
    <col min="25" max="16384" width="9.140625" style="2"/>
  </cols>
  <sheetData>
    <row r="1" spans="1:24" s="15" customFormat="1" x14ac:dyDescent="0.25">
      <c r="A1" s="15" t="s">
        <v>0</v>
      </c>
      <c r="B1" s="15" t="s">
        <v>139</v>
      </c>
      <c r="J1" s="15" t="str">
        <f>+B1</f>
        <v>Reclassified</v>
      </c>
      <c r="R1" s="15" t="str">
        <f>+B1</f>
        <v>Reclassified</v>
      </c>
    </row>
    <row r="2" spans="1:24" s="15" customFormat="1" x14ac:dyDescent="0.25">
      <c r="A2" s="15" t="s">
        <v>1</v>
      </c>
      <c r="J2" s="15" t="s">
        <v>126</v>
      </c>
      <c r="R2" s="15" t="s">
        <v>131</v>
      </c>
    </row>
    <row r="3" spans="1:24" s="15" customFormat="1" x14ac:dyDescent="0.25">
      <c r="A3" s="15" t="s">
        <v>2</v>
      </c>
      <c r="F3" s="15" t="s">
        <v>150</v>
      </c>
      <c r="G3" s="16" t="s">
        <v>125</v>
      </c>
      <c r="H3" s="16"/>
      <c r="O3" s="16" t="s">
        <v>125</v>
      </c>
      <c r="P3" s="16"/>
      <c r="R3" s="15" t="s">
        <v>127</v>
      </c>
      <c r="S3" s="15" t="s">
        <v>129</v>
      </c>
      <c r="T3" s="15" t="s">
        <v>132</v>
      </c>
      <c r="U3" s="15" t="s">
        <v>133</v>
      </c>
      <c r="V3" s="15" t="s">
        <v>134</v>
      </c>
      <c r="W3" s="15" t="s">
        <v>135</v>
      </c>
      <c r="X3" s="15" t="s">
        <v>136</v>
      </c>
    </row>
    <row r="4" spans="1:24" s="15" customFormat="1" ht="15.75" thickBot="1" x14ac:dyDescent="0.3">
      <c r="A4" s="16" t="s">
        <v>3</v>
      </c>
      <c r="B4" s="17">
        <v>2022</v>
      </c>
      <c r="C4" s="17">
        <v>2021</v>
      </c>
      <c r="D4" s="17">
        <v>2020</v>
      </c>
      <c r="E4" s="17">
        <v>2019</v>
      </c>
      <c r="F4" s="17">
        <v>2018</v>
      </c>
      <c r="G4" s="17">
        <v>2017</v>
      </c>
      <c r="H4" s="22"/>
      <c r="J4" s="17">
        <v>2022</v>
      </c>
      <c r="K4" s="17">
        <v>2021</v>
      </c>
      <c r="L4" s="17">
        <v>2020</v>
      </c>
      <c r="M4" s="17">
        <v>2019</v>
      </c>
      <c r="N4" s="17">
        <v>2018</v>
      </c>
      <c r="O4" s="17">
        <v>2017</v>
      </c>
      <c r="P4" s="22"/>
      <c r="R4" s="29" t="s">
        <v>128</v>
      </c>
      <c r="S4" s="29" t="s">
        <v>130</v>
      </c>
      <c r="T4" s="17">
        <v>2022</v>
      </c>
      <c r="U4" s="17">
        <v>2021</v>
      </c>
      <c r="V4" s="17">
        <v>2020</v>
      </c>
      <c r="W4" s="17">
        <v>2019</v>
      </c>
      <c r="X4" s="17">
        <v>2018</v>
      </c>
    </row>
    <row r="5" spans="1:24" x14ac:dyDescent="0.25">
      <c r="A5" s="2" t="s">
        <v>5</v>
      </c>
    </row>
    <row r="6" spans="1:24" x14ac:dyDescent="0.25">
      <c r="A6" s="5" t="s">
        <v>6</v>
      </c>
      <c r="B6" s="8">
        <v>1040</v>
      </c>
      <c r="C6" s="8">
        <v>3445</v>
      </c>
      <c r="D6" s="8">
        <v>3417</v>
      </c>
      <c r="E6" s="8">
        <v>2279</v>
      </c>
      <c r="F6" s="8">
        <v>1130</v>
      </c>
      <c r="G6" s="8">
        <v>1629</v>
      </c>
      <c r="H6" s="8"/>
      <c r="J6" s="28">
        <f t="shared" ref="J6:O6" si="0">+B6/B$21</f>
        <v>1.14900622010098E-2</v>
      </c>
      <c r="K6" s="28">
        <f t="shared" si="0"/>
        <v>3.6886737906075336E-2</v>
      </c>
      <c r="L6" s="28">
        <f t="shared" si="0"/>
        <v>3.4228187919463089E-2</v>
      </c>
      <c r="M6" s="28">
        <f t="shared" si="0"/>
        <v>2.2464268112370626E-2</v>
      </c>
      <c r="N6" s="28">
        <f t="shared" si="0"/>
        <v>1.0921989928572119E-2</v>
      </c>
      <c r="O6" s="28">
        <f t="shared" si="0"/>
        <v>1.3564600472970723E-2</v>
      </c>
      <c r="P6" s="28"/>
      <c r="R6" s="28">
        <f>RATE(5,0,-G6,B6)</f>
        <v>-8.5839501919465239E-2</v>
      </c>
      <c r="S6" s="28">
        <f>AVERAGE(T6:X6)</f>
        <v>0.10398283867061812</v>
      </c>
      <c r="T6" s="28">
        <f>(+B6-C6)/C6</f>
        <v>-0.69811320754716977</v>
      </c>
      <c r="U6" s="28">
        <f>(+C6-D6)/D6</f>
        <v>8.194322505121452E-3</v>
      </c>
      <c r="V6" s="28">
        <f>(+D6-E6)/E6</f>
        <v>0.49934181658622201</v>
      </c>
      <c r="W6" s="28">
        <f>(+E6-F6)/F6</f>
        <v>1.0168141592920354</v>
      </c>
      <c r="X6" s="28">
        <f>(+F6-G6)/G6</f>
        <v>-0.30632289748311847</v>
      </c>
    </row>
    <row r="7" spans="1:24" x14ac:dyDescent="0.25">
      <c r="A7" s="5" t="s">
        <v>140</v>
      </c>
      <c r="B7" s="2">
        <v>0</v>
      </c>
      <c r="C7" s="2">
        <v>0</v>
      </c>
      <c r="D7" s="2">
        <v>0</v>
      </c>
      <c r="E7" s="2">
        <v>0</v>
      </c>
      <c r="F7" s="2">
        <v>0</v>
      </c>
      <c r="G7" s="2">
        <v>0</v>
      </c>
      <c r="J7" s="28"/>
      <c r="K7" s="28"/>
      <c r="L7" s="28"/>
      <c r="M7" s="28"/>
      <c r="N7" s="28"/>
      <c r="O7" s="28"/>
      <c r="P7" s="28"/>
      <c r="R7" s="28"/>
      <c r="S7" s="28"/>
      <c r="T7" s="28"/>
      <c r="U7" s="28"/>
      <c r="V7" s="28"/>
      <c r="W7" s="28"/>
      <c r="X7" s="28"/>
    </row>
    <row r="8" spans="1:24" x14ac:dyDescent="0.25">
      <c r="A8" s="5" t="s">
        <v>7</v>
      </c>
      <c r="B8" s="2">
        <v>2120</v>
      </c>
      <c r="C8" s="2">
        <v>1957</v>
      </c>
      <c r="D8" s="2">
        <v>2063</v>
      </c>
      <c r="E8" s="2">
        <v>1973</v>
      </c>
      <c r="F8" s="2">
        <v>2129</v>
      </c>
      <c r="G8" s="2">
        <v>921</v>
      </c>
      <c r="J8" s="28">
        <f t="shared" ref="J8:J17" si="1">+B8/B$21</f>
        <v>2.3422049871289208E-2</v>
      </c>
      <c r="K8" s="28">
        <f t="shared" ref="K8:K17" si="2">+C8/C$21</f>
        <v>2.095423688887937E-2</v>
      </c>
      <c r="L8" s="28">
        <f t="shared" ref="L8:L17" si="3">+D8/D$21</f>
        <v>2.0665130722227788E-2</v>
      </c>
      <c r="M8" s="28">
        <f t="shared" ref="M8:M17" si="4">+E8/E$21</f>
        <v>1.944800394282898E-2</v>
      </c>
      <c r="N8" s="28">
        <f t="shared" ref="N8:N17" si="5">+F8/F$21</f>
        <v>2.0577802263654903E-2</v>
      </c>
      <c r="O8" s="28">
        <f t="shared" ref="O8:O17" si="6">+G8/G$21</f>
        <v>7.669120341071845E-3</v>
      </c>
      <c r="P8" s="28"/>
      <c r="R8" s="28">
        <f t="shared" ref="R8:R17" si="7">RATE(5,0,-G8,B8)</f>
        <v>0.18144972663460698</v>
      </c>
      <c r="S8" s="28">
        <f t="shared" ref="S8:S21" si="8">AVERAGE(T8:X8)</f>
        <v>0.26317381012087437</v>
      </c>
      <c r="T8" s="28">
        <f t="shared" ref="T8:T17" si="9">(+B8-C8)/C8</f>
        <v>8.3290751149718956E-2</v>
      </c>
      <c r="U8" s="28">
        <f t="shared" ref="U8:U17" si="10">(+C8-D8)/D8</f>
        <v>-5.1381483276781388E-2</v>
      </c>
      <c r="V8" s="28">
        <f t="shared" ref="V8:V17" si="11">(+D8-E8)/E8</f>
        <v>4.5615813482007099E-2</v>
      </c>
      <c r="W8" s="28">
        <f t="shared" ref="W8:W17" si="12">(+E8-F8)/F8</f>
        <v>-7.3273837482386098E-2</v>
      </c>
      <c r="X8" s="28">
        <f t="shared" ref="X8:X17" si="13">(+F8-G8)/G8</f>
        <v>1.3116178067318132</v>
      </c>
    </row>
    <row r="9" spans="1:24" x14ac:dyDescent="0.25">
      <c r="A9" s="5" t="s">
        <v>8</v>
      </c>
      <c r="B9" s="2">
        <v>3651</v>
      </c>
      <c r="C9" s="2">
        <v>2729</v>
      </c>
      <c r="D9" s="2">
        <v>2554</v>
      </c>
      <c r="E9" s="2">
        <v>2721</v>
      </c>
      <c r="F9" s="2">
        <v>2667</v>
      </c>
      <c r="G9" s="2">
        <v>2760</v>
      </c>
      <c r="J9" s="28">
        <f t="shared" si="1"/>
        <v>4.0336747207583443E-2</v>
      </c>
      <c r="K9" s="28">
        <f t="shared" si="2"/>
        <v>2.9220292524145021E-2</v>
      </c>
      <c r="L9" s="28">
        <f t="shared" si="3"/>
        <v>2.5583491936291697E-2</v>
      </c>
      <c r="M9" s="28">
        <f t="shared" si="4"/>
        <v>2.6821094135041891E-2</v>
      </c>
      <c r="N9" s="28">
        <f t="shared" si="5"/>
        <v>2.5777829326992779E-2</v>
      </c>
      <c r="O9" s="28">
        <f t="shared" si="6"/>
        <v>2.2982380175199015E-2</v>
      </c>
      <c r="P9" s="28"/>
      <c r="R9" s="28">
        <f t="shared" si="7"/>
        <v>5.7549124818983735E-2</v>
      </c>
      <c r="S9" s="28">
        <f t="shared" si="8"/>
        <v>6.6309996838441923E-2</v>
      </c>
      <c r="T9" s="28">
        <f t="shared" si="9"/>
        <v>0.337852693294247</v>
      </c>
      <c r="U9" s="28">
        <f t="shared" si="10"/>
        <v>6.8519968676585746E-2</v>
      </c>
      <c r="V9" s="28">
        <f t="shared" si="11"/>
        <v>-6.1374494671076807E-2</v>
      </c>
      <c r="W9" s="28">
        <f t="shared" si="12"/>
        <v>2.0247469066366704E-2</v>
      </c>
      <c r="X9" s="28">
        <f t="shared" si="13"/>
        <v>-3.3695652173913043E-2</v>
      </c>
    </row>
    <row r="10" spans="1:24" x14ac:dyDescent="0.25">
      <c r="A10" s="5" t="s">
        <v>10</v>
      </c>
      <c r="B10" s="2">
        <f t="shared" ref="B10:G10" si="14">+B405</f>
        <v>1086</v>
      </c>
      <c r="C10" s="2">
        <f t="shared" si="14"/>
        <v>863</v>
      </c>
      <c r="D10" s="2">
        <f t="shared" si="14"/>
        <v>2788</v>
      </c>
      <c r="E10" s="2">
        <f t="shared" si="14"/>
        <v>1124</v>
      </c>
      <c r="F10" s="2">
        <f t="shared" si="14"/>
        <v>3149</v>
      </c>
      <c r="G10" s="2">
        <f t="shared" si="14"/>
        <v>1891</v>
      </c>
      <c r="J10" s="30">
        <f t="shared" si="1"/>
        <v>1.1998276490669849E-2</v>
      </c>
      <c r="K10" s="30">
        <f t="shared" si="2"/>
        <v>9.2404222969355628E-3</v>
      </c>
      <c r="L10" s="30">
        <f t="shared" si="3"/>
        <v>2.7927476710407694E-2</v>
      </c>
      <c r="M10" s="30">
        <f t="shared" si="4"/>
        <v>1.1079349433218335E-2</v>
      </c>
      <c r="N10" s="30">
        <f t="shared" si="5"/>
        <v>3.0436589632808497E-2</v>
      </c>
      <c r="O10" s="30">
        <f t="shared" si="6"/>
        <v>1.5746261199746862E-2</v>
      </c>
      <c r="P10" s="30"/>
      <c r="Q10" s="31"/>
      <c r="R10" s="30">
        <f t="shared" si="7"/>
        <v>-0.10499047081771275</v>
      </c>
      <c r="S10" s="30">
        <f t="shared" si="8"/>
        <v>0.2141128103088957</v>
      </c>
      <c r="T10" s="30">
        <f t="shared" si="9"/>
        <v>0.25840092699884126</v>
      </c>
      <c r="U10" s="30">
        <f t="shared" si="10"/>
        <v>-0.69045911047345765</v>
      </c>
      <c r="V10" s="30">
        <f t="shared" si="11"/>
        <v>1.4804270462633451</v>
      </c>
      <c r="W10" s="30">
        <f t="shared" si="12"/>
        <v>-0.64306128929818995</v>
      </c>
      <c r="X10" s="30">
        <f t="shared" si="13"/>
        <v>0.66525647805393973</v>
      </c>
    </row>
    <row r="11" spans="1:24" x14ac:dyDescent="0.25">
      <c r="A11" s="2" t="s">
        <v>12</v>
      </c>
      <c r="B11" s="6">
        <f t="shared" ref="B11:G11" si="15">SUM(B6:B10)</f>
        <v>7897</v>
      </c>
      <c r="C11" s="6">
        <f t="shared" si="15"/>
        <v>8994</v>
      </c>
      <c r="D11" s="6">
        <f t="shared" si="15"/>
        <v>10822</v>
      </c>
      <c r="E11" s="6">
        <f t="shared" si="15"/>
        <v>8097</v>
      </c>
      <c r="F11" s="6">
        <f t="shared" si="15"/>
        <v>9075</v>
      </c>
      <c r="G11" s="6">
        <f t="shared" si="15"/>
        <v>7201</v>
      </c>
      <c r="H11" s="34"/>
      <c r="J11" s="28">
        <f t="shared" si="1"/>
        <v>8.7247135770552292E-2</v>
      </c>
      <c r="K11" s="28">
        <f t="shared" si="2"/>
        <v>9.6301689616035288E-2</v>
      </c>
      <c r="L11" s="28">
        <f t="shared" si="3"/>
        <v>0.10840428728839026</v>
      </c>
      <c r="M11" s="28">
        <f t="shared" si="4"/>
        <v>7.9812715623459832E-2</v>
      </c>
      <c r="N11" s="28">
        <f t="shared" si="5"/>
        <v>8.7714211152028307E-2</v>
      </c>
      <c r="O11" s="28">
        <f t="shared" si="6"/>
        <v>5.9962362188988441E-2</v>
      </c>
      <c r="P11" s="28"/>
      <c r="R11" s="28">
        <f t="shared" si="7"/>
        <v>1.8623908433372451E-2</v>
      </c>
      <c r="S11" s="28">
        <f t="shared" si="8"/>
        <v>3.9626412414418111E-2</v>
      </c>
      <c r="T11" s="28">
        <f t="shared" si="9"/>
        <v>-0.12197020235712697</v>
      </c>
      <c r="U11" s="28">
        <f t="shared" si="10"/>
        <v>-0.16891517279615598</v>
      </c>
      <c r="V11" s="28">
        <f t="shared" si="11"/>
        <v>0.33654439916018281</v>
      </c>
      <c r="W11" s="28">
        <f t="shared" si="12"/>
        <v>-0.10776859504132232</v>
      </c>
      <c r="X11" s="28">
        <f t="shared" si="13"/>
        <v>0.26024163310651299</v>
      </c>
    </row>
    <row r="12" spans="1:24" x14ac:dyDescent="0.25">
      <c r="A12" s="35" t="s">
        <v>108</v>
      </c>
      <c r="B12" s="34">
        <f t="shared" ref="B12:G16" si="16">+B384</f>
        <v>200</v>
      </c>
      <c r="C12" s="34">
        <f t="shared" si="16"/>
        <v>207</v>
      </c>
      <c r="D12" s="34">
        <f t="shared" si="16"/>
        <v>219</v>
      </c>
      <c r="E12" s="34">
        <f t="shared" si="16"/>
        <v>210</v>
      </c>
      <c r="F12" s="34">
        <f t="shared" si="16"/>
        <v>218</v>
      </c>
      <c r="G12" s="34">
        <f t="shared" si="16"/>
        <v>250</v>
      </c>
      <c r="H12" s="34"/>
      <c r="J12" s="28">
        <f t="shared" si="1"/>
        <v>2.2096273463480384E-3</v>
      </c>
      <c r="K12" s="28">
        <f t="shared" si="2"/>
        <v>2.2164164721502452E-3</v>
      </c>
      <c r="L12" s="28">
        <f t="shared" si="3"/>
        <v>2.1937293398777923E-3</v>
      </c>
      <c r="M12" s="28">
        <f t="shared" si="4"/>
        <v>2.0699852143913258E-3</v>
      </c>
      <c r="N12" s="28">
        <f t="shared" si="5"/>
        <v>2.1070741632112583E-3</v>
      </c>
      <c r="O12" s="28">
        <f t="shared" si="6"/>
        <v>2.0817373347100554E-3</v>
      </c>
      <c r="P12" s="28"/>
      <c r="R12" s="28">
        <f t="shared" si="7"/>
        <v>-4.3647500209735325E-2</v>
      </c>
      <c r="S12" s="28">
        <f t="shared" si="8"/>
        <v>-4.2090210103599465E-2</v>
      </c>
      <c r="T12" s="28">
        <f t="shared" si="9"/>
        <v>-3.3816425120772944E-2</v>
      </c>
      <c r="U12" s="28">
        <f t="shared" si="10"/>
        <v>-5.4794520547945202E-2</v>
      </c>
      <c r="V12" s="28">
        <f t="shared" si="11"/>
        <v>4.2857142857142858E-2</v>
      </c>
      <c r="W12" s="28">
        <f t="shared" si="12"/>
        <v>-3.669724770642202E-2</v>
      </c>
      <c r="X12" s="28">
        <f t="shared" si="13"/>
        <v>-0.128</v>
      </c>
    </row>
    <row r="13" spans="1:24" x14ac:dyDescent="0.25">
      <c r="A13" s="35" t="s">
        <v>109</v>
      </c>
      <c r="B13" s="34">
        <f t="shared" si="16"/>
        <v>1161</v>
      </c>
      <c r="C13" s="34">
        <f t="shared" si="16"/>
        <v>1002</v>
      </c>
      <c r="D13" s="34">
        <f t="shared" si="16"/>
        <v>792</v>
      </c>
      <c r="E13" s="34">
        <f t="shared" si="16"/>
        <v>1033</v>
      </c>
      <c r="F13" s="34">
        <f t="shared" si="16"/>
        <v>1165</v>
      </c>
      <c r="G13" s="34">
        <f t="shared" si="16"/>
        <v>1345</v>
      </c>
      <c r="H13" s="34"/>
      <c r="J13" s="28">
        <f t="shared" si="1"/>
        <v>1.2826886745550364E-2</v>
      </c>
      <c r="K13" s="28">
        <f t="shared" si="2"/>
        <v>1.0728740604321477E-2</v>
      </c>
      <c r="L13" s="28">
        <f t="shared" si="3"/>
        <v>7.9334869277772214E-3</v>
      </c>
      <c r="M13" s="28">
        <f t="shared" si="4"/>
        <v>1.0182355840315425E-2</v>
      </c>
      <c r="N13" s="28">
        <f t="shared" si="5"/>
        <v>1.1260281652023467E-2</v>
      </c>
      <c r="O13" s="28">
        <f t="shared" si="6"/>
        <v>1.1199746860740099E-2</v>
      </c>
      <c r="P13" s="28"/>
      <c r="R13" s="28">
        <f t="shared" si="7"/>
        <v>-2.8993835467276595E-2</v>
      </c>
      <c r="S13" s="28">
        <f t="shared" si="8"/>
        <v>-1.1320126458029781E-2</v>
      </c>
      <c r="T13" s="28">
        <f t="shared" si="9"/>
        <v>0.15868263473053892</v>
      </c>
      <c r="U13" s="28">
        <f t="shared" si="10"/>
        <v>0.26515151515151514</v>
      </c>
      <c r="V13" s="28">
        <f t="shared" si="11"/>
        <v>-0.23330106485963215</v>
      </c>
      <c r="W13" s="28">
        <f t="shared" si="12"/>
        <v>-0.11330472103004292</v>
      </c>
      <c r="X13" s="28">
        <f t="shared" si="13"/>
        <v>-0.13382899628252787</v>
      </c>
    </row>
    <row r="14" spans="1:24" x14ac:dyDescent="0.25">
      <c r="A14" s="35" t="s">
        <v>110</v>
      </c>
      <c r="B14" s="31">
        <f t="shared" si="16"/>
        <v>9591</v>
      </c>
      <c r="C14" s="31">
        <f t="shared" si="16"/>
        <v>9465</v>
      </c>
      <c r="D14" s="31">
        <f t="shared" si="16"/>
        <v>9428</v>
      </c>
      <c r="E14" s="31">
        <f t="shared" si="16"/>
        <v>8999</v>
      </c>
      <c r="F14" s="31">
        <f t="shared" si="16"/>
        <v>8279</v>
      </c>
      <c r="G14" s="31">
        <f t="shared" si="16"/>
        <v>7555</v>
      </c>
      <c r="H14" s="34"/>
      <c r="J14" s="30">
        <f t="shared" si="1"/>
        <v>0.10596267939412018</v>
      </c>
      <c r="K14" s="30">
        <f t="shared" si="2"/>
        <v>0.10134484013962353</v>
      </c>
      <c r="L14" s="30">
        <f t="shared" si="3"/>
        <v>9.4440548933186416E-2</v>
      </c>
      <c r="M14" s="30">
        <f t="shared" si="4"/>
        <v>8.8703794972893046E-2</v>
      </c>
      <c r="N14" s="30">
        <f t="shared" si="5"/>
        <v>8.0020490812963335E-2</v>
      </c>
      <c r="O14" s="30">
        <f t="shared" si="6"/>
        <v>6.2910102254937886E-2</v>
      </c>
      <c r="P14" s="30"/>
      <c r="Q14" s="31"/>
      <c r="R14" s="30">
        <f t="shared" si="7"/>
        <v>4.8880193408491791E-2</v>
      </c>
      <c r="S14" s="30">
        <f t="shared" si="8"/>
        <v>4.9541249491260528E-2</v>
      </c>
      <c r="T14" s="30">
        <f t="shared" si="9"/>
        <v>1.3312202852614897E-2</v>
      </c>
      <c r="U14" s="30">
        <f t="shared" si="10"/>
        <v>3.9244802715316081E-3</v>
      </c>
      <c r="V14" s="30">
        <f t="shared" si="11"/>
        <v>4.7671963551505721E-2</v>
      </c>
      <c r="W14" s="30">
        <f t="shared" si="12"/>
        <v>8.6967025003019685E-2</v>
      </c>
      <c r="X14" s="30">
        <f t="shared" si="13"/>
        <v>9.5830575777630711E-2</v>
      </c>
    </row>
    <row r="15" spans="1:24" x14ac:dyDescent="0.25">
      <c r="A15" s="35" t="s">
        <v>141</v>
      </c>
      <c r="B15" s="34">
        <f t="shared" si="16"/>
        <v>10952</v>
      </c>
      <c r="C15" s="34">
        <f t="shared" si="16"/>
        <v>10674</v>
      </c>
      <c r="D15" s="34">
        <f t="shared" si="16"/>
        <v>10439</v>
      </c>
      <c r="E15" s="34">
        <f t="shared" si="16"/>
        <v>10242</v>
      </c>
      <c r="F15" s="34">
        <f t="shared" si="16"/>
        <v>9662</v>
      </c>
      <c r="G15" s="34">
        <f t="shared" si="16"/>
        <v>9150</v>
      </c>
      <c r="H15" s="34"/>
      <c r="J15" s="28">
        <f t="shared" si="1"/>
        <v>0.12099919348601858</v>
      </c>
      <c r="K15" s="28">
        <f t="shared" si="2"/>
        <v>0.11428999721609526</v>
      </c>
      <c r="L15" s="28">
        <f t="shared" si="3"/>
        <v>0.10456776520084143</v>
      </c>
      <c r="M15" s="28">
        <f t="shared" si="4"/>
        <v>0.1009561360275998</v>
      </c>
      <c r="N15" s="28">
        <f t="shared" si="5"/>
        <v>9.338784662819806E-2</v>
      </c>
      <c r="O15" s="28">
        <f t="shared" si="6"/>
        <v>7.6191586450388038E-2</v>
      </c>
      <c r="P15" s="28"/>
      <c r="R15" s="28">
        <f t="shared" si="7"/>
        <v>3.6607790043669146E-2</v>
      </c>
      <c r="S15" s="28">
        <f t="shared" si="8"/>
        <v>3.6755223469835667E-2</v>
      </c>
      <c r="T15" s="28">
        <f t="shared" si="9"/>
        <v>2.6044594341390295E-2</v>
      </c>
      <c r="U15" s="28">
        <f t="shared" si="10"/>
        <v>2.2511734840501965E-2</v>
      </c>
      <c r="V15" s="28">
        <f t="shared" si="11"/>
        <v>1.9234524506932239E-2</v>
      </c>
      <c r="W15" s="28">
        <f t="shared" si="12"/>
        <v>6.0028979507348375E-2</v>
      </c>
      <c r="X15" s="28">
        <f t="shared" si="13"/>
        <v>5.5956284153005464E-2</v>
      </c>
    </row>
    <row r="16" spans="1:24" x14ac:dyDescent="0.25">
      <c r="A16" s="35" t="s">
        <v>112</v>
      </c>
      <c r="B16" s="31">
        <f t="shared" si="16"/>
        <v>-4212</v>
      </c>
      <c r="C16" s="31">
        <f t="shared" si="16"/>
        <v>-3868</v>
      </c>
      <c r="D16" s="31">
        <f t="shared" si="16"/>
        <v>-3563</v>
      </c>
      <c r="E16" s="31">
        <f t="shared" si="16"/>
        <v>-3187</v>
      </c>
      <c r="F16" s="31">
        <f t="shared" si="16"/>
        <v>-2584</v>
      </c>
      <c r="G16" s="31">
        <f t="shared" si="16"/>
        <v>-2089</v>
      </c>
      <c r="H16" s="34"/>
      <c r="J16" s="30">
        <f t="shared" si="1"/>
        <v>-4.6534751914089692E-2</v>
      </c>
      <c r="K16" s="30">
        <f t="shared" si="2"/>
        <v>-4.1415936783947574E-2</v>
      </c>
      <c r="L16" s="30">
        <f t="shared" si="3"/>
        <v>-3.5690674146048283E-2</v>
      </c>
      <c r="M16" s="30">
        <f t="shared" si="4"/>
        <v>-3.1414489896500739E-2</v>
      </c>
      <c r="N16" s="30">
        <f t="shared" si="5"/>
        <v>-2.4975594668522439E-2</v>
      </c>
      <c r="O16" s="30">
        <f t="shared" si="6"/>
        <v>-1.7394997168837224E-2</v>
      </c>
      <c r="P16" s="30"/>
      <c r="Q16" s="31"/>
      <c r="R16" s="30">
        <f t="shared" si="7"/>
        <v>0.15056188918356203</v>
      </c>
      <c r="S16" s="30">
        <f t="shared" si="8"/>
        <v>0.15256615518164868</v>
      </c>
      <c r="T16" s="30">
        <f t="shared" si="9"/>
        <v>8.8934850051706302E-2</v>
      </c>
      <c r="U16" s="30">
        <f t="shared" si="10"/>
        <v>8.560202076901488E-2</v>
      </c>
      <c r="V16" s="30">
        <f t="shared" si="11"/>
        <v>0.11797929086915594</v>
      </c>
      <c r="W16" s="30">
        <f t="shared" si="12"/>
        <v>0.23335913312693499</v>
      </c>
      <c r="X16" s="30">
        <f t="shared" si="13"/>
        <v>0.2369554810914313</v>
      </c>
    </row>
    <row r="17" spans="1:24" x14ac:dyDescent="0.25">
      <c r="A17" s="5" t="s">
        <v>13</v>
      </c>
      <c r="B17" s="2">
        <v>6740</v>
      </c>
      <c r="C17" s="2">
        <v>6806</v>
      </c>
      <c r="D17" s="2">
        <v>6876</v>
      </c>
      <c r="E17" s="2">
        <v>7055</v>
      </c>
      <c r="F17" s="2">
        <v>7078</v>
      </c>
      <c r="G17" s="2">
        <v>7061</v>
      </c>
      <c r="J17" s="28">
        <f t="shared" si="1"/>
        <v>7.4464441571928899E-2</v>
      </c>
      <c r="K17" s="28">
        <f t="shared" si="2"/>
        <v>7.2874060432147669E-2</v>
      </c>
      <c r="L17" s="28">
        <f t="shared" si="3"/>
        <v>6.8877091054793144E-2</v>
      </c>
      <c r="M17" s="28">
        <f t="shared" si="4"/>
        <v>6.9541646131099061E-2</v>
      </c>
      <c r="N17" s="28">
        <f t="shared" si="5"/>
        <v>6.8412251959675624E-2</v>
      </c>
      <c r="O17" s="28">
        <f t="shared" si="6"/>
        <v>5.8796589281550814E-2</v>
      </c>
      <c r="P17" s="28"/>
      <c r="R17" s="28">
        <f t="shared" si="7"/>
        <v>-9.2621911140529506E-3</v>
      </c>
      <c r="S17" s="28">
        <f t="shared" si="8"/>
        <v>-9.2183308706207286E-3</v>
      </c>
      <c r="T17" s="28">
        <f t="shared" si="9"/>
        <v>-9.6973258889215402E-3</v>
      </c>
      <c r="U17" s="28">
        <f t="shared" si="10"/>
        <v>-1.0180337405468295E-2</v>
      </c>
      <c r="V17" s="28">
        <f t="shared" si="11"/>
        <v>-2.5372076541459957E-2</v>
      </c>
      <c r="W17" s="28">
        <f t="shared" si="12"/>
        <v>-3.2495055100310822E-3</v>
      </c>
      <c r="X17" s="28">
        <f t="shared" si="13"/>
        <v>2.407590992777227E-3</v>
      </c>
    </row>
    <row r="18" spans="1:24" x14ac:dyDescent="0.25">
      <c r="A18" s="5" t="s">
        <v>196</v>
      </c>
      <c r="B18" s="2">
        <f t="shared" ref="B18:G18" si="17">+B393</f>
        <v>668</v>
      </c>
      <c r="C18" s="2">
        <f t="shared" si="17"/>
        <v>569</v>
      </c>
      <c r="D18" s="2">
        <f t="shared" si="17"/>
        <v>562</v>
      </c>
      <c r="E18" s="2">
        <f t="shared" si="17"/>
        <v>542</v>
      </c>
      <c r="F18" s="2">
        <f t="shared" si="17"/>
        <v>0</v>
      </c>
      <c r="G18" s="2">
        <f t="shared" si="17"/>
        <v>0</v>
      </c>
      <c r="J18" s="28"/>
      <c r="K18" s="28"/>
      <c r="L18" s="28"/>
      <c r="M18" s="28"/>
      <c r="N18" s="28"/>
      <c r="O18" s="28"/>
      <c r="P18" s="28"/>
      <c r="R18" s="28"/>
      <c r="S18" s="28"/>
      <c r="T18" s="28"/>
      <c r="U18" s="28"/>
      <c r="V18" s="28"/>
      <c r="W18" s="28"/>
      <c r="X18" s="28"/>
    </row>
    <row r="19" spans="1:24" x14ac:dyDescent="0.25">
      <c r="A19" s="5" t="s">
        <v>143</v>
      </c>
      <c r="B19" s="2">
        <f t="shared" ref="B19:G19" si="18">+B409</f>
        <v>73482</v>
      </c>
      <c r="C19" s="2">
        <f t="shared" si="18"/>
        <v>74838</v>
      </c>
      <c r="D19" s="2">
        <f t="shared" si="18"/>
        <v>79756</v>
      </c>
      <c r="E19" s="2">
        <f t="shared" si="18"/>
        <v>84198</v>
      </c>
      <c r="F19" s="2">
        <f t="shared" si="18"/>
        <v>85971</v>
      </c>
      <c r="G19" s="2">
        <f t="shared" si="18"/>
        <v>104257</v>
      </c>
      <c r="J19" s="28">
        <f t="shared" ref="J19:O21" si="19">+B19/B$21</f>
        <v>0.81183918332173277</v>
      </c>
      <c r="K19" s="28">
        <f t="shared" si="19"/>
        <v>0.80131485962695681</v>
      </c>
      <c r="L19" s="28">
        <f t="shared" si="19"/>
        <v>0.79891816087348488</v>
      </c>
      <c r="M19" s="28">
        <f t="shared" si="19"/>
        <v>0.8299457861015278</v>
      </c>
      <c r="N19" s="28">
        <f t="shared" si="19"/>
        <v>0.83095079305245456</v>
      </c>
      <c r="O19" s="28">
        <f t="shared" si="19"/>
        <v>0.8681427572194651</v>
      </c>
      <c r="P19" s="28"/>
      <c r="R19" s="28">
        <f>RATE(5,0,-G19,B19)</f>
        <v>-6.7572338514843566E-2</v>
      </c>
      <c r="S19" s="28">
        <f t="shared" si="8"/>
        <v>-6.5711107885011805E-2</v>
      </c>
      <c r="T19" s="28">
        <f t="shared" ref="T19:X21" si="20">(+B19-C19)/C19</f>
        <v>-1.8119137336647159E-2</v>
      </c>
      <c r="U19" s="28">
        <f t="shared" si="20"/>
        <v>-6.166307237073073E-2</v>
      </c>
      <c r="V19" s="28">
        <f t="shared" si="20"/>
        <v>-5.2756597543884655E-2</v>
      </c>
      <c r="W19" s="28">
        <f t="shared" si="20"/>
        <v>-2.0623233415919321E-2</v>
      </c>
      <c r="X19" s="28">
        <f t="shared" si="20"/>
        <v>-0.17539349875787716</v>
      </c>
    </row>
    <row r="20" spans="1:24" x14ac:dyDescent="0.25">
      <c r="A20" s="5" t="s">
        <v>147</v>
      </c>
      <c r="B20" s="2">
        <f t="shared" ref="B20:G20" si="21">+B413</f>
        <v>1726</v>
      </c>
      <c r="C20" s="2">
        <f t="shared" si="21"/>
        <v>2187</v>
      </c>
      <c r="D20" s="2">
        <f t="shared" si="21"/>
        <v>1814</v>
      </c>
      <c r="E20" s="2">
        <f t="shared" si="21"/>
        <v>1558</v>
      </c>
      <c r="F20" s="2">
        <f t="shared" si="21"/>
        <v>1337</v>
      </c>
      <c r="G20" s="2">
        <f t="shared" si="21"/>
        <v>1573</v>
      </c>
      <c r="J20" s="28">
        <f t="shared" si="19"/>
        <v>1.906908399898357E-2</v>
      </c>
      <c r="K20" s="28">
        <f t="shared" si="19"/>
        <v>2.3416921857935199E-2</v>
      </c>
      <c r="L20" s="28">
        <f t="shared" si="19"/>
        <v>1.8170890513873585E-2</v>
      </c>
      <c r="M20" s="28">
        <f t="shared" si="19"/>
        <v>1.5357318876293741E-2</v>
      </c>
      <c r="N20" s="28">
        <f t="shared" si="19"/>
        <v>1.2922743835841525E-2</v>
      </c>
      <c r="O20" s="28">
        <f t="shared" si="19"/>
        <v>1.309829130999567E-2</v>
      </c>
      <c r="P20" s="28"/>
      <c r="R20" s="28">
        <f>RATE(5,0,-G20,B20)</f>
        <v>1.8737783370035378E-2</v>
      </c>
      <c r="S20" s="28">
        <f t="shared" si="8"/>
        <v>3.4881753604939073E-2</v>
      </c>
      <c r="T20" s="28">
        <f t="shared" si="20"/>
        <v>-0.21079103795153178</v>
      </c>
      <c r="U20" s="28">
        <f t="shared" si="20"/>
        <v>0.20562293274531424</v>
      </c>
      <c r="V20" s="28">
        <f t="shared" si="20"/>
        <v>0.16431322207958921</v>
      </c>
      <c r="W20" s="28">
        <f t="shared" si="20"/>
        <v>0.16529543754674644</v>
      </c>
      <c r="X20" s="28">
        <f t="shared" si="20"/>
        <v>-0.15003178639542275</v>
      </c>
    </row>
    <row r="21" spans="1:24" ht="15.75" thickBot="1" x14ac:dyDescent="0.3">
      <c r="A21" s="2" t="s">
        <v>17</v>
      </c>
      <c r="B21" s="9">
        <f>+B11+SUM(B17:B20)</f>
        <v>90513</v>
      </c>
      <c r="C21" s="9">
        <f t="shared" ref="C21:G21" si="22">+C11+SUM(C17:C20)</f>
        <v>93394</v>
      </c>
      <c r="D21" s="9">
        <f t="shared" si="22"/>
        <v>99830</v>
      </c>
      <c r="E21" s="9">
        <f t="shared" si="22"/>
        <v>101450</v>
      </c>
      <c r="F21" s="9">
        <f t="shared" si="22"/>
        <v>103461</v>
      </c>
      <c r="G21" s="9">
        <f t="shared" si="22"/>
        <v>120092</v>
      </c>
      <c r="H21" s="36"/>
      <c r="J21" s="32">
        <f t="shared" si="19"/>
        <v>1</v>
      </c>
      <c r="K21" s="32">
        <f t="shared" si="19"/>
        <v>1</v>
      </c>
      <c r="L21" s="32">
        <f t="shared" si="19"/>
        <v>1</v>
      </c>
      <c r="M21" s="32">
        <f t="shared" si="19"/>
        <v>1</v>
      </c>
      <c r="N21" s="32">
        <f t="shared" si="19"/>
        <v>1</v>
      </c>
      <c r="O21" s="32">
        <f t="shared" si="19"/>
        <v>1</v>
      </c>
      <c r="P21" s="32"/>
      <c r="Q21" s="11"/>
      <c r="R21" s="32">
        <f>RATE(5,0,-G21,B21)</f>
        <v>-5.4983532564241197E-2</v>
      </c>
      <c r="S21" s="32">
        <f t="shared" si="8"/>
        <v>-5.3841726418039616E-2</v>
      </c>
      <c r="T21" s="32">
        <f t="shared" si="20"/>
        <v>-3.084780606891235E-2</v>
      </c>
      <c r="U21" s="32">
        <f t="shared" si="20"/>
        <v>-6.4469598317139137E-2</v>
      </c>
      <c r="V21" s="32">
        <f t="shared" si="20"/>
        <v>-1.5968457368161656E-2</v>
      </c>
      <c r="W21" s="32">
        <f t="shared" si="20"/>
        <v>-1.9437275881733215E-2</v>
      </c>
      <c r="X21" s="32">
        <f t="shared" si="20"/>
        <v>-0.13848549445425173</v>
      </c>
    </row>
    <row r="22" spans="1:24" ht="15.75" thickTop="1" x14ac:dyDescent="0.25">
      <c r="A22" s="2" t="s">
        <v>18</v>
      </c>
    </row>
    <row r="23" spans="1:24" x14ac:dyDescent="0.25">
      <c r="A23" s="5" t="s">
        <v>151</v>
      </c>
      <c r="B23" s="8">
        <f t="shared" ref="B23:G23" si="23">+B417</f>
        <v>837</v>
      </c>
      <c r="C23" s="8">
        <f t="shared" si="23"/>
        <v>754</v>
      </c>
      <c r="D23" s="8">
        <f t="shared" si="23"/>
        <v>236</v>
      </c>
      <c r="E23" s="8">
        <f t="shared" si="23"/>
        <v>1028</v>
      </c>
      <c r="F23" s="8">
        <f t="shared" si="23"/>
        <v>398</v>
      </c>
      <c r="G23" s="8">
        <f t="shared" si="23"/>
        <v>3195</v>
      </c>
      <c r="H23" s="8"/>
      <c r="J23" s="28">
        <f t="shared" ref="J23:O25" si="24">+B23/B$21</f>
        <v>9.24729044446654E-3</v>
      </c>
      <c r="K23" s="28">
        <f t="shared" si="24"/>
        <v>8.0733237681221495E-3</v>
      </c>
      <c r="L23" s="28">
        <f t="shared" si="24"/>
        <v>2.3640188320144247E-3</v>
      </c>
      <c r="M23" s="28">
        <f t="shared" si="24"/>
        <v>1.0133070478068013E-2</v>
      </c>
      <c r="N23" s="28">
        <f t="shared" si="24"/>
        <v>3.8468601695324806E-3</v>
      </c>
      <c r="O23" s="28">
        <f t="shared" si="24"/>
        <v>2.660460313759451E-2</v>
      </c>
      <c r="P23" s="28"/>
      <c r="R23" s="28">
        <f>RATE(5,0,-G23,B23)</f>
        <v>-0.23501852356897554</v>
      </c>
      <c r="S23" s="28">
        <f t="shared" ref="S23:S35" si="25">AVERAGE(T23:X23)</f>
        <v>0.4484102054393645</v>
      </c>
      <c r="T23" s="28">
        <f t="shared" ref="T23:X25" si="26">(+B23-C23)/C23</f>
        <v>0.11007957559681697</v>
      </c>
      <c r="U23" s="28">
        <f t="shared" si="26"/>
        <v>2.1949152542372881</v>
      </c>
      <c r="V23" s="28">
        <f t="shared" si="26"/>
        <v>-0.77042801556420237</v>
      </c>
      <c r="W23" s="28">
        <f t="shared" si="26"/>
        <v>1.5829145728643217</v>
      </c>
      <c r="X23" s="28">
        <f t="shared" si="26"/>
        <v>-0.87543035993740215</v>
      </c>
    </row>
    <row r="24" spans="1:24" x14ac:dyDescent="0.25">
      <c r="A24" s="5" t="s">
        <v>21</v>
      </c>
      <c r="B24" s="2">
        <v>4848</v>
      </c>
      <c r="C24" s="2">
        <v>4753</v>
      </c>
      <c r="D24" s="2">
        <v>4304</v>
      </c>
      <c r="E24" s="2">
        <v>4003</v>
      </c>
      <c r="F24" s="2">
        <v>4153</v>
      </c>
      <c r="G24" s="2">
        <v>4362</v>
      </c>
      <c r="J24" s="28">
        <f t="shared" si="24"/>
        <v>5.3561366875476454E-2</v>
      </c>
      <c r="K24" s="28">
        <f t="shared" si="24"/>
        <v>5.0891920251836309E-2</v>
      </c>
      <c r="L24" s="28">
        <f t="shared" si="24"/>
        <v>4.3113292597415608E-2</v>
      </c>
      <c r="M24" s="28">
        <f t="shared" si="24"/>
        <v>3.9457861015278463E-2</v>
      </c>
      <c r="N24" s="28">
        <f t="shared" si="24"/>
        <v>4.0140729356955764E-2</v>
      </c>
      <c r="O24" s="28">
        <f t="shared" si="24"/>
        <v>3.6322153016021048E-2</v>
      </c>
      <c r="P24" s="28"/>
      <c r="R24" s="28">
        <f>RATE(5,0,-G24,B24)</f>
        <v>2.1351873752623592E-2</v>
      </c>
      <c r="S24" s="28">
        <f t="shared" si="25"/>
        <v>2.3094054588581041E-2</v>
      </c>
      <c r="T24" s="28">
        <f t="shared" si="26"/>
        <v>1.9987376393856511E-2</v>
      </c>
      <c r="U24" s="28">
        <f t="shared" si="26"/>
        <v>0.10432156133828996</v>
      </c>
      <c r="V24" s="28">
        <f t="shared" si="26"/>
        <v>7.5193604796402705E-2</v>
      </c>
      <c r="W24" s="28">
        <f t="shared" si="26"/>
        <v>-3.6118468576932336E-2</v>
      </c>
      <c r="X24" s="28">
        <f t="shared" si="26"/>
        <v>-4.79138010087116E-2</v>
      </c>
    </row>
    <row r="25" spans="1:24" x14ac:dyDescent="0.25">
      <c r="A25" s="5" t="s">
        <v>148</v>
      </c>
      <c r="B25" s="2">
        <v>0</v>
      </c>
      <c r="C25" s="2">
        <v>0</v>
      </c>
      <c r="D25" s="2">
        <v>0</v>
      </c>
      <c r="E25" s="2">
        <v>0</v>
      </c>
      <c r="F25" s="2">
        <v>0</v>
      </c>
      <c r="G25" s="2">
        <v>0</v>
      </c>
      <c r="J25" s="28">
        <f t="shared" si="24"/>
        <v>0</v>
      </c>
      <c r="K25" s="28">
        <f t="shared" si="24"/>
        <v>0</v>
      </c>
      <c r="L25" s="28">
        <f t="shared" si="24"/>
        <v>0</v>
      </c>
      <c r="M25" s="28">
        <f t="shared" si="24"/>
        <v>0</v>
      </c>
      <c r="N25" s="28">
        <f t="shared" si="24"/>
        <v>0</v>
      </c>
      <c r="O25" s="28">
        <f t="shared" si="24"/>
        <v>0</v>
      </c>
      <c r="P25" s="28"/>
      <c r="R25" s="28" t="e">
        <f>RATE(5,0,-G25,B25)</f>
        <v>#NUM!</v>
      </c>
      <c r="S25" s="28" t="e">
        <f t="shared" si="25"/>
        <v>#DIV/0!</v>
      </c>
      <c r="T25" s="28" t="e">
        <f t="shared" si="26"/>
        <v>#DIV/0!</v>
      </c>
      <c r="U25" s="28" t="e">
        <f t="shared" si="26"/>
        <v>#DIV/0!</v>
      </c>
      <c r="V25" s="28" t="e">
        <f t="shared" si="26"/>
        <v>#DIV/0!</v>
      </c>
      <c r="W25" s="28" t="e">
        <f t="shared" si="26"/>
        <v>#DIV/0!</v>
      </c>
      <c r="X25" s="28" t="e">
        <f t="shared" si="26"/>
        <v>#DIV/0!</v>
      </c>
    </row>
    <row r="26" spans="1:24" x14ac:dyDescent="0.25">
      <c r="A26" s="5" t="s">
        <v>200</v>
      </c>
      <c r="B26" s="2">
        <f t="shared" ref="B26:G26" si="27">+B394</f>
        <v>125</v>
      </c>
      <c r="C26" s="2">
        <f t="shared" si="27"/>
        <v>133</v>
      </c>
      <c r="D26" s="2">
        <f t="shared" si="27"/>
        <v>135</v>
      </c>
      <c r="E26" s="2">
        <f t="shared" si="27"/>
        <v>147</v>
      </c>
      <c r="F26" s="2">
        <f t="shared" si="27"/>
        <v>0</v>
      </c>
      <c r="G26" s="2">
        <f t="shared" si="27"/>
        <v>0</v>
      </c>
      <c r="J26" s="28"/>
      <c r="K26" s="28"/>
      <c r="L26" s="28"/>
      <c r="M26" s="28"/>
      <c r="N26" s="28"/>
      <c r="O26" s="28"/>
      <c r="P26" s="28"/>
      <c r="R26" s="28"/>
      <c r="S26" s="28"/>
      <c r="T26" s="28"/>
      <c r="U26" s="28"/>
      <c r="V26" s="28"/>
      <c r="W26" s="28"/>
      <c r="X26" s="28"/>
    </row>
    <row r="27" spans="1:24" x14ac:dyDescent="0.25">
      <c r="A27" s="5" t="s">
        <v>152</v>
      </c>
      <c r="B27" s="2">
        <f t="shared" ref="B27:G27" si="28">+B425</f>
        <v>3218</v>
      </c>
      <c r="C27" s="2">
        <f t="shared" si="28"/>
        <v>3424</v>
      </c>
      <c r="D27" s="2">
        <f t="shared" si="28"/>
        <v>3386</v>
      </c>
      <c r="E27" s="2">
        <f t="shared" si="28"/>
        <v>2697</v>
      </c>
      <c r="F27" s="2">
        <f t="shared" si="28"/>
        <v>2952</v>
      </c>
      <c r="G27" s="2">
        <f t="shared" si="28"/>
        <v>2597</v>
      </c>
      <c r="J27" s="30">
        <f t="shared" ref="J27:O29" si="29">+B27/B$21</f>
        <v>3.5552904002739937E-2</v>
      </c>
      <c r="K27" s="30">
        <f t="shared" si="29"/>
        <v>3.6661884061074589E-2</v>
      </c>
      <c r="L27" s="30">
        <f t="shared" si="29"/>
        <v>3.3917660022037464E-2</v>
      </c>
      <c r="M27" s="30">
        <f t="shared" si="29"/>
        <v>2.6584524396254312E-2</v>
      </c>
      <c r="N27" s="30">
        <f t="shared" si="29"/>
        <v>2.8532490503668049E-2</v>
      </c>
      <c r="O27" s="30">
        <f t="shared" si="29"/>
        <v>2.1625087432968058E-2</v>
      </c>
      <c r="P27" s="30"/>
      <c r="Q27" s="31"/>
      <c r="R27" s="30">
        <f>RATE(5,0,-G27,B27)</f>
        <v>4.3813280300541678E-2</v>
      </c>
      <c r="S27" s="30">
        <f t="shared" si="25"/>
        <v>5.1368448798014457E-2</v>
      </c>
      <c r="T27" s="30">
        <f t="shared" ref="T27:X29" si="30">(+B27-C27)/C27</f>
        <v>-6.0163551401869159E-2</v>
      </c>
      <c r="U27" s="30">
        <f t="shared" si="30"/>
        <v>1.1222681630242174E-2</v>
      </c>
      <c r="V27" s="30">
        <f t="shared" si="30"/>
        <v>0.25546903967371154</v>
      </c>
      <c r="W27" s="30">
        <f t="shared" si="30"/>
        <v>-8.6382113821138209E-2</v>
      </c>
      <c r="X27" s="30">
        <f t="shared" si="30"/>
        <v>0.13669618790912591</v>
      </c>
    </row>
    <row r="28" spans="1:24" x14ac:dyDescent="0.25">
      <c r="A28" s="2" t="s">
        <v>25</v>
      </c>
      <c r="B28" s="6">
        <f t="shared" ref="B28:G28" si="31">SUM(B23:B27)</f>
        <v>9028</v>
      </c>
      <c r="C28" s="6">
        <f t="shared" si="31"/>
        <v>9064</v>
      </c>
      <c r="D28" s="6">
        <f t="shared" si="31"/>
        <v>8061</v>
      </c>
      <c r="E28" s="6">
        <f t="shared" si="31"/>
        <v>7875</v>
      </c>
      <c r="F28" s="6">
        <f t="shared" si="31"/>
        <v>7503</v>
      </c>
      <c r="G28" s="6">
        <f t="shared" si="31"/>
        <v>10154</v>
      </c>
      <c r="H28" s="34"/>
      <c r="J28" s="28">
        <f t="shared" si="29"/>
        <v>9.9742578414150448E-2</v>
      </c>
      <c r="K28" s="28">
        <f t="shared" si="29"/>
        <v>9.7051202432704459E-2</v>
      </c>
      <c r="L28" s="28">
        <f t="shared" si="29"/>
        <v>8.0747270359611337E-2</v>
      </c>
      <c r="M28" s="28">
        <f t="shared" si="29"/>
        <v>7.7624445539674722E-2</v>
      </c>
      <c r="N28" s="28">
        <f t="shared" si="29"/>
        <v>7.2520080030156295E-2</v>
      </c>
      <c r="O28" s="28">
        <f t="shared" si="29"/>
        <v>8.4551843586583617E-2</v>
      </c>
      <c r="P28" s="28"/>
      <c r="R28" s="28">
        <f>RATE(5,0,-G28,B28)</f>
        <v>-2.3233225607619739E-2</v>
      </c>
      <c r="S28" s="28">
        <f t="shared" si="25"/>
        <v>-1.3485133717464421E-2</v>
      </c>
      <c r="T28" s="28">
        <f t="shared" si="30"/>
        <v>-3.9717563989408646E-3</v>
      </c>
      <c r="U28" s="28">
        <f t="shared" si="30"/>
        <v>0.12442624984493239</v>
      </c>
      <c r="V28" s="28">
        <f t="shared" si="30"/>
        <v>2.3619047619047619E-2</v>
      </c>
      <c r="W28" s="28">
        <f t="shared" si="30"/>
        <v>4.9580167932826873E-2</v>
      </c>
      <c r="X28" s="28">
        <f t="shared" si="30"/>
        <v>-0.26107937758518812</v>
      </c>
    </row>
    <row r="29" spans="1:24" x14ac:dyDescent="0.25">
      <c r="A29" s="5" t="s">
        <v>27</v>
      </c>
      <c r="B29" s="2">
        <v>19233</v>
      </c>
      <c r="C29" s="2">
        <v>21061</v>
      </c>
      <c r="D29" s="2">
        <v>28070</v>
      </c>
      <c r="E29" s="2">
        <v>28216</v>
      </c>
      <c r="F29" s="2">
        <v>30770</v>
      </c>
      <c r="G29" s="2">
        <v>28308</v>
      </c>
      <c r="J29" s="28">
        <f t="shared" si="29"/>
        <v>0.21248881376155912</v>
      </c>
      <c r="K29" s="28">
        <f t="shared" si="29"/>
        <v>0.22550699188384693</v>
      </c>
      <c r="L29" s="28">
        <f t="shared" si="29"/>
        <v>0.28117800260442755</v>
      </c>
      <c r="M29" s="28">
        <f t="shared" si="29"/>
        <v>0.27812715623459833</v>
      </c>
      <c r="N29" s="28">
        <f t="shared" si="29"/>
        <v>0.29740675230280011</v>
      </c>
      <c r="O29" s="28">
        <f t="shared" si="29"/>
        <v>0.23571928188388902</v>
      </c>
      <c r="P29" s="28"/>
      <c r="R29" s="28">
        <f>RATE(5,0,-G29,B29)</f>
        <v>-7.4390999611951406E-2</v>
      </c>
      <c r="S29" s="28">
        <f t="shared" si="25"/>
        <v>-6.7539619547069094E-2</v>
      </c>
      <c r="T29" s="28">
        <f t="shared" si="30"/>
        <v>-8.6795498789231276E-2</v>
      </c>
      <c r="U29" s="28">
        <f t="shared" si="30"/>
        <v>-0.24969718560741005</v>
      </c>
      <c r="V29" s="28">
        <f t="shared" si="30"/>
        <v>-5.1743691522540399E-3</v>
      </c>
      <c r="W29" s="28">
        <f t="shared" si="30"/>
        <v>-8.3002924926876831E-2</v>
      </c>
      <c r="X29" s="28">
        <f t="shared" si="30"/>
        <v>8.6971880740426735E-2</v>
      </c>
    </row>
    <row r="30" spans="1:24" x14ac:dyDescent="0.25">
      <c r="A30" s="5" t="s">
        <v>202</v>
      </c>
      <c r="B30" s="2">
        <f t="shared" ref="B30:G30" si="32">+B395</f>
        <v>585</v>
      </c>
      <c r="C30" s="2">
        <f t="shared" si="32"/>
        <v>484</v>
      </c>
      <c r="D30" s="2">
        <f t="shared" si="32"/>
        <v>475</v>
      </c>
      <c r="E30" s="2">
        <f t="shared" si="32"/>
        <v>454</v>
      </c>
      <c r="F30" s="2">
        <f t="shared" si="32"/>
        <v>0</v>
      </c>
      <c r="G30" s="2">
        <f t="shared" si="32"/>
        <v>0</v>
      </c>
      <c r="J30" s="28"/>
      <c r="K30" s="28"/>
      <c r="L30" s="28"/>
      <c r="M30" s="28"/>
      <c r="N30" s="28"/>
      <c r="O30" s="28"/>
      <c r="P30" s="28"/>
      <c r="R30" s="28"/>
      <c r="S30" s="28"/>
      <c r="T30" s="28"/>
      <c r="U30" s="28"/>
      <c r="V30" s="28"/>
      <c r="W30" s="28"/>
      <c r="X30" s="28"/>
    </row>
    <row r="31" spans="1:24" x14ac:dyDescent="0.25">
      <c r="A31" s="5" t="s">
        <v>153</v>
      </c>
      <c r="B31" s="2">
        <f t="shared" ref="B31:G31" si="33">+B432</f>
        <v>12797</v>
      </c>
      <c r="C31" s="2">
        <f t="shared" si="33"/>
        <v>13333</v>
      </c>
      <c r="D31" s="2">
        <f t="shared" si="33"/>
        <v>12981</v>
      </c>
      <c r="E31" s="2">
        <f t="shared" si="33"/>
        <v>13156</v>
      </c>
      <c r="F31" s="2">
        <f t="shared" si="33"/>
        <v>13410</v>
      </c>
      <c r="G31" s="2">
        <f t="shared" si="33"/>
        <v>15554</v>
      </c>
      <c r="J31" s="30">
        <f t="shared" ref="J31:O35" si="34">+B31/B$21</f>
        <v>0.14138300575607923</v>
      </c>
      <c r="K31" s="30">
        <f t="shared" si="34"/>
        <v>0.14276077692357111</v>
      </c>
      <c r="L31" s="30">
        <f t="shared" si="34"/>
        <v>0.13003105278974256</v>
      </c>
      <c r="M31" s="30">
        <f t="shared" si="34"/>
        <v>0.12967964514539182</v>
      </c>
      <c r="N31" s="30">
        <f t="shared" si="34"/>
        <v>0.12961405747093108</v>
      </c>
      <c r="O31" s="30">
        <f t="shared" si="34"/>
        <v>0.12951737001632083</v>
      </c>
      <c r="P31" s="30"/>
      <c r="Q31" s="31"/>
      <c r="R31" s="30">
        <f>RATE(5,0,-G31,B31)</f>
        <v>-3.8269885912254428E-2</v>
      </c>
      <c r="S31" s="30">
        <f t="shared" si="25"/>
        <v>-3.6633961987977935E-2</v>
      </c>
      <c r="T31" s="30">
        <f t="shared" ref="T31:X35" si="35">(+B31-C31)/C31</f>
        <v>-4.0201005025125629E-2</v>
      </c>
      <c r="U31" s="30">
        <f t="shared" si="35"/>
        <v>2.7116554964948771E-2</v>
      </c>
      <c r="V31" s="30">
        <f t="shared" si="35"/>
        <v>-1.330191547582852E-2</v>
      </c>
      <c r="W31" s="30">
        <f t="shared" si="35"/>
        <v>-1.8941088739746457E-2</v>
      </c>
      <c r="X31" s="30">
        <f t="shared" si="35"/>
        <v>-0.13784235566413786</v>
      </c>
    </row>
    <row r="32" spans="1:24" x14ac:dyDescent="0.25">
      <c r="A32" s="2" t="s">
        <v>31</v>
      </c>
      <c r="B32" s="6">
        <f t="shared" ref="B32:G32" si="36">SUM(B28:B31)</f>
        <v>41643</v>
      </c>
      <c r="C32" s="6">
        <f t="shared" si="36"/>
        <v>43942</v>
      </c>
      <c r="D32" s="6">
        <f t="shared" si="36"/>
        <v>49587</v>
      </c>
      <c r="E32" s="6">
        <f t="shared" si="36"/>
        <v>49701</v>
      </c>
      <c r="F32" s="6">
        <f t="shared" si="36"/>
        <v>51683</v>
      </c>
      <c r="G32" s="6">
        <f t="shared" si="36"/>
        <v>54016</v>
      </c>
      <c r="H32" s="34"/>
      <c r="J32" s="28">
        <f t="shared" si="34"/>
        <v>0.46007755791985683</v>
      </c>
      <c r="K32" s="28">
        <f t="shared" si="34"/>
        <v>0.47050131700109216</v>
      </c>
      <c r="L32" s="28">
        <f t="shared" si="34"/>
        <v>0.49671441450465792</v>
      </c>
      <c r="M32" s="28">
        <f t="shared" si="34"/>
        <v>0.48990635781172992</v>
      </c>
      <c r="N32" s="28">
        <f t="shared" si="34"/>
        <v>0.49954088980388744</v>
      </c>
      <c r="O32" s="28">
        <f t="shared" si="34"/>
        <v>0.44978849548679345</v>
      </c>
      <c r="P32" s="28"/>
      <c r="R32" s="28">
        <f>RATE(5,0,-G32,B32)</f>
        <v>-5.0699045239239016E-2</v>
      </c>
      <c r="S32" s="28">
        <f t="shared" si="25"/>
        <v>-4.9998615364267002E-2</v>
      </c>
      <c r="T32" s="28">
        <f t="shared" si="35"/>
        <v>-5.231896590960812E-2</v>
      </c>
      <c r="U32" s="28">
        <f t="shared" si="35"/>
        <v>-0.1138403210518886</v>
      </c>
      <c r="V32" s="28">
        <f t="shared" si="35"/>
        <v>-2.2937164242168165E-3</v>
      </c>
      <c r="W32" s="28">
        <f t="shared" si="35"/>
        <v>-3.8349167037517173E-2</v>
      </c>
      <c r="X32" s="28">
        <f t="shared" si="35"/>
        <v>-4.3190906398104266E-2</v>
      </c>
    </row>
    <row r="33" spans="1:24" x14ac:dyDescent="0.25">
      <c r="A33" s="2" t="s">
        <v>32</v>
      </c>
      <c r="B33" s="2">
        <v>40</v>
      </c>
      <c r="C33" s="2">
        <v>4</v>
      </c>
      <c r="D33" s="2">
        <v>0</v>
      </c>
      <c r="E33" s="2">
        <v>0</v>
      </c>
      <c r="F33" s="2">
        <v>3</v>
      </c>
      <c r="G33" s="2">
        <v>6</v>
      </c>
      <c r="J33" s="28">
        <f t="shared" si="34"/>
        <v>4.4192546926960768E-4</v>
      </c>
      <c r="K33" s="28">
        <f t="shared" si="34"/>
        <v>4.2829303809666572E-5</v>
      </c>
      <c r="L33" s="28">
        <f t="shared" si="34"/>
        <v>0</v>
      </c>
      <c r="M33" s="28">
        <f t="shared" si="34"/>
        <v>0</v>
      </c>
      <c r="N33" s="28">
        <f t="shared" si="34"/>
        <v>2.8996433438687043E-5</v>
      </c>
      <c r="O33" s="28">
        <f t="shared" si="34"/>
        <v>4.9961696033041334E-5</v>
      </c>
      <c r="P33" s="28"/>
      <c r="R33" s="28">
        <f>RATE(5,0,-G33,B33)</f>
        <v>0.46144255162042197</v>
      </c>
      <c r="S33" s="28" t="e">
        <f t="shared" si="25"/>
        <v>#DIV/0!</v>
      </c>
      <c r="T33" s="28">
        <f t="shared" si="35"/>
        <v>9</v>
      </c>
      <c r="U33" s="28" t="e">
        <f t="shared" si="35"/>
        <v>#DIV/0!</v>
      </c>
      <c r="V33" s="28" t="e">
        <f t="shared" si="35"/>
        <v>#DIV/0!</v>
      </c>
      <c r="W33" s="28">
        <f t="shared" si="35"/>
        <v>-1</v>
      </c>
      <c r="X33" s="28">
        <f t="shared" si="35"/>
        <v>-0.5</v>
      </c>
    </row>
    <row r="34" spans="1:24" x14ac:dyDescent="0.25">
      <c r="A34" s="2" t="s">
        <v>40</v>
      </c>
      <c r="B34" s="34">
        <f t="shared" ref="B34:G34" si="37">+B440</f>
        <v>48830</v>
      </c>
      <c r="C34" s="34">
        <f t="shared" si="37"/>
        <v>49448</v>
      </c>
      <c r="D34" s="34">
        <f t="shared" si="37"/>
        <v>50243</v>
      </c>
      <c r="E34" s="34">
        <f t="shared" si="37"/>
        <v>51749</v>
      </c>
      <c r="F34" s="34">
        <f t="shared" si="37"/>
        <v>51775</v>
      </c>
      <c r="G34" s="34">
        <f t="shared" si="37"/>
        <v>66070</v>
      </c>
      <c r="H34" s="34"/>
      <c r="J34" s="28">
        <f t="shared" si="34"/>
        <v>0.53948051661087359</v>
      </c>
      <c r="K34" s="28">
        <f t="shared" si="34"/>
        <v>0.52945585369509818</v>
      </c>
      <c r="L34" s="28">
        <f t="shared" si="34"/>
        <v>0.50328558549534208</v>
      </c>
      <c r="M34" s="28">
        <f t="shared" si="34"/>
        <v>0.51009364218827014</v>
      </c>
      <c r="N34" s="28">
        <f t="shared" si="34"/>
        <v>0.50043011376267388</v>
      </c>
      <c r="O34" s="28">
        <f t="shared" si="34"/>
        <v>0.55016154281717355</v>
      </c>
      <c r="P34" s="28"/>
      <c r="R34" s="28">
        <f>RATE(5,0,-G34,B34)</f>
        <v>-5.8681739699202047E-2</v>
      </c>
      <c r="S34" s="28">
        <f t="shared" si="25"/>
        <v>-5.4857339349412525E-2</v>
      </c>
      <c r="T34" s="28">
        <f t="shared" si="35"/>
        <v>-1.2497977673515612E-2</v>
      </c>
      <c r="U34" s="28">
        <f t="shared" si="35"/>
        <v>-1.5823099735286509E-2</v>
      </c>
      <c r="V34" s="28">
        <f t="shared" si="35"/>
        <v>-2.9102011633075034E-2</v>
      </c>
      <c r="W34" s="28">
        <f t="shared" si="35"/>
        <v>-5.0217286335103818E-4</v>
      </c>
      <c r="X34" s="28">
        <f t="shared" si="35"/>
        <v>-0.21636143484183443</v>
      </c>
    </row>
    <row r="35" spans="1:24" ht="15.75" thickBot="1" x14ac:dyDescent="0.3">
      <c r="A35" s="2" t="s">
        <v>39</v>
      </c>
      <c r="B35" s="9">
        <f>+B34+B33+B32</f>
        <v>90513</v>
      </c>
      <c r="C35" s="9">
        <f t="shared" ref="C35:G35" si="38">+C34+C33+C32</f>
        <v>93394</v>
      </c>
      <c r="D35" s="9">
        <f t="shared" si="38"/>
        <v>99830</v>
      </c>
      <c r="E35" s="9">
        <f t="shared" si="38"/>
        <v>101450</v>
      </c>
      <c r="F35" s="9">
        <f t="shared" si="38"/>
        <v>103461</v>
      </c>
      <c r="G35" s="9">
        <f t="shared" si="38"/>
        <v>120092</v>
      </c>
      <c r="H35" s="36"/>
      <c r="J35" s="32">
        <f t="shared" si="34"/>
        <v>1</v>
      </c>
      <c r="K35" s="32">
        <f t="shared" si="34"/>
        <v>1</v>
      </c>
      <c r="L35" s="32">
        <f t="shared" si="34"/>
        <v>1</v>
      </c>
      <c r="M35" s="32">
        <f t="shared" si="34"/>
        <v>1</v>
      </c>
      <c r="N35" s="32">
        <f t="shared" si="34"/>
        <v>1</v>
      </c>
      <c r="O35" s="32">
        <f t="shared" si="34"/>
        <v>1</v>
      </c>
      <c r="P35" s="32"/>
      <c r="Q35" s="11"/>
      <c r="R35" s="32">
        <f>RATE(5,0,-G35,B35)</f>
        <v>-5.4983532564241197E-2</v>
      </c>
      <c r="S35" s="32">
        <f t="shared" si="25"/>
        <v>-5.3841726418039616E-2</v>
      </c>
      <c r="T35" s="32">
        <f t="shared" si="35"/>
        <v>-3.084780606891235E-2</v>
      </c>
      <c r="U35" s="32">
        <f t="shared" si="35"/>
        <v>-6.4469598317139137E-2</v>
      </c>
      <c r="V35" s="32">
        <f t="shared" si="35"/>
        <v>-1.5968457368161656E-2</v>
      </c>
      <c r="W35" s="32">
        <f t="shared" si="35"/>
        <v>-1.9437275881733215E-2</v>
      </c>
      <c r="X35" s="32">
        <f t="shared" si="35"/>
        <v>-0.13848549445425173</v>
      </c>
    </row>
    <row r="36" spans="1:24" ht="15.75" thickTop="1" x14ac:dyDescent="0.25">
      <c r="B36" s="2">
        <f>+B35-B21</f>
        <v>0</v>
      </c>
      <c r="C36" s="2">
        <f t="shared" ref="C36:G36" si="39">+C35-C21</f>
        <v>0</v>
      </c>
      <c r="D36" s="2">
        <f t="shared" si="39"/>
        <v>0</v>
      </c>
      <c r="E36" s="2">
        <f t="shared" si="39"/>
        <v>0</v>
      </c>
      <c r="F36" s="2">
        <f t="shared" si="39"/>
        <v>0</v>
      </c>
      <c r="G36" s="2">
        <f t="shared" si="39"/>
        <v>0</v>
      </c>
    </row>
    <row r="37" spans="1:24" x14ac:dyDescent="0.25">
      <c r="A37" s="2" t="s">
        <v>41</v>
      </c>
      <c r="B37" s="2">
        <v>1243</v>
      </c>
      <c r="C37" s="2">
        <v>1235</v>
      </c>
      <c r="D37" s="2">
        <v>1228</v>
      </c>
      <c r="E37" s="2">
        <v>1224</v>
      </c>
      <c r="F37" s="2">
        <v>1224</v>
      </c>
      <c r="G37" s="2">
        <v>1221</v>
      </c>
    </row>
    <row r="38" spans="1:24" x14ac:dyDescent="0.25">
      <c r="A38" s="2" t="s">
        <v>42</v>
      </c>
      <c r="B38" s="2">
        <v>-18</v>
      </c>
      <c r="C38" s="2">
        <v>-11</v>
      </c>
      <c r="D38" s="2">
        <v>-5</v>
      </c>
      <c r="E38" s="2">
        <v>-3</v>
      </c>
      <c r="F38" s="2">
        <v>-4</v>
      </c>
      <c r="G38" s="2">
        <v>-2</v>
      </c>
    </row>
    <row r="39" spans="1:24" ht="15.75" thickBot="1" x14ac:dyDescent="0.3">
      <c r="A39" s="2" t="s">
        <v>43</v>
      </c>
      <c r="B39" s="11">
        <f>+B37+B38</f>
        <v>1225</v>
      </c>
      <c r="C39" s="11">
        <f t="shared" ref="C39:G39" si="40">+C37+C38</f>
        <v>1224</v>
      </c>
      <c r="D39" s="11">
        <f t="shared" si="40"/>
        <v>1223</v>
      </c>
      <c r="E39" s="11">
        <f t="shared" si="40"/>
        <v>1221</v>
      </c>
      <c r="F39" s="11">
        <f t="shared" si="40"/>
        <v>1220</v>
      </c>
      <c r="G39" s="11">
        <f t="shared" si="40"/>
        <v>1219</v>
      </c>
      <c r="H39" s="34"/>
    </row>
    <row r="40" spans="1:24" ht="15.75" thickTop="1" x14ac:dyDescent="0.25">
      <c r="A40" s="2" t="s">
        <v>154</v>
      </c>
      <c r="B40" s="7">
        <v>38.130000000000003</v>
      </c>
      <c r="C40" s="7">
        <v>39.22</v>
      </c>
      <c r="D40" s="7">
        <v>36.380000000000003</v>
      </c>
      <c r="E40" s="7">
        <v>24.77</v>
      </c>
      <c r="F40" s="7">
        <v>33.19</v>
      </c>
      <c r="G40" s="7">
        <v>67.14</v>
      </c>
      <c r="H40" s="7"/>
    </row>
    <row r="41" spans="1:24" x14ac:dyDescent="0.25">
      <c r="A41" s="2" t="s">
        <v>45</v>
      </c>
      <c r="B41" s="8">
        <f>+B39*B40</f>
        <v>46709.25</v>
      </c>
      <c r="C41" s="8">
        <f t="shared" ref="C41:G41" si="41">+C39*C40</f>
        <v>48005.279999999999</v>
      </c>
      <c r="D41" s="8">
        <f t="shared" si="41"/>
        <v>44492.740000000005</v>
      </c>
      <c r="E41" s="8">
        <f t="shared" si="41"/>
        <v>30244.17</v>
      </c>
      <c r="F41" s="8">
        <f t="shared" si="41"/>
        <v>40491.799999999996</v>
      </c>
      <c r="G41" s="8">
        <f t="shared" si="41"/>
        <v>81843.66</v>
      </c>
      <c r="H41" s="8"/>
    </row>
    <row r="43" spans="1:24" s="15" customFormat="1" x14ac:dyDescent="0.25">
      <c r="A43" s="15" t="str">
        <f>+A1</f>
        <v>Kraft Heinz Company</v>
      </c>
      <c r="B43" s="15" t="s">
        <v>139</v>
      </c>
    </row>
    <row r="44" spans="1:24" s="15" customFormat="1" x14ac:dyDescent="0.25">
      <c r="A44" s="15" t="s">
        <v>155</v>
      </c>
    </row>
    <row r="45" spans="1:24" s="15" customFormat="1" x14ac:dyDescent="0.25">
      <c r="A45" s="15" t="str">
        <f>+A3</f>
        <v>in millions except per share data</v>
      </c>
      <c r="F45" s="15" t="s">
        <v>150</v>
      </c>
      <c r="G45" s="16" t="s">
        <v>125</v>
      </c>
      <c r="H45" s="16"/>
    </row>
    <row r="46" spans="1:24" s="15" customFormat="1" ht="15.75" thickBot="1" x14ac:dyDescent="0.3">
      <c r="A46" s="16" t="str">
        <f>+A4</f>
        <v>Year ended near 12/31:</v>
      </c>
      <c r="B46" s="17">
        <v>2022</v>
      </c>
      <c r="C46" s="17">
        <v>2021</v>
      </c>
      <c r="D46" s="17">
        <v>2020</v>
      </c>
      <c r="E46" s="17">
        <v>2019</v>
      </c>
      <c r="F46" s="17">
        <v>2018</v>
      </c>
      <c r="G46" s="17">
        <v>2017</v>
      </c>
      <c r="H46" s="22" t="s">
        <v>157</v>
      </c>
    </row>
    <row r="47" spans="1:24" x14ac:dyDescent="0.25">
      <c r="A47" s="2" t="s">
        <v>156</v>
      </c>
      <c r="B47" s="8">
        <f>+'Phase 2'!B68</f>
        <v>2368</v>
      </c>
      <c r="C47" s="8">
        <f>+'Phase 2'!C68</f>
        <v>1024</v>
      </c>
      <c r="D47" s="8">
        <f>+'Phase 2'!D68</f>
        <v>361</v>
      </c>
      <c r="E47" s="8">
        <f>+'Phase 2'!E68</f>
        <v>1933</v>
      </c>
      <c r="F47" s="8">
        <f>+'Phase 2'!F68</f>
        <v>-10254</v>
      </c>
      <c r="G47" s="8">
        <f>+'Phase 2'!G68</f>
        <v>10932</v>
      </c>
      <c r="H47" s="8">
        <f t="shared" ref="H47:H52" si="42">SUM(B47:G47)</f>
        <v>6364</v>
      </c>
    </row>
    <row r="48" spans="1:24" x14ac:dyDescent="0.25">
      <c r="A48" s="2" t="s">
        <v>158</v>
      </c>
      <c r="B48" s="2">
        <v>-993</v>
      </c>
      <c r="C48" s="2">
        <v>149</v>
      </c>
      <c r="D48" s="2">
        <v>-78</v>
      </c>
      <c r="E48" s="2">
        <v>-72</v>
      </c>
      <c r="F48" s="2">
        <v>-903</v>
      </c>
      <c r="G48" s="2">
        <v>581</v>
      </c>
      <c r="H48" s="31">
        <f t="shared" si="42"/>
        <v>-1316</v>
      </c>
    </row>
    <row r="49" spans="1:24" x14ac:dyDescent="0.25">
      <c r="A49" s="2" t="s">
        <v>159</v>
      </c>
      <c r="B49" s="6">
        <f t="shared" ref="B49:G49" si="43">SUM(B47:B48)</f>
        <v>1375</v>
      </c>
      <c r="C49" s="6">
        <f t="shared" si="43"/>
        <v>1173</v>
      </c>
      <c r="D49" s="6">
        <f t="shared" si="43"/>
        <v>283</v>
      </c>
      <c r="E49" s="6">
        <f t="shared" si="43"/>
        <v>1861</v>
      </c>
      <c r="F49" s="6">
        <f t="shared" si="43"/>
        <v>-11157</v>
      </c>
      <c r="G49" s="6">
        <f t="shared" si="43"/>
        <v>11513</v>
      </c>
      <c r="H49" s="2">
        <f t="shared" si="42"/>
        <v>5048</v>
      </c>
    </row>
    <row r="50" spans="1:24" x14ac:dyDescent="0.25">
      <c r="A50" s="2" t="s">
        <v>160</v>
      </c>
      <c r="B50" s="2">
        <v>-1972</v>
      </c>
      <c r="C50" s="2">
        <v>-1979</v>
      </c>
      <c r="D50" s="2">
        <v>-1973</v>
      </c>
      <c r="E50" s="2">
        <v>-1959</v>
      </c>
      <c r="F50" s="2">
        <v>-3048</v>
      </c>
      <c r="G50" s="2">
        <v>-2988</v>
      </c>
      <c r="H50" s="2">
        <f t="shared" si="42"/>
        <v>-13919</v>
      </c>
    </row>
    <row r="51" spans="1:24" x14ac:dyDescent="0.25">
      <c r="A51" s="2" t="s">
        <v>161</v>
      </c>
      <c r="B51" s="31">
        <f t="shared" ref="B51:G51" si="44">+B52-SUM(B49:B50)</f>
        <v>-21</v>
      </c>
      <c r="C51" s="31">
        <f t="shared" si="44"/>
        <v>11</v>
      </c>
      <c r="D51" s="31">
        <f t="shared" si="44"/>
        <v>184</v>
      </c>
      <c r="E51" s="31">
        <f t="shared" si="44"/>
        <v>72</v>
      </c>
      <c r="F51" s="31">
        <f t="shared" si="44"/>
        <v>-90</v>
      </c>
      <c r="G51" s="31">
        <f t="shared" si="44"/>
        <v>85</v>
      </c>
      <c r="H51" s="31">
        <f t="shared" si="42"/>
        <v>241</v>
      </c>
    </row>
    <row r="52" spans="1:24" x14ac:dyDescent="0.25">
      <c r="A52" s="2" t="s">
        <v>162</v>
      </c>
      <c r="B52" s="2">
        <f>+B54-B53</f>
        <v>-618</v>
      </c>
      <c r="C52" s="2">
        <f t="shared" ref="C52:G52" si="45">+C54-C53</f>
        <v>-795</v>
      </c>
      <c r="D52" s="2">
        <f t="shared" si="45"/>
        <v>-1506</v>
      </c>
      <c r="E52" s="2">
        <f t="shared" si="45"/>
        <v>-26</v>
      </c>
      <c r="F52" s="2">
        <f t="shared" si="45"/>
        <v>-14295</v>
      </c>
      <c r="G52" s="2">
        <f t="shared" si="45"/>
        <v>8610</v>
      </c>
      <c r="H52" s="2">
        <f t="shared" si="42"/>
        <v>-8630</v>
      </c>
    </row>
    <row r="53" spans="1:24" x14ac:dyDescent="0.25">
      <c r="A53" s="2" t="s">
        <v>163</v>
      </c>
      <c r="B53" s="2">
        <f t="shared" ref="B53:E53" si="46">+C54</f>
        <v>49448</v>
      </c>
      <c r="C53" s="2">
        <f t="shared" si="46"/>
        <v>50243</v>
      </c>
      <c r="D53" s="2">
        <f t="shared" si="46"/>
        <v>51749</v>
      </c>
      <c r="E53" s="2">
        <f t="shared" si="46"/>
        <v>51775</v>
      </c>
      <c r="F53" s="2">
        <f>+G54</f>
        <v>66070</v>
      </c>
      <c r="G53" s="2">
        <v>57460</v>
      </c>
      <c r="H53" s="2">
        <f>+G53</f>
        <v>57460</v>
      </c>
    </row>
    <row r="54" spans="1:24" ht="15.75" thickBot="1" x14ac:dyDescent="0.3">
      <c r="A54" s="2" t="s">
        <v>164</v>
      </c>
      <c r="B54" s="9">
        <f t="shared" ref="B54:G54" si="47">+B34</f>
        <v>48830</v>
      </c>
      <c r="C54" s="9">
        <f t="shared" si="47"/>
        <v>49448</v>
      </c>
      <c r="D54" s="9">
        <f t="shared" si="47"/>
        <v>50243</v>
      </c>
      <c r="E54" s="9">
        <f t="shared" si="47"/>
        <v>51749</v>
      </c>
      <c r="F54" s="9">
        <f t="shared" si="47"/>
        <v>51775</v>
      </c>
      <c r="G54" s="9">
        <f t="shared" si="47"/>
        <v>66070</v>
      </c>
      <c r="H54" s="9">
        <f>++H52+H53</f>
        <v>48830</v>
      </c>
    </row>
    <row r="55" spans="1:24" ht="15.75" thickTop="1" x14ac:dyDescent="0.25"/>
    <row r="56" spans="1:24" s="15" customFormat="1" x14ac:dyDescent="0.25">
      <c r="A56" s="15" t="str">
        <f>+A1</f>
        <v>Kraft Heinz Company</v>
      </c>
      <c r="B56" s="15" t="str">
        <f>+B1</f>
        <v>Reclassified</v>
      </c>
      <c r="J56" s="15" t="str">
        <f>+B56</f>
        <v>Reclassified</v>
      </c>
      <c r="R56" s="15" t="str">
        <f>+B56</f>
        <v>Reclassified</v>
      </c>
    </row>
    <row r="57" spans="1:24" s="15" customFormat="1" x14ac:dyDescent="0.25">
      <c r="A57" s="15" t="s">
        <v>46</v>
      </c>
      <c r="J57" s="15" t="s">
        <v>137</v>
      </c>
      <c r="R57" s="15" t="s">
        <v>131</v>
      </c>
    </row>
    <row r="58" spans="1:24" s="15" customFormat="1" x14ac:dyDescent="0.25">
      <c r="A58" s="15" t="str">
        <f>+A3</f>
        <v>in millions except per share data</v>
      </c>
      <c r="F58" s="15" t="s">
        <v>150</v>
      </c>
      <c r="G58" s="16" t="s">
        <v>125</v>
      </c>
      <c r="H58" s="16"/>
      <c r="O58" s="16" t="s">
        <v>125</v>
      </c>
      <c r="P58" s="16"/>
      <c r="R58" s="15" t="s">
        <v>127</v>
      </c>
      <c r="S58" s="15" t="s">
        <v>129</v>
      </c>
      <c r="T58" s="15" t="s">
        <v>132</v>
      </c>
      <c r="U58" s="15" t="s">
        <v>133</v>
      </c>
      <c r="V58" s="15" t="s">
        <v>134</v>
      </c>
      <c r="W58" s="15" t="s">
        <v>135</v>
      </c>
      <c r="X58" s="15" t="s">
        <v>136</v>
      </c>
    </row>
    <row r="59" spans="1:24" s="15" customFormat="1" ht="15.75" thickBot="1" x14ac:dyDescent="0.3">
      <c r="A59" s="16" t="str">
        <f>+A4</f>
        <v>Year ended near 12/31:</v>
      </c>
      <c r="B59" s="17">
        <v>2022</v>
      </c>
      <c r="C59" s="17">
        <v>2021</v>
      </c>
      <c r="D59" s="17">
        <v>2020</v>
      </c>
      <c r="E59" s="17">
        <v>2019</v>
      </c>
      <c r="F59" s="17">
        <v>2018</v>
      </c>
      <c r="G59" s="17">
        <v>2017</v>
      </c>
      <c r="H59" s="17" t="s">
        <v>157</v>
      </c>
      <c r="J59" s="17">
        <v>2022</v>
      </c>
      <c r="K59" s="17">
        <v>2021</v>
      </c>
      <c r="L59" s="17">
        <v>2020</v>
      </c>
      <c r="M59" s="17">
        <v>2019</v>
      </c>
      <c r="N59" s="17">
        <v>2018</v>
      </c>
      <c r="O59" s="17">
        <v>2017</v>
      </c>
      <c r="P59" s="22" t="s">
        <v>157</v>
      </c>
      <c r="R59" s="29" t="s">
        <v>128</v>
      </c>
      <c r="S59" s="29" t="s">
        <v>130</v>
      </c>
      <c r="T59" s="17">
        <v>2022</v>
      </c>
      <c r="U59" s="17">
        <v>2021</v>
      </c>
      <c r="V59" s="17">
        <v>2020</v>
      </c>
      <c r="W59" s="17">
        <v>2019</v>
      </c>
      <c r="X59" s="17">
        <v>2018</v>
      </c>
    </row>
    <row r="60" spans="1:24" x14ac:dyDescent="0.25">
      <c r="A60" s="2" t="s">
        <v>47</v>
      </c>
      <c r="B60" s="8">
        <v>26485</v>
      </c>
      <c r="C60" s="8">
        <v>26042</v>
      </c>
      <c r="D60" s="8">
        <v>26185</v>
      </c>
      <c r="E60" s="8">
        <v>24977</v>
      </c>
      <c r="F60" s="8">
        <v>26268</v>
      </c>
      <c r="G60" s="8">
        <v>26076</v>
      </c>
      <c r="H60" s="8">
        <f t="shared" ref="H60:H76" si="48">SUM(B60:G60)</f>
        <v>156033</v>
      </c>
      <c r="J60" s="28">
        <f t="shared" ref="J60:J76" si="49">+B60/B$60</f>
        <v>1</v>
      </c>
      <c r="K60" s="28">
        <f t="shared" ref="K60:K76" si="50">+C60/C$60</f>
        <v>1</v>
      </c>
      <c r="L60" s="28">
        <f t="shared" ref="L60:L76" si="51">+D60/D$60</f>
        <v>1</v>
      </c>
      <c r="M60" s="28">
        <f t="shared" ref="M60:M76" si="52">+E60/E$60</f>
        <v>1</v>
      </c>
      <c r="N60" s="28">
        <f t="shared" ref="N60:N76" si="53">+F60/F$60</f>
        <v>1</v>
      </c>
      <c r="O60" s="28">
        <f t="shared" ref="O60:O76" si="54">+G60/G$60</f>
        <v>1</v>
      </c>
      <c r="P60" s="28">
        <f t="shared" ref="P60:P76" si="55">+H60/H$60</f>
        <v>1</v>
      </c>
      <c r="R60" s="28">
        <f>RATE(5,0,-G60,B60)</f>
        <v>3.1174860707707231E-3</v>
      </c>
      <c r="S60" s="28">
        <f t="shared" ref="S60:S199" si="56">AVERAGE(T60:X60)</f>
        <v>3.626035362061633E-3</v>
      </c>
      <c r="T60" s="28">
        <f t="shared" ref="T60:X63" si="57">(+B60-C60)/C60</f>
        <v>1.7010982259427078E-2</v>
      </c>
      <c r="U60" s="28">
        <f t="shared" si="57"/>
        <v>-5.4611418751193434E-3</v>
      </c>
      <c r="V60" s="28">
        <f t="shared" si="57"/>
        <v>4.836449533570885E-2</v>
      </c>
      <c r="W60" s="28">
        <f t="shared" si="57"/>
        <v>-4.914725140855794E-2</v>
      </c>
      <c r="X60" s="28">
        <f t="shared" si="57"/>
        <v>7.3630924988495172E-3</v>
      </c>
    </row>
    <row r="61" spans="1:24" x14ac:dyDescent="0.25">
      <c r="A61" s="5" t="s">
        <v>48</v>
      </c>
      <c r="B61" s="2">
        <v>18363</v>
      </c>
      <c r="C61" s="2">
        <v>17360</v>
      </c>
      <c r="D61" s="2">
        <v>17008</v>
      </c>
      <c r="E61" s="2">
        <v>16830</v>
      </c>
      <c r="F61" s="2">
        <v>17347</v>
      </c>
      <c r="G61" s="2">
        <v>17043</v>
      </c>
      <c r="H61" s="2">
        <f t="shared" si="48"/>
        <v>103951</v>
      </c>
      <c r="J61" s="30">
        <f t="shared" si="49"/>
        <v>0.69333585048140456</v>
      </c>
      <c r="K61" s="30">
        <f t="shared" si="50"/>
        <v>0.66661546732201826</v>
      </c>
      <c r="L61" s="30">
        <f t="shared" si="51"/>
        <v>0.64953217490929926</v>
      </c>
      <c r="M61" s="30">
        <f t="shared" si="52"/>
        <v>0.67381991432117549</v>
      </c>
      <c r="N61" s="30">
        <f t="shared" si="53"/>
        <v>0.66038525963149075</v>
      </c>
      <c r="O61" s="30">
        <f t="shared" si="54"/>
        <v>0.65358950759318912</v>
      </c>
      <c r="P61" s="30">
        <f t="shared" si="55"/>
        <v>0.66621163471829681</v>
      </c>
      <c r="Q61" s="31"/>
      <c r="R61" s="30">
        <f>RATE(5,0,-G61,B61)</f>
        <v>1.5031495091144084E-2</v>
      </c>
      <c r="S61" s="30">
        <f t="shared" si="56"/>
        <v>1.5416560689107845E-2</v>
      </c>
      <c r="T61" s="30">
        <f t="shared" si="57"/>
        <v>5.7776497695852531E-2</v>
      </c>
      <c r="U61" s="30">
        <f t="shared" si="57"/>
        <v>2.0696142991533398E-2</v>
      </c>
      <c r="V61" s="30">
        <f t="shared" si="57"/>
        <v>1.057635175282234E-2</v>
      </c>
      <c r="W61" s="30">
        <f t="shared" si="57"/>
        <v>-2.9803424223208624E-2</v>
      </c>
      <c r="X61" s="30">
        <f t="shared" si="57"/>
        <v>1.7837235228539576E-2</v>
      </c>
    </row>
    <row r="62" spans="1:24" x14ac:dyDescent="0.25">
      <c r="A62" s="2" t="s">
        <v>49</v>
      </c>
      <c r="B62" s="6">
        <f>+B60-B61</f>
        <v>8122</v>
      </c>
      <c r="C62" s="6">
        <f t="shared" ref="C62:G62" si="58">+C60-C61</f>
        <v>8682</v>
      </c>
      <c r="D62" s="6">
        <f t="shared" si="58"/>
        <v>9177</v>
      </c>
      <c r="E62" s="6">
        <f t="shared" si="58"/>
        <v>8147</v>
      </c>
      <c r="F62" s="6">
        <f t="shared" si="58"/>
        <v>8921</v>
      </c>
      <c r="G62" s="6">
        <f t="shared" si="58"/>
        <v>9033</v>
      </c>
      <c r="H62" s="6">
        <f t="shared" si="48"/>
        <v>52082</v>
      </c>
      <c r="J62" s="28">
        <f t="shared" si="49"/>
        <v>0.30666414951859544</v>
      </c>
      <c r="K62" s="28">
        <f t="shared" si="50"/>
        <v>0.33338453267798174</v>
      </c>
      <c r="L62" s="28">
        <f t="shared" si="51"/>
        <v>0.35046782509070079</v>
      </c>
      <c r="M62" s="28">
        <f t="shared" si="52"/>
        <v>0.32618008567882451</v>
      </c>
      <c r="N62" s="28">
        <f t="shared" si="53"/>
        <v>0.33961474036850919</v>
      </c>
      <c r="O62" s="28">
        <f t="shared" si="54"/>
        <v>0.34641049240681088</v>
      </c>
      <c r="P62" s="28">
        <f t="shared" si="55"/>
        <v>0.33378836528170325</v>
      </c>
      <c r="R62" s="28">
        <f>RATE(5,0,-G62,B62)</f>
        <v>-2.1037186930892088E-2</v>
      </c>
      <c r="S62" s="28">
        <f t="shared" si="56"/>
        <v>-1.8234822504439984E-2</v>
      </c>
      <c r="T62" s="28">
        <f t="shared" si="57"/>
        <v>-6.4501266989172995E-2</v>
      </c>
      <c r="U62" s="28">
        <f t="shared" si="57"/>
        <v>-5.393919581562602E-2</v>
      </c>
      <c r="V62" s="28">
        <f t="shared" si="57"/>
        <v>0.12642690560942679</v>
      </c>
      <c r="W62" s="28">
        <f t="shared" si="57"/>
        <v>-8.6761573814594775E-2</v>
      </c>
      <c r="X62" s="28">
        <f t="shared" si="57"/>
        <v>-1.2398981512232924E-2</v>
      </c>
    </row>
    <row r="63" spans="1:24" x14ac:dyDescent="0.25">
      <c r="A63" s="5" t="s">
        <v>170</v>
      </c>
      <c r="B63" s="2">
        <f t="shared" ref="B63:G63" si="59">+B445</f>
        <v>2503</v>
      </c>
      <c r="C63" s="2">
        <f t="shared" si="59"/>
        <v>2409</v>
      </c>
      <c r="D63" s="2">
        <f t="shared" si="59"/>
        <v>2461</v>
      </c>
      <c r="E63" s="2">
        <f t="shared" si="59"/>
        <v>1966</v>
      </c>
      <c r="F63" s="2">
        <f t="shared" si="59"/>
        <v>1941</v>
      </c>
      <c r="G63" s="2">
        <f t="shared" si="59"/>
        <v>1719</v>
      </c>
      <c r="H63" s="2">
        <f t="shared" si="48"/>
        <v>12999</v>
      </c>
      <c r="J63" s="28">
        <f t="shared" si="49"/>
        <v>9.4506324334528977E-2</v>
      </c>
      <c r="K63" s="28">
        <f t="shared" si="50"/>
        <v>9.2504415943475929E-2</v>
      </c>
      <c r="L63" s="28">
        <f t="shared" si="51"/>
        <v>9.3985105976704217E-2</v>
      </c>
      <c r="M63" s="28">
        <f t="shared" si="52"/>
        <v>7.8712415422188417E-2</v>
      </c>
      <c r="N63" s="28">
        <f t="shared" si="53"/>
        <v>7.3892188213796256E-2</v>
      </c>
      <c r="O63" s="28">
        <f t="shared" si="54"/>
        <v>6.5922687528762083E-2</v>
      </c>
      <c r="P63" s="28">
        <f t="shared" si="55"/>
        <v>8.3309299955778585E-2</v>
      </c>
      <c r="R63" s="28">
        <f>RATE(5,0,-G63,B63)</f>
        <v>7.8045260485801612E-2</v>
      </c>
      <c r="S63" s="28">
        <f t="shared" si="56"/>
        <v>8.2339158644776006E-2</v>
      </c>
      <c r="T63" s="28">
        <f t="shared" si="57"/>
        <v>3.9020340390203405E-2</v>
      </c>
      <c r="U63" s="28">
        <f t="shared" si="57"/>
        <v>-2.1129622104835433E-2</v>
      </c>
      <c r="V63" s="28">
        <f t="shared" si="57"/>
        <v>0.25178026449643948</v>
      </c>
      <c r="W63" s="28">
        <f t="shared" si="57"/>
        <v>1.287995878413189E-2</v>
      </c>
      <c r="X63" s="28">
        <f t="shared" si="57"/>
        <v>0.12914485165794065</v>
      </c>
    </row>
    <row r="64" spans="1:24" x14ac:dyDescent="0.25">
      <c r="A64" s="5" t="s">
        <v>171</v>
      </c>
      <c r="B64" s="2">
        <f t="shared" ref="B64:G65" si="60">+B381</f>
        <v>945</v>
      </c>
      <c r="C64" s="2">
        <f t="shared" si="60"/>
        <v>1039</v>
      </c>
      <c r="D64" s="2">
        <f t="shared" si="60"/>
        <v>1070</v>
      </c>
      <c r="E64" s="2">
        <f t="shared" si="60"/>
        <v>1100</v>
      </c>
      <c r="F64" s="2">
        <f t="shared" si="60"/>
        <v>1140</v>
      </c>
      <c r="G64" s="2">
        <f t="shared" si="60"/>
        <v>1115</v>
      </c>
      <c r="H64" s="2">
        <f t="shared" si="48"/>
        <v>6409</v>
      </c>
      <c r="J64" s="28">
        <f t="shared" si="49"/>
        <v>3.568057390976024E-2</v>
      </c>
      <c r="K64" s="28">
        <f t="shared" si="50"/>
        <v>3.9897089317256738E-2</v>
      </c>
      <c r="L64" s="28">
        <f t="shared" si="51"/>
        <v>4.0863089555088793E-2</v>
      </c>
      <c r="M64" s="28">
        <f t="shared" si="52"/>
        <v>4.4040517275893823E-2</v>
      </c>
      <c r="N64" s="28">
        <f t="shared" si="53"/>
        <v>4.3398812243033345E-2</v>
      </c>
      <c r="O64" s="28">
        <f t="shared" si="54"/>
        <v>4.2759625709464642E-2</v>
      </c>
      <c r="P64" s="28">
        <f t="shared" si="55"/>
        <v>4.1074644466234704E-2</v>
      </c>
      <c r="R64" s="28"/>
      <c r="S64" s="28"/>
      <c r="T64" s="28"/>
      <c r="U64" s="28"/>
      <c r="V64" s="28"/>
      <c r="W64" s="28"/>
      <c r="X64" s="28"/>
    </row>
    <row r="65" spans="1:24" x14ac:dyDescent="0.25">
      <c r="A65" s="5" t="s">
        <v>169</v>
      </c>
      <c r="B65" s="2">
        <f t="shared" si="60"/>
        <v>127</v>
      </c>
      <c r="C65" s="2">
        <f t="shared" si="60"/>
        <v>140</v>
      </c>
      <c r="D65" s="2">
        <f t="shared" si="60"/>
        <v>119</v>
      </c>
      <c r="E65" s="2">
        <f t="shared" si="60"/>
        <v>112</v>
      </c>
      <c r="F65" s="2">
        <f t="shared" si="60"/>
        <v>109</v>
      </c>
      <c r="G65" s="2">
        <f t="shared" si="60"/>
        <v>93</v>
      </c>
      <c r="H65" s="2">
        <f t="shared" si="48"/>
        <v>700</v>
      </c>
      <c r="J65" s="28">
        <f t="shared" si="49"/>
        <v>4.7951670757032279E-3</v>
      </c>
      <c r="K65" s="28">
        <f t="shared" si="50"/>
        <v>5.3759311880807927E-3</v>
      </c>
      <c r="L65" s="28">
        <f t="shared" si="51"/>
        <v>4.544586595379034E-3</v>
      </c>
      <c r="M65" s="28">
        <f t="shared" si="52"/>
        <v>4.4841253953637342E-3</v>
      </c>
      <c r="N65" s="28">
        <f t="shared" si="53"/>
        <v>4.1495355565707324E-3</v>
      </c>
      <c r="O65" s="28">
        <f t="shared" si="54"/>
        <v>3.5664979291302346E-3</v>
      </c>
      <c r="P65" s="28">
        <f t="shared" si="55"/>
        <v>4.4862304768862995E-3</v>
      </c>
      <c r="R65" s="28"/>
      <c r="S65" s="28"/>
      <c r="T65" s="28"/>
      <c r="U65" s="28"/>
      <c r="V65" s="28"/>
      <c r="W65" s="28"/>
      <c r="X65" s="28"/>
    </row>
    <row r="66" spans="1:24" x14ac:dyDescent="0.25">
      <c r="A66" s="5" t="s">
        <v>51</v>
      </c>
      <c r="B66" s="2">
        <v>444</v>
      </c>
      <c r="C66" s="2">
        <v>318</v>
      </c>
      <c r="D66" s="2">
        <v>2343</v>
      </c>
      <c r="E66" s="2">
        <v>1197</v>
      </c>
      <c r="F66" s="2">
        <v>7008</v>
      </c>
      <c r="G66" s="2">
        <v>0</v>
      </c>
      <c r="H66" s="2">
        <f t="shared" si="48"/>
        <v>11310</v>
      </c>
      <c r="J66" s="28">
        <f t="shared" si="49"/>
        <v>1.6764206154427034E-2</v>
      </c>
      <c r="K66" s="28">
        <f t="shared" si="50"/>
        <v>1.2211043698640657E-2</v>
      </c>
      <c r="L66" s="28">
        <f t="shared" si="51"/>
        <v>8.9478709184647703E-2</v>
      </c>
      <c r="M66" s="28">
        <f t="shared" si="52"/>
        <v>4.7924090162949913E-2</v>
      </c>
      <c r="N66" s="28">
        <f t="shared" si="53"/>
        <v>0.26678848789401555</v>
      </c>
      <c r="O66" s="28">
        <f t="shared" si="54"/>
        <v>0</v>
      </c>
      <c r="P66" s="28">
        <f t="shared" si="55"/>
        <v>7.2484666705120077E-2</v>
      </c>
      <c r="R66" s="28" t="e">
        <f t="shared" ref="R66:R76" si="61">RATE(5,0,-G66,B66)</f>
        <v>#NUM!</v>
      </c>
      <c r="S66" s="28" t="e">
        <f t="shared" si="56"/>
        <v>#DIV/0!</v>
      </c>
      <c r="T66" s="28">
        <f t="shared" ref="T66:T76" si="62">(+B66-C66)/C66</f>
        <v>0.39622641509433965</v>
      </c>
      <c r="U66" s="28">
        <f t="shared" ref="U66:U76" si="63">(+C66-D66)/D66</f>
        <v>-0.86427656850192058</v>
      </c>
      <c r="V66" s="28">
        <f t="shared" ref="V66:V76" si="64">(+D66-E66)/E66</f>
        <v>0.95739348370927313</v>
      </c>
      <c r="W66" s="28">
        <f t="shared" ref="W66:W76" si="65">(+E66-F66)/F66</f>
        <v>-0.82919520547945202</v>
      </c>
      <c r="X66" s="28" t="e">
        <f t="shared" ref="X66:X76" si="66">(+F66-G66)/G66</f>
        <v>#DIV/0!</v>
      </c>
    </row>
    <row r="67" spans="1:24" x14ac:dyDescent="0.25">
      <c r="A67" s="5" t="s">
        <v>52</v>
      </c>
      <c r="B67" s="2">
        <v>469</v>
      </c>
      <c r="C67" s="2">
        <v>1316</v>
      </c>
      <c r="D67" s="2">
        <v>1056</v>
      </c>
      <c r="E67" s="2">
        <v>702</v>
      </c>
      <c r="F67" s="2">
        <v>8928</v>
      </c>
      <c r="G67" s="2">
        <v>49</v>
      </c>
      <c r="H67" s="2">
        <f t="shared" si="48"/>
        <v>12520</v>
      </c>
      <c r="J67" s="30">
        <f t="shared" si="49"/>
        <v>1.7708136681140269E-2</v>
      </c>
      <c r="K67" s="30">
        <f t="shared" si="50"/>
        <v>5.0533753167959453E-2</v>
      </c>
      <c r="L67" s="30">
        <f t="shared" si="51"/>
        <v>4.0328432308573609E-2</v>
      </c>
      <c r="M67" s="30">
        <f t="shared" si="52"/>
        <v>2.8105857388797693E-2</v>
      </c>
      <c r="N67" s="30">
        <f t="shared" si="53"/>
        <v>0.33988122430333484</v>
      </c>
      <c r="O67" s="30">
        <f t="shared" si="54"/>
        <v>1.8791225648105538E-3</v>
      </c>
      <c r="P67" s="30">
        <f t="shared" si="55"/>
        <v>8.0239436529452104E-2</v>
      </c>
      <c r="Q67" s="31"/>
      <c r="R67" s="30">
        <f t="shared" si="61"/>
        <v>0.57106933729090092</v>
      </c>
      <c r="S67" s="30">
        <f t="shared" si="56"/>
        <v>36.077915853824031</v>
      </c>
      <c r="T67" s="30">
        <f t="shared" si="62"/>
        <v>-0.6436170212765957</v>
      </c>
      <c r="U67" s="30">
        <f t="shared" si="63"/>
        <v>0.24621212121212122</v>
      </c>
      <c r="V67" s="30">
        <f t="shared" si="64"/>
        <v>0.50427350427350426</v>
      </c>
      <c r="W67" s="30">
        <f t="shared" si="65"/>
        <v>-0.9213709677419355</v>
      </c>
      <c r="X67" s="30">
        <f t="shared" si="66"/>
        <v>181.20408163265307</v>
      </c>
    </row>
    <row r="68" spans="1:24" x14ac:dyDescent="0.25">
      <c r="A68" s="12" t="s">
        <v>53</v>
      </c>
      <c r="B68" s="10">
        <f>SUM(B63:B67)</f>
        <v>4488</v>
      </c>
      <c r="C68" s="10">
        <f t="shared" ref="C68:G68" si="67">SUM(C63:C67)</f>
        <v>5222</v>
      </c>
      <c r="D68" s="10">
        <f t="shared" si="67"/>
        <v>7049</v>
      </c>
      <c r="E68" s="10">
        <f t="shared" si="67"/>
        <v>5077</v>
      </c>
      <c r="F68" s="10">
        <f t="shared" si="67"/>
        <v>19126</v>
      </c>
      <c r="G68" s="10">
        <f t="shared" si="67"/>
        <v>2976</v>
      </c>
      <c r="H68" s="10">
        <f t="shared" si="48"/>
        <v>43938</v>
      </c>
      <c r="J68" s="30">
        <f t="shared" si="49"/>
        <v>0.16945440815555976</v>
      </c>
      <c r="K68" s="30">
        <f t="shared" si="50"/>
        <v>0.20052223331541355</v>
      </c>
      <c r="L68" s="30">
        <f t="shared" si="51"/>
        <v>0.26919992362039336</v>
      </c>
      <c r="M68" s="30">
        <f t="shared" si="52"/>
        <v>0.20326700564519357</v>
      </c>
      <c r="N68" s="30">
        <f t="shared" si="53"/>
        <v>0.72811024821075077</v>
      </c>
      <c r="O68" s="30">
        <f t="shared" si="54"/>
        <v>0.11412793373216751</v>
      </c>
      <c r="P68" s="30">
        <f t="shared" si="55"/>
        <v>0.28159427813347176</v>
      </c>
      <c r="Q68" s="31"/>
      <c r="R68" s="30">
        <f t="shared" si="61"/>
        <v>8.5635370196636043E-2</v>
      </c>
      <c r="S68" s="30">
        <f t="shared" si="56"/>
        <v>0.93617419376710242</v>
      </c>
      <c r="T68" s="30">
        <f t="shared" si="62"/>
        <v>-0.14055917273075449</v>
      </c>
      <c r="U68" s="30">
        <f t="shared" si="63"/>
        <v>-0.25918570009930486</v>
      </c>
      <c r="V68" s="30">
        <f t="shared" si="64"/>
        <v>0.3884183572976167</v>
      </c>
      <c r="W68" s="30">
        <f t="shared" si="65"/>
        <v>-0.73454982746000208</v>
      </c>
      <c r="X68" s="30">
        <f t="shared" si="66"/>
        <v>5.426747311827957</v>
      </c>
    </row>
    <row r="69" spans="1:24" x14ac:dyDescent="0.25">
      <c r="A69" s="2" t="s">
        <v>54</v>
      </c>
      <c r="B69" s="2">
        <f>+B62-B68</f>
        <v>3634</v>
      </c>
      <c r="C69" s="2">
        <f t="shared" ref="C69:G69" si="68">+C62-C68</f>
        <v>3460</v>
      </c>
      <c r="D69" s="2">
        <f t="shared" si="68"/>
        <v>2128</v>
      </c>
      <c r="E69" s="2">
        <f t="shared" si="68"/>
        <v>3070</v>
      </c>
      <c r="F69" s="2">
        <f t="shared" si="68"/>
        <v>-10205</v>
      </c>
      <c r="G69" s="2">
        <f t="shared" si="68"/>
        <v>6057</v>
      </c>
      <c r="H69" s="2">
        <f t="shared" si="48"/>
        <v>8144</v>
      </c>
      <c r="J69" s="28">
        <f t="shared" si="49"/>
        <v>0.13720974136303568</v>
      </c>
      <c r="K69" s="28">
        <f t="shared" si="50"/>
        <v>0.13286229936256816</v>
      </c>
      <c r="L69" s="28">
        <f t="shared" si="51"/>
        <v>8.1267901470307422E-2</v>
      </c>
      <c r="M69" s="28">
        <f t="shared" si="52"/>
        <v>0.12291308003363094</v>
      </c>
      <c r="N69" s="28">
        <f t="shared" si="53"/>
        <v>-0.38849550784224152</v>
      </c>
      <c r="O69" s="28">
        <f t="shared" si="54"/>
        <v>0.23228255867464334</v>
      </c>
      <c r="P69" s="28">
        <f t="shared" si="55"/>
        <v>5.2194087148231462E-2</v>
      </c>
      <c r="R69" s="28">
        <f t="shared" si="61"/>
        <v>-9.7129486369166726E-2</v>
      </c>
      <c r="S69" s="28">
        <f t="shared" si="56"/>
        <v>-0.72325438425943411</v>
      </c>
      <c r="T69" s="28">
        <f t="shared" si="62"/>
        <v>5.0289017341040465E-2</v>
      </c>
      <c r="U69" s="28">
        <f t="shared" si="63"/>
        <v>0.62593984962406013</v>
      </c>
      <c r="V69" s="28">
        <f t="shared" si="64"/>
        <v>-0.30684039087947884</v>
      </c>
      <c r="W69" s="28">
        <f t="shared" si="65"/>
        <v>-1.3008329250367467</v>
      </c>
      <c r="X69" s="28">
        <f t="shared" si="66"/>
        <v>-2.6848274723460457</v>
      </c>
    </row>
    <row r="70" spans="1:24" x14ac:dyDescent="0.25">
      <c r="A70" s="5" t="s">
        <v>55</v>
      </c>
      <c r="B70" s="2">
        <v>921</v>
      </c>
      <c r="C70" s="2">
        <v>2047</v>
      </c>
      <c r="D70" s="2">
        <v>1394</v>
      </c>
      <c r="E70" s="2">
        <v>1361</v>
      </c>
      <c r="F70" s="2">
        <v>1284</v>
      </c>
      <c r="G70" s="2">
        <v>1234</v>
      </c>
      <c r="H70" s="2">
        <f t="shared" si="48"/>
        <v>8241</v>
      </c>
      <c r="J70" s="28">
        <f t="shared" si="49"/>
        <v>3.4774400604115539E-2</v>
      </c>
      <c r="K70" s="28">
        <f t="shared" si="50"/>
        <v>7.860379387143844E-2</v>
      </c>
      <c r="L70" s="28">
        <f t="shared" si="51"/>
        <v>5.3236585831582965E-2</v>
      </c>
      <c r="M70" s="28">
        <f t="shared" si="52"/>
        <v>5.4490130920446814E-2</v>
      </c>
      <c r="N70" s="28">
        <f t="shared" si="53"/>
        <v>4.8880767473732295E-2</v>
      </c>
      <c r="O70" s="28">
        <f t="shared" si="54"/>
        <v>4.7323209081147413E-2</v>
      </c>
      <c r="P70" s="28">
        <f t="shared" si="55"/>
        <v>5.281575051431428E-2</v>
      </c>
      <c r="R70" s="28">
        <f t="shared" si="61"/>
        <v>-5.6832354866180976E-2</v>
      </c>
      <c r="S70" s="28">
        <f t="shared" si="56"/>
        <v>8.6194480407803427E-3</v>
      </c>
      <c r="T70" s="28">
        <f t="shared" si="62"/>
        <v>-0.55007327796775773</v>
      </c>
      <c r="U70" s="28">
        <f t="shared" si="63"/>
        <v>0.4684361549497848</v>
      </c>
      <c r="V70" s="28">
        <f t="shared" si="64"/>
        <v>2.4246877296105803E-2</v>
      </c>
      <c r="W70" s="28">
        <f t="shared" si="65"/>
        <v>5.9968847352024922E-2</v>
      </c>
      <c r="X70" s="28">
        <f t="shared" si="66"/>
        <v>4.0518638573743923E-2</v>
      </c>
    </row>
    <row r="71" spans="1:24" x14ac:dyDescent="0.25">
      <c r="A71" s="5" t="s">
        <v>56</v>
      </c>
      <c r="B71" s="2">
        <v>-253</v>
      </c>
      <c r="C71" s="2">
        <v>-295</v>
      </c>
      <c r="D71" s="2">
        <v>-296</v>
      </c>
      <c r="E71" s="2">
        <v>-952</v>
      </c>
      <c r="F71" s="2">
        <v>-168</v>
      </c>
      <c r="G71" s="2">
        <v>-627</v>
      </c>
      <c r="H71" s="2">
        <f t="shared" si="48"/>
        <v>-2591</v>
      </c>
      <c r="I71" s="109">
        <f>HARMEAN(J71:P71)</f>
        <v>1.2371256034748184E-2</v>
      </c>
      <c r="J71" s="30">
        <f>-B71/B$60</f>
        <v>9.5525769303379266E-3</v>
      </c>
      <c r="K71" s="30">
        <f t="shared" ref="K71:P71" si="69">-C71/C$60</f>
        <v>1.1327855003455956E-2</v>
      </c>
      <c r="L71" s="30">
        <f t="shared" si="69"/>
        <v>1.1304181783463815E-2</v>
      </c>
      <c r="M71" s="30">
        <f t="shared" si="69"/>
        <v>3.8115065860591747E-2</v>
      </c>
      <c r="N71" s="30">
        <f t="shared" si="69"/>
        <v>6.395614435815441E-3</v>
      </c>
      <c r="O71" s="30">
        <f t="shared" si="69"/>
        <v>2.4045098941555453E-2</v>
      </c>
      <c r="P71" s="30">
        <f t="shared" si="69"/>
        <v>1.6605461665160574E-2</v>
      </c>
      <c r="Q71" s="31"/>
      <c r="R71" s="30">
        <f t="shared" si="61"/>
        <v>-0.16599127110650957</v>
      </c>
      <c r="S71" s="30">
        <f t="shared" si="56"/>
        <v>0.61995647208246263</v>
      </c>
      <c r="T71" s="30">
        <f t="shared" si="62"/>
        <v>-0.14237288135593221</v>
      </c>
      <c r="U71" s="30">
        <f t="shared" si="63"/>
        <v>-3.3783783783783786E-3</v>
      </c>
      <c r="V71" s="30">
        <f t="shared" si="64"/>
        <v>-0.68907563025210083</v>
      </c>
      <c r="W71" s="30">
        <f t="shared" si="65"/>
        <v>4.666666666666667</v>
      </c>
      <c r="X71" s="30">
        <f t="shared" si="66"/>
        <v>-0.73205741626794263</v>
      </c>
    </row>
    <row r="72" spans="1:24" x14ac:dyDescent="0.25">
      <c r="A72" s="2" t="s">
        <v>57</v>
      </c>
      <c r="B72" s="6">
        <f>+B69-B70-B71</f>
        <v>2966</v>
      </c>
      <c r="C72" s="6">
        <f t="shared" ref="C72:G72" si="70">+C69-C70-C71</f>
        <v>1708</v>
      </c>
      <c r="D72" s="6">
        <f t="shared" si="70"/>
        <v>1030</v>
      </c>
      <c r="E72" s="6">
        <f t="shared" si="70"/>
        <v>2661</v>
      </c>
      <c r="F72" s="6">
        <f t="shared" si="70"/>
        <v>-11321</v>
      </c>
      <c r="G72" s="6">
        <f t="shared" si="70"/>
        <v>5450</v>
      </c>
      <c r="H72" s="6">
        <f t="shared" si="48"/>
        <v>2494</v>
      </c>
      <c r="J72" s="28">
        <f t="shared" si="49"/>
        <v>0.11198791768925807</v>
      </c>
      <c r="K72" s="28">
        <f t="shared" si="50"/>
        <v>6.5586360494585674E-2</v>
      </c>
      <c r="L72" s="28">
        <f t="shared" si="51"/>
        <v>3.9335497422188274E-2</v>
      </c>
      <c r="M72" s="28">
        <f t="shared" si="52"/>
        <v>0.10653801497377588</v>
      </c>
      <c r="N72" s="28">
        <f t="shared" si="53"/>
        <v>-0.43098066088015835</v>
      </c>
      <c r="O72" s="28">
        <f t="shared" si="54"/>
        <v>0.2090044485350514</v>
      </c>
      <c r="P72" s="28">
        <f t="shared" si="55"/>
        <v>1.598379829907776E-2</v>
      </c>
      <c r="R72" s="28">
        <f t="shared" si="61"/>
        <v>-0.11456858041064177</v>
      </c>
      <c r="S72" s="28">
        <f t="shared" si="56"/>
        <v>-0.7060877399039478</v>
      </c>
      <c r="T72" s="28">
        <f t="shared" si="62"/>
        <v>0.7365339578454333</v>
      </c>
      <c r="U72" s="28">
        <f t="shared" si="63"/>
        <v>0.65825242718446597</v>
      </c>
      <c r="V72" s="28">
        <f t="shared" si="64"/>
        <v>-0.61292747087561072</v>
      </c>
      <c r="W72" s="28">
        <f t="shared" si="65"/>
        <v>-1.2350499072520096</v>
      </c>
      <c r="X72" s="28">
        <f t="shared" si="66"/>
        <v>-3.0772477064220185</v>
      </c>
    </row>
    <row r="73" spans="1:24" x14ac:dyDescent="0.25">
      <c r="A73" s="5" t="s">
        <v>58</v>
      </c>
      <c r="B73" s="2">
        <v>598</v>
      </c>
      <c r="C73" s="2">
        <v>684</v>
      </c>
      <c r="D73" s="2">
        <v>669</v>
      </c>
      <c r="E73" s="2">
        <v>728</v>
      </c>
      <c r="F73" s="2">
        <v>-1067</v>
      </c>
      <c r="G73" s="2">
        <v>-5482</v>
      </c>
      <c r="H73" s="2">
        <f t="shared" si="48"/>
        <v>-3870</v>
      </c>
      <c r="J73" s="30">
        <f t="shared" si="49"/>
        <v>2.2578818198980555E-2</v>
      </c>
      <c r="K73" s="30">
        <f t="shared" si="50"/>
        <v>2.6265263804623303E-2</v>
      </c>
      <c r="L73" s="30">
        <f t="shared" si="51"/>
        <v>2.5548978422761121E-2</v>
      </c>
      <c r="M73" s="30">
        <f t="shared" si="52"/>
        <v>2.9146815069864274E-2</v>
      </c>
      <c r="N73" s="30">
        <f t="shared" si="53"/>
        <v>-4.0619765494137351E-2</v>
      </c>
      <c r="O73" s="30">
        <f t="shared" si="54"/>
        <v>-0.21023163061819297</v>
      </c>
      <c r="P73" s="30">
        <f t="shared" si="55"/>
        <v>-2.480244563649997E-2</v>
      </c>
      <c r="Q73" s="31"/>
      <c r="R73" s="30" t="e">
        <f t="shared" si="61"/>
        <v>#NUM!</v>
      </c>
      <c r="S73" s="30">
        <f t="shared" si="56"/>
        <v>-0.53440064342280214</v>
      </c>
      <c r="T73" s="30">
        <f t="shared" si="62"/>
        <v>-0.12573099415204678</v>
      </c>
      <c r="U73" s="30">
        <f t="shared" si="63"/>
        <v>2.2421524663677129E-2</v>
      </c>
      <c r="V73" s="30">
        <f t="shared" si="64"/>
        <v>-8.1043956043956047E-2</v>
      </c>
      <c r="W73" s="30">
        <f t="shared" si="65"/>
        <v>-1.6822867853795689</v>
      </c>
      <c r="X73" s="30">
        <f t="shared" si="66"/>
        <v>-0.80536300620211598</v>
      </c>
    </row>
    <row r="74" spans="1:24" x14ac:dyDescent="0.25">
      <c r="A74" s="2" t="s">
        <v>61</v>
      </c>
      <c r="B74" s="6">
        <f>+B72-B73</f>
        <v>2368</v>
      </c>
      <c r="C74" s="6">
        <f t="shared" ref="C74:G74" si="71">+C72-C73</f>
        <v>1024</v>
      </c>
      <c r="D74" s="6">
        <f t="shared" si="71"/>
        <v>361</v>
      </c>
      <c r="E74" s="6">
        <f t="shared" si="71"/>
        <v>1933</v>
      </c>
      <c r="F74" s="6">
        <f t="shared" si="71"/>
        <v>-10254</v>
      </c>
      <c r="G74" s="6">
        <f t="shared" si="71"/>
        <v>10932</v>
      </c>
      <c r="H74" s="6">
        <f t="shared" si="48"/>
        <v>6364</v>
      </c>
      <c r="J74" s="28">
        <f t="shared" si="49"/>
        <v>8.9409099490277519E-2</v>
      </c>
      <c r="K74" s="28">
        <f t="shared" si="50"/>
        <v>3.9321096689962372E-2</v>
      </c>
      <c r="L74" s="28">
        <f t="shared" si="51"/>
        <v>1.3786518999427153E-2</v>
      </c>
      <c r="M74" s="28">
        <f t="shared" si="52"/>
        <v>7.7391199903911592E-2</v>
      </c>
      <c r="N74" s="28">
        <f t="shared" si="53"/>
        <v>-0.39036089538602103</v>
      </c>
      <c r="O74" s="28">
        <f t="shared" si="54"/>
        <v>0.41923607915324435</v>
      </c>
      <c r="P74" s="28">
        <f t="shared" si="55"/>
        <v>4.0786243935577733E-2</v>
      </c>
      <c r="R74" s="28">
        <f t="shared" si="61"/>
        <v>-0.26356161826246205</v>
      </c>
      <c r="S74" s="28">
        <f t="shared" si="56"/>
        <v>-0.15813412150269723</v>
      </c>
      <c r="T74" s="28">
        <f t="shared" si="62"/>
        <v>1.3125</v>
      </c>
      <c r="U74" s="28">
        <f t="shared" si="63"/>
        <v>1.8365650969529086</v>
      </c>
      <c r="V74" s="28">
        <f t="shared" si="64"/>
        <v>-0.81324366270046555</v>
      </c>
      <c r="W74" s="28">
        <f t="shared" si="65"/>
        <v>-1.1885118002730641</v>
      </c>
      <c r="X74" s="28">
        <f t="shared" si="66"/>
        <v>-1.9379802414928651</v>
      </c>
    </row>
    <row r="75" spans="1:24" x14ac:dyDescent="0.25">
      <c r="A75" s="5" t="s">
        <v>38</v>
      </c>
      <c r="B75" s="2">
        <v>5</v>
      </c>
      <c r="C75" s="2">
        <v>12</v>
      </c>
      <c r="D75" s="2">
        <v>5</v>
      </c>
      <c r="E75" s="2">
        <v>-2</v>
      </c>
      <c r="F75" s="2">
        <v>-62</v>
      </c>
      <c r="G75" s="2">
        <v>-9</v>
      </c>
      <c r="H75" s="2">
        <f t="shared" si="48"/>
        <v>-51</v>
      </c>
      <c r="J75" s="28">
        <f t="shared" si="49"/>
        <v>1.8878610534264677E-4</v>
      </c>
      <c r="K75" s="28">
        <f t="shared" si="50"/>
        <v>4.6079410183549652E-4</v>
      </c>
      <c r="L75" s="28">
        <f t="shared" si="51"/>
        <v>1.9094901661256445E-4</v>
      </c>
      <c r="M75" s="28">
        <f t="shared" si="52"/>
        <v>-8.0073667774352406E-5</v>
      </c>
      <c r="N75" s="28">
        <f t="shared" si="53"/>
        <v>-2.3602862798842699E-3</v>
      </c>
      <c r="O75" s="28">
        <f t="shared" si="54"/>
        <v>-3.4514496088357109E-4</v>
      </c>
      <c r="P75" s="28">
        <f t="shared" si="55"/>
        <v>-3.2685393474457324E-4</v>
      </c>
      <c r="R75" s="28" t="e">
        <f t="shared" si="61"/>
        <v>#NUM!</v>
      </c>
      <c r="S75" s="28">
        <f t="shared" si="56"/>
        <v>0.44756272401433694</v>
      </c>
      <c r="T75" s="28">
        <f t="shared" si="62"/>
        <v>-0.58333333333333337</v>
      </c>
      <c r="U75" s="28">
        <f t="shared" si="63"/>
        <v>1.4</v>
      </c>
      <c r="V75" s="28">
        <f t="shared" si="64"/>
        <v>-3.5</v>
      </c>
      <c r="W75" s="28">
        <f t="shared" si="65"/>
        <v>-0.967741935483871</v>
      </c>
      <c r="X75" s="28">
        <f t="shared" si="66"/>
        <v>5.8888888888888893</v>
      </c>
    </row>
    <row r="76" spans="1:24" ht="15.75" thickBot="1" x14ac:dyDescent="0.3">
      <c r="A76" s="2" t="s">
        <v>60</v>
      </c>
      <c r="B76" s="9">
        <f>+B74-B75</f>
        <v>2363</v>
      </c>
      <c r="C76" s="9">
        <f t="shared" ref="C76:G76" si="72">+C74-C75</f>
        <v>1012</v>
      </c>
      <c r="D76" s="9">
        <f t="shared" si="72"/>
        <v>356</v>
      </c>
      <c r="E76" s="9">
        <f t="shared" si="72"/>
        <v>1935</v>
      </c>
      <c r="F76" s="9">
        <f t="shared" si="72"/>
        <v>-10192</v>
      </c>
      <c r="G76" s="9">
        <f t="shared" si="72"/>
        <v>10941</v>
      </c>
      <c r="H76" s="9">
        <f t="shared" si="48"/>
        <v>6415</v>
      </c>
      <c r="J76" s="32">
        <f t="shared" si="49"/>
        <v>8.9220313384934871E-2</v>
      </c>
      <c r="K76" s="32">
        <f t="shared" si="50"/>
        <v>3.8860302588126873E-2</v>
      </c>
      <c r="L76" s="32">
        <f t="shared" si="51"/>
        <v>1.3595569982814588E-2</v>
      </c>
      <c r="M76" s="32">
        <f t="shared" si="52"/>
        <v>7.7471273571685956E-2</v>
      </c>
      <c r="N76" s="32">
        <f t="shared" si="53"/>
        <v>-0.38800060910613676</v>
      </c>
      <c r="O76" s="32">
        <f t="shared" si="54"/>
        <v>0.41958122411412796</v>
      </c>
      <c r="P76" s="32">
        <f t="shared" si="55"/>
        <v>4.1113097870322302E-2</v>
      </c>
      <c r="Q76" s="11"/>
      <c r="R76" s="32">
        <f t="shared" si="61"/>
        <v>-0.26399402380581244</v>
      </c>
      <c r="S76" s="32">
        <f t="shared" si="56"/>
        <v>-0.15194810002519135</v>
      </c>
      <c r="T76" s="32">
        <f t="shared" si="62"/>
        <v>1.3349802371541502</v>
      </c>
      <c r="U76" s="32">
        <f t="shared" si="63"/>
        <v>1.8426966292134832</v>
      </c>
      <c r="V76" s="32">
        <f t="shared" si="64"/>
        <v>-0.81602067183462534</v>
      </c>
      <c r="W76" s="32">
        <f t="shared" si="65"/>
        <v>-1.1898547880690737</v>
      </c>
      <c r="X76" s="32">
        <f t="shared" si="66"/>
        <v>-1.9315419065898913</v>
      </c>
    </row>
    <row r="77" spans="1:24" ht="15.75" thickTop="1" x14ac:dyDescent="0.25">
      <c r="B77" s="2">
        <f>+B76-'Phase 2'!B70</f>
        <v>0</v>
      </c>
      <c r="C77" s="2">
        <f>+C76-'Phase 2'!C70</f>
        <v>0</v>
      </c>
      <c r="D77" s="2">
        <f>+D76-'Phase 2'!D70</f>
        <v>0</v>
      </c>
      <c r="E77" s="2">
        <f>+E76-'Phase 2'!E70</f>
        <v>0</v>
      </c>
      <c r="F77" s="2">
        <f>+F76-'Phase 2'!F70</f>
        <v>0</v>
      </c>
      <c r="G77" s="2">
        <f>+G76-'Phase 2'!G70</f>
        <v>0</v>
      </c>
      <c r="J77" s="28"/>
      <c r="K77" s="28"/>
      <c r="L77" s="28"/>
      <c r="M77" s="28"/>
      <c r="N77" s="28"/>
      <c r="O77" s="28"/>
      <c r="P77" s="28"/>
      <c r="R77" s="28"/>
      <c r="S77" s="28"/>
      <c r="T77" s="28"/>
      <c r="U77" s="28"/>
      <c r="V77" s="28"/>
      <c r="W77" s="28"/>
      <c r="X77" s="28"/>
    </row>
    <row r="78" spans="1:24" x14ac:dyDescent="0.25">
      <c r="A78" s="2" t="s">
        <v>62</v>
      </c>
      <c r="B78" s="21">
        <v>1235</v>
      </c>
      <c r="C78" s="21">
        <v>1236</v>
      </c>
      <c r="D78" s="21">
        <v>1228</v>
      </c>
      <c r="E78" s="21">
        <v>1224</v>
      </c>
      <c r="F78" s="21">
        <v>1219</v>
      </c>
      <c r="G78" s="21">
        <v>1228</v>
      </c>
      <c r="H78" s="21"/>
      <c r="J78" s="28"/>
      <c r="K78" s="28"/>
      <c r="L78" s="28"/>
      <c r="M78" s="28"/>
      <c r="N78" s="28"/>
      <c r="O78" s="28"/>
      <c r="P78" s="28"/>
      <c r="R78" s="28">
        <f>RATE(5,0,-G78,B78)</f>
        <v>1.1374745049678259E-3</v>
      </c>
      <c r="S78" s="28">
        <f t="shared" si="56"/>
        <v>1.1492605687045796E-3</v>
      </c>
      <c r="T78" s="28">
        <f t="shared" ref="T78:X80" si="73">(+B78-C78)/C78</f>
        <v>-8.090614886731392E-4</v>
      </c>
      <c r="U78" s="28">
        <f t="shared" si="73"/>
        <v>6.5146579804560263E-3</v>
      </c>
      <c r="V78" s="28">
        <f t="shared" si="73"/>
        <v>3.2679738562091504E-3</v>
      </c>
      <c r="W78" s="28">
        <f t="shared" si="73"/>
        <v>4.1017227235438884E-3</v>
      </c>
      <c r="X78" s="28">
        <f t="shared" si="73"/>
        <v>-7.3289902280130291E-3</v>
      </c>
    </row>
    <row r="79" spans="1:24" x14ac:dyDescent="0.25">
      <c r="A79" s="2" t="s">
        <v>63</v>
      </c>
      <c r="B79" s="7">
        <f>+B76/B78</f>
        <v>1.9133603238866397</v>
      </c>
      <c r="C79" s="7">
        <f t="shared" ref="C79:G79" si="74">+C76/C78</f>
        <v>0.81877022653721687</v>
      </c>
      <c r="D79" s="7">
        <f t="shared" si="74"/>
        <v>0.28990228013029318</v>
      </c>
      <c r="E79" s="7">
        <f t="shared" si="74"/>
        <v>1.5808823529411764</v>
      </c>
      <c r="F79" s="7">
        <f t="shared" si="74"/>
        <v>-8.3609515996718624</v>
      </c>
      <c r="G79" s="7">
        <f t="shared" si="74"/>
        <v>8.9096091205211732</v>
      </c>
      <c r="H79" s="7"/>
      <c r="J79" s="28"/>
      <c r="K79" s="28"/>
      <c r="L79" s="28"/>
      <c r="M79" s="28"/>
      <c r="N79" s="28"/>
      <c r="O79" s="28"/>
      <c r="P79" s="28"/>
      <c r="R79" s="28">
        <f>RATE(5,0,-G79,B79)</f>
        <v>-0.26483026064109128</v>
      </c>
      <c r="S79" s="28">
        <f t="shared" si="56"/>
        <v>-0.15659011145761975</v>
      </c>
      <c r="T79" s="28">
        <f t="shared" si="73"/>
        <v>1.3368709094109552</v>
      </c>
      <c r="U79" s="28">
        <f t="shared" si="73"/>
        <v>1.8242972982800625</v>
      </c>
      <c r="V79" s="28">
        <f t="shared" si="73"/>
        <v>-0.81661995303386115</v>
      </c>
      <c r="W79" s="28">
        <f t="shared" si="73"/>
        <v>-1.1890792374642163</v>
      </c>
      <c r="X79" s="28">
        <f t="shared" si="73"/>
        <v>-1.9384195744810389</v>
      </c>
    </row>
    <row r="80" spans="1:24" x14ac:dyDescent="0.25">
      <c r="A80" s="2" t="s">
        <v>120</v>
      </c>
      <c r="B80" s="27">
        <v>1.6</v>
      </c>
      <c r="C80" s="27">
        <v>1.6</v>
      </c>
      <c r="D80" s="27">
        <v>1.6</v>
      </c>
      <c r="E80" s="27">
        <v>1.6</v>
      </c>
      <c r="F80" s="27">
        <v>2.5</v>
      </c>
      <c r="G80" s="27">
        <v>2.4500000000000002</v>
      </c>
      <c r="H80" s="27"/>
      <c r="J80" s="28"/>
      <c r="K80" s="28"/>
      <c r="L80" s="28"/>
      <c r="M80" s="28"/>
      <c r="N80" s="28"/>
      <c r="O80" s="28"/>
      <c r="P80" s="28"/>
      <c r="R80" s="28">
        <f>RATE(5,0,-G80,B80)</f>
        <v>-8.1686900081131844E-2</v>
      </c>
      <c r="S80" s="28">
        <f t="shared" si="56"/>
        <v>-6.7918367346938791E-2</v>
      </c>
      <c r="T80" s="28">
        <f t="shared" si="73"/>
        <v>0</v>
      </c>
      <c r="U80" s="28">
        <f t="shared" si="73"/>
        <v>0</v>
      </c>
      <c r="V80" s="28">
        <f t="shared" si="73"/>
        <v>0</v>
      </c>
      <c r="W80" s="28">
        <f t="shared" si="73"/>
        <v>-0.36</v>
      </c>
      <c r="X80" s="28">
        <f t="shared" si="73"/>
        <v>2.0408163265306048E-2</v>
      </c>
    </row>
    <row r="81" spans="1:24" x14ac:dyDescent="0.25">
      <c r="B81" s="7"/>
      <c r="C81" s="7"/>
      <c r="D81" s="7"/>
      <c r="E81" s="7"/>
      <c r="F81" s="7"/>
      <c r="G81" s="7"/>
      <c r="H81" s="7"/>
      <c r="J81" s="28"/>
      <c r="K81" s="28"/>
      <c r="L81" s="28"/>
      <c r="M81" s="28"/>
      <c r="N81" s="28"/>
      <c r="O81" s="28"/>
      <c r="P81" s="28"/>
      <c r="R81" s="28"/>
      <c r="S81" s="28"/>
      <c r="T81" s="28"/>
      <c r="U81" s="28"/>
      <c r="V81" s="28"/>
      <c r="W81" s="28"/>
      <c r="X81" s="28"/>
    </row>
    <row r="82" spans="1:24" x14ac:dyDescent="0.25">
      <c r="A82" s="2" t="s">
        <v>191</v>
      </c>
      <c r="B82" s="28">
        <f>+B73/B72</f>
        <v>0.20161834120026972</v>
      </c>
      <c r="C82" s="28">
        <f t="shared" ref="C82:H82" si="75">+C73/C72</f>
        <v>0.40046838407494145</v>
      </c>
      <c r="D82" s="28">
        <f t="shared" si="75"/>
        <v>0.64951456310679612</v>
      </c>
      <c r="E82" s="28">
        <f t="shared" si="75"/>
        <v>0.27358136039083053</v>
      </c>
      <c r="F82" s="28">
        <f t="shared" si="75"/>
        <v>9.4249624591467185E-2</v>
      </c>
      <c r="G82" s="28">
        <f t="shared" si="75"/>
        <v>-1.0058715596330274</v>
      </c>
      <c r="H82" s="28">
        <f t="shared" si="75"/>
        <v>-1.5517241379310345</v>
      </c>
      <c r="J82" s="28"/>
      <c r="K82" s="28"/>
      <c r="L82" s="28"/>
      <c r="M82" s="28"/>
      <c r="N82" s="28"/>
      <c r="O82" s="28"/>
      <c r="P82" s="28"/>
      <c r="R82" s="28"/>
      <c r="S82" s="28"/>
      <c r="T82" s="28"/>
      <c r="U82" s="28"/>
      <c r="V82" s="28"/>
      <c r="W82" s="28"/>
      <c r="X82" s="28"/>
    </row>
    <row r="83" spans="1:24" x14ac:dyDescent="0.25">
      <c r="B83" s="7"/>
      <c r="C83" s="7"/>
      <c r="D83" s="7"/>
      <c r="E83" s="7"/>
      <c r="F83" s="7"/>
      <c r="G83" s="7"/>
      <c r="H83" s="7"/>
      <c r="J83" s="28"/>
      <c r="K83" s="28"/>
      <c r="L83" s="28"/>
      <c r="M83" s="28"/>
      <c r="N83" s="28"/>
      <c r="O83" s="28"/>
      <c r="P83" s="28"/>
      <c r="R83" s="28"/>
      <c r="S83" s="28"/>
      <c r="T83" s="28"/>
      <c r="U83" s="28"/>
      <c r="V83" s="28"/>
      <c r="W83" s="28"/>
      <c r="X83" s="28"/>
    </row>
    <row r="84" spans="1:24" x14ac:dyDescent="0.25">
      <c r="A84" s="18" t="s">
        <v>172</v>
      </c>
      <c r="J84" s="28"/>
      <c r="K84" s="28"/>
      <c r="L84" s="28"/>
      <c r="M84" s="28"/>
      <c r="N84" s="28"/>
      <c r="O84" s="28"/>
      <c r="P84" s="28"/>
      <c r="R84" s="28"/>
      <c r="S84" s="28"/>
      <c r="T84" s="28"/>
      <c r="U84" s="28"/>
      <c r="V84" s="28"/>
      <c r="W84" s="28"/>
      <c r="X84" s="28"/>
    </row>
    <row r="85" spans="1:24" x14ac:dyDescent="0.25">
      <c r="A85" s="2" t="s">
        <v>59</v>
      </c>
      <c r="B85" s="8">
        <f>+B76</f>
        <v>2363</v>
      </c>
      <c r="C85" s="8">
        <f t="shared" ref="C85:G85" si="76">+C76</f>
        <v>1012</v>
      </c>
      <c r="D85" s="8">
        <f t="shared" si="76"/>
        <v>356</v>
      </c>
      <c r="E85" s="8">
        <f t="shared" si="76"/>
        <v>1935</v>
      </c>
      <c r="F85" s="8">
        <f t="shared" si="76"/>
        <v>-10192</v>
      </c>
      <c r="G85" s="8">
        <f t="shared" si="76"/>
        <v>10941</v>
      </c>
      <c r="J85" s="28"/>
      <c r="K85" s="28"/>
      <c r="L85" s="28"/>
      <c r="M85" s="28"/>
      <c r="N85" s="28"/>
      <c r="O85" s="28"/>
      <c r="P85" s="28"/>
      <c r="R85" s="28"/>
      <c r="S85" s="28"/>
      <c r="T85" s="28"/>
      <c r="U85" s="28"/>
      <c r="V85" s="28"/>
      <c r="W85" s="28"/>
      <c r="X85" s="28"/>
    </row>
    <row r="86" spans="1:24" x14ac:dyDescent="0.25">
      <c r="A86" s="5" t="s">
        <v>173</v>
      </c>
      <c r="B86" s="2">
        <f>+B73</f>
        <v>598</v>
      </c>
      <c r="C86" s="2">
        <f t="shared" ref="C86:G86" si="77">+C73</f>
        <v>684</v>
      </c>
      <c r="D86" s="2">
        <f t="shared" si="77"/>
        <v>669</v>
      </c>
      <c r="E86" s="2">
        <f t="shared" si="77"/>
        <v>728</v>
      </c>
      <c r="F86" s="2">
        <f t="shared" si="77"/>
        <v>-1067</v>
      </c>
      <c r="G86" s="2">
        <f t="shared" si="77"/>
        <v>-5482</v>
      </c>
      <c r="J86" s="28"/>
      <c r="K86" s="28"/>
      <c r="L86" s="28"/>
      <c r="M86" s="28"/>
      <c r="N86" s="28"/>
      <c r="O86" s="28"/>
      <c r="P86" s="28"/>
      <c r="R86" s="28"/>
      <c r="S86" s="28"/>
      <c r="T86" s="28"/>
      <c r="U86" s="28"/>
      <c r="V86" s="28"/>
      <c r="W86" s="28"/>
      <c r="X86" s="28"/>
    </row>
    <row r="87" spans="1:24" x14ac:dyDescent="0.25">
      <c r="A87" s="5" t="s">
        <v>174</v>
      </c>
      <c r="B87" s="31">
        <f>+B70</f>
        <v>921</v>
      </c>
      <c r="C87" s="31">
        <f t="shared" ref="C87:G87" si="78">+C70</f>
        <v>2047</v>
      </c>
      <c r="D87" s="31">
        <f t="shared" si="78"/>
        <v>1394</v>
      </c>
      <c r="E87" s="31">
        <f t="shared" si="78"/>
        <v>1361</v>
      </c>
      <c r="F87" s="31">
        <f t="shared" si="78"/>
        <v>1284</v>
      </c>
      <c r="G87" s="31">
        <f t="shared" si="78"/>
        <v>1234</v>
      </c>
      <c r="J87" s="28"/>
      <c r="K87" s="28"/>
      <c r="L87" s="28"/>
      <c r="M87" s="28"/>
      <c r="N87" s="28"/>
      <c r="O87" s="28"/>
      <c r="P87" s="28"/>
      <c r="R87" s="28"/>
      <c r="S87" s="28"/>
      <c r="T87" s="28"/>
      <c r="U87" s="28"/>
      <c r="V87" s="28"/>
      <c r="W87" s="28"/>
      <c r="X87" s="28"/>
    </row>
    <row r="88" spans="1:24" x14ac:dyDescent="0.25">
      <c r="A88" s="2" t="s">
        <v>175</v>
      </c>
      <c r="B88" s="2">
        <f>SUM(B85:B87)</f>
        <v>3882</v>
      </c>
      <c r="C88" s="2">
        <f t="shared" ref="C88:G88" si="79">SUM(C85:C87)</f>
        <v>3743</v>
      </c>
      <c r="D88" s="2">
        <f t="shared" si="79"/>
        <v>2419</v>
      </c>
      <c r="E88" s="2">
        <f t="shared" si="79"/>
        <v>4024</v>
      </c>
      <c r="F88" s="2">
        <f t="shared" si="79"/>
        <v>-9975</v>
      </c>
      <c r="G88" s="2">
        <f t="shared" si="79"/>
        <v>6693</v>
      </c>
      <c r="J88" s="28"/>
      <c r="K88" s="28"/>
      <c r="L88" s="28"/>
      <c r="M88" s="28"/>
      <c r="N88" s="28"/>
      <c r="O88" s="28"/>
      <c r="P88" s="28"/>
      <c r="R88" s="28"/>
      <c r="S88" s="28"/>
      <c r="T88" s="28"/>
      <c r="U88" s="28"/>
      <c r="V88" s="28"/>
      <c r="W88" s="28"/>
      <c r="X88" s="28"/>
    </row>
    <row r="89" spans="1:24" x14ac:dyDescent="0.25">
      <c r="A89" s="5" t="s">
        <v>176</v>
      </c>
      <c r="B89" s="2">
        <f>+B150</f>
        <v>933</v>
      </c>
      <c r="C89" s="2">
        <f t="shared" ref="C89:G89" si="80">+C150</f>
        <v>910</v>
      </c>
      <c r="D89" s="2">
        <f t="shared" si="80"/>
        <v>969</v>
      </c>
      <c r="E89" s="2">
        <f t="shared" si="80"/>
        <v>994</v>
      </c>
      <c r="F89" s="2">
        <f t="shared" si="80"/>
        <v>983</v>
      </c>
      <c r="G89" s="2">
        <f t="shared" si="80"/>
        <v>1031</v>
      </c>
      <c r="J89" s="28"/>
      <c r="K89" s="28"/>
      <c r="L89" s="28"/>
      <c r="M89" s="28"/>
      <c r="N89" s="28"/>
      <c r="O89" s="28"/>
      <c r="P89" s="28"/>
      <c r="R89" s="28"/>
      <c r="S89" s="28"/>
      <c r="T89" s="28"/>
      <c r="U89" s="28"/>
      <c r="V89" s="28"/>
      <c r="W89" s="28"/>
      <c r="X89" s="28"/>
    </row>
    <row r="90" spans="1:24" ht="15.75" thickBot="1" x14ac:dyDescent="0.3">
      <c r="A90" s="2" t="s">
        <v>177</v>
      </c>
      <c r="B90" s="9">
        <f>+B89+B88</f>
        <v>4815</v>
      </c>
      <c r="C90" s="9">
        <f t="shared" ref="C90:G90" si="81">+C89+C88</f>
        <v>4653</v>
      </c>
      <c r="D90" s="9">
        <f t="shared" si="81"/>
        <v>3388</v>
      </c>
      <c r="E90" s="9">
        <f t="shared" si="81"/>
        <v>5018</v>
      </c>
      <c r="F90" s="9">
        <f t="shared" si="81"/>
        <v>-8992</v>
      </c>
      <c r="G90" s="9">
        <f t="shared" si="81"/>
        <v>7724</v>
      </c>
      <c r="J90" s="28"/>
      <c r="K90" s="28"/>
      <c r="L90" s="28"/>
      <c r="M90" s="28"/>
      <c r="N90" s="28"/>
      <c r="O90" s="28"/>
      <c r="P90" s="28"/>
      <c r="R90" s="28"/>
      <c r="S90" s="28"/>
      <c r="T90" s="28"/>
      <c r="U90" s="28"/>
      <c r="V90" s="28"/>
      <c r="W90" s="28"/>
      <c r="X90" s="28"/>
    </row>
    <row r="91" spans="1:24" ht="15.75" thickTop="1" x14ac:dyDescent="0.25">
      <c r="J91" s="28"/>
      <c r="K91" s="28"/>
      <c r="L91" s="28"/>
      <c r="M91" s="28"/>
      <c r="N91" s="28"/>
      <c r="O91" s="28"/>
      <c r="P91" s="28"/>
      <c r="R91" s="28"/>
      <c r="S91" s="28"/>
      <c r="T91" s="28"/>
      <c r="U91" s="28"/>
      <c r="V91" s="28"/>
      <c r="W91" s="28"/>
      <c r="X91" s="28"/>
    </row>
    <row r="92" spans="1:24" x14ac:dyDescent="0.25">
      <c r="A92" s="2" t="s">
        <v>178</v>
      </c>
      <c r="B92" s="8">
        <f>+B69</f>
        <v>3634</v>
      </c>
      <c r="C92" s="8">
        <f t="shared" ref="C92:G92" si="82">+C69</f>
        <v>3460</v>
      </c>
      <c r="D92" s="8">
        <f t="shared" si="82"/>
        <v>2128</v>
      </c>
      <c r="E92" s="8">
        <f t="shared" si="82"/>
        <v>3070</v>
      </c>
      <c r="F92" s="8">
        <f t="shared" si="82"/>
        <v>-10205</v>
      </c>
      <c r="G92" s="8">
        <f t="shared" si="82"/>
        <v>6057</v>
      </c>
      <c r="J92" s="28"/>
      <c r="K92" s="28"/>
      <c r="L92" s="28"/>
      <c r="M92" s="28"/>
      <c r="N92" s="28"/>
      <c r="O92" s="28"/>
      <c r="P92" s="28"/>
      <c r="R92" s="28"/>
      <c r="S92" s="28"/>
      <c r="T92" s="28"/>
      <c r="U92" s="28"/>
      <c r="V92" s="28"/>
      <c r="W92" s="28"/>
      <c r="X92" s="28"/>
    </row>
    <row r="93" spans="1:24" x14ac:dyDescent="0.25">
      <c r="A93" s="5" t="s">
        <v>179</v>
      </c>
      <c r="B93" s="2">
        <f>-B71</f>
        <v>253</v>
      </c>
      <c r="C93" s="2">
        <f t="shared" ref="C93:G93" si="83">-C71</f>
        <v>295</v>
      </c>
      <c r="D93" s="2">
        <f t="shared" si="83"/>
        <v>296</v>
      </c>
      <c r="E93" s="2">
        <f t="shared" si="83"/>
        <v>952</v>
      </c>
      <c r="F93" s="2">
        <f t="shared" si="83"/>
        <v>168</v>
      </c>
      <c r="G93" s="2">
        <f t="shared" si="83"/>
        <v>627</v>
      </c>
      <c r="J93" s="28"/>
      <c r="K93" s="28"/>
      <c r="L93" s="28"/>
      <c r="M93" s="28"/>
      <c r="N93" s="28"/>
      <c r="O93" s="28"/>
      <c r="P93" s="28"/>
      <c r="R93" s="28"/>
      <c r="S93" s="28"/>
      <c r="T93" s="28"/>
      <c r="U93" s="28"/>
      <c r="V93" s="28"/>
      <c r="W93" s="28"/>
      <c r="X93" s="28"/>
    </row>
    <row r="94" spans="1:24" x14ac:dyDescent="0.25">
      <c r="A94" s="5" t="s">
        <v>38</v>
      </c>
      <c r="B94" s="2">
        <f>-B75</f>
        <v>-5</v>
      </c>
      <c r="C94" s="2">
        <f t="shared" ref="C94:G94" si="84">-C75</f>
        <v>-12</v>
      </c>
      <c r="D94" s="2">
        <f t="shared" si="84"/>
        <v>-5</v>
      </c>
      <c r="E94" s="2">
        <f t="shared" si="84"/>
        <v>2</v>
      </c>
      <c r="F94" s="2">
        <f t="shared" si="84"/>
        <v>62</v>
      </c>
      <c r="G94" s="2">
        <f t="shared" si="84"/>
        <v>9</v>
      </c>
      <c r="J94" s="28"/>
      <c r="K94" s="28"/>
      <c r="L94" s="28"/>
      <c r="M94" s="28"/>
      <c r="N94" s="28"/>
      <c r="O94" s="28"/>
      <c r="P94" s="28"/>
      <c r="R94" s="28"/>
      <c r="S94" s="28"/>
      <c r="T94" s="28"/>
      <c r="U94" s="28"/>
      <c r="V94" s="28"/>
      <c r="W94" s="28"/>
      <c r="X94" s="28"/>
    </row>
    <row r="95" spans="1:24" ht="15.75" thickBot="1" x14ac:dyDescent="0.3">
      <c r="A95" s="2" t="s">
        <v>175</v>
      </c>
      <c r="B95" s="9">
        <f>+SUM(B92:B94)</f>
        <v>3882</v>
      </c>
      <c r="C95" s="9">
        <f t="shared" ref="C95:G95" si="85">+SUM(C92:C94)</f>
        <v>3743</v>
      </c>
      <c r="D95" s="9">
        <f t="shared" si="85"/>
        <v>2419</v>
      </c>
      <c r="E95" s="9">
        <f t="shared" si="85"/>
        <v>4024</v>
      </c>
      <c r="F95" s="9">
        <f t="shared" si="85"/>
        <v>-9975</v>
      </c>
      <c r="G95" s="9">
        <f t="shared" si="85"/>
        <v>6693</v>
      </c>
      <c r="J95" s="28"/>
      <c r="K95" s="28"/>
      <c r="L95" s="28"/>
      <c r="M95" s="28"/>
      <c r="N95" s="28"/>
      <c r="O95" s="28"/>
      <c r="P95" s="28"/>
      <c r="R95" s="28"/>
      <c r="S95" s="28"/>
      <c r="T95" s="28"/>
      <c r="U95" s="28"/>
      <c r="V95" s="28"/>
      <c r="W95" s="28"/>
      <c r="X95" s="28"/>
    </row>
    <row r="96" spans="1:24" ht="15.75" thickTop="1" x14ac:dyDescent="0.25">
      <c r="B96" s="36"/>
      <c r="C96" s="36"/>
      <c r="D96" s="36"/>
      <c r="E96" s="36"/>
      <c r="F96" s="36"/>
      <c r="G96" s="36"/>
      <c r="J96" s="28"/>
      <c r="K96" s="28"/>
      <c r="L96" s="28"/>
      <c r="M96" s="28"/>
      <c r="N96" s="28"/>
      <c r="O96" s="28"/>
      <c r="P96" s="28"/>
      <c r="R96" s="28"/>
      <c r="S96" s="28"/>
      <c r="T96" s="28"/>
      <c r="U96" s="28"/>
      <c r="V96" s="28"/>
      <c r="W96" s="28"/>
      <c r="X96" s="28"/>
    </row>
    <row r="97" spans="1:25" x14ac:dyDescent="0.25">
      <c r="A97" s="2" t="s">
        <v>373</v>
      </c>
      <c r="B97" s="36"/>
      <c r="C97" s="36"/>
      <c r="D97" s="36"/>
      <c r="E97" s="36"/>
      <c r="F97" s="36"/>
      <c r="G97" s="36"/>
      <c r="J97" s="28"/>
      <c r="K97" s="28"/>
      <c r="L97" s="28"/>
      <c r="M97" s="28"/>
      <c r="N97" s="28"/>
      <c r="O97" s="28"/>
      <c r="P97" s="28"/>
      <c r="R97" s="28"/>
      <c r="S97" s="28"/>
      <c r="T97" s="28"/>
      <c r="U97" s="28"/>
      <c r="V97" s="28"/>
      <c r="W97" s="28"/>
      <c r="X97" s="28"/>
    </row>
    <row r="98" spans="1:25" x14ac:dyDescent="0.25">
      <c r="A98" s="2" t="s">
        <v>367</v>
      </c>
      <c r="B98" s="36">
        <v>26257</v>
      </c>
      <c r="C98" s="36">
        <v>26129</v>
      </c>
      <c r="D98" s="36">
        <v>26159</v>
      </c>
      <c r="E98" s="36">
        <v>25117</v>
      </c>
      <c r="F98" s="36">
        <v>23988</v>
      </c>
      <c r="G98" s="36">
        <v>23447</v>
      </c>
      <c r="J98" s="28"/>
      <c r="K98" s="28"/>
      <c r="L98" s="28"/>
      <c r="M98" s="28"/>
      <c r="N98" s="28"/>
      <c r="O98" s="28"/>
      <c r="P98" s="28"/>
      <c r="R98" s="28"/>
      <c r="S98" s="28"/>
      <c r="T98" s="28"/>
      <c r="U98" s="28"/>
      <c r="V98" s="28"/>
      <c r="W98" s="28"/>
      <c r="X98" s="28"/>
    </row>
    <row r="99" spans="1:25" x14ac:dyDescent="0.25">
      <c r="A99" s="2" t="s">
        <v>368</v>
      </c>
      <c r="B99" s="36">
        <v>19484</v>
      </c>
      <c r="C99" s="36">
        <v>17504</v>
      </c>
      <c r="D99" s="36">
        <v>17257</v>
      </c>
      <c r="E99" s="36">
        <v>17107</v>
      </c>
      <c r="F99" s="36">
        <v>17598</v>
      </c>
      <c r="G99" s="36">
        <v>17279</v>
      </c>
      <c r="J99" s="28"/>
      <c r="K99" s="28"/>
      <c r="L99" s="28"/>
      <c r="M99" s="28"/>
      <c r="N99" s="28"/>
      <c r="O99" s="28"/>
      <c r="P99" s="28"/>
      <c r="R99" s="28"/>
      <c r="S99" s="28"/>
      <c r="T99" s="28"/>
      <c r="U99" s="28"/>
      <c r="V99" s="28"/>
      <c r="W99" s="28"/>
      <c r="X99" s="28"/>
    </row>
    <row r="100" spans="1:25" x14ac:dyDescent="0.25">
      <c r="A100" s="2" t="s">
        <v>369</v>
      </c>
      <c r="B100" s="36">
        <v>20605</v>
      </c>
      <c r="C100" s="36">
        <v>17504</v>
      </c>
      <c r="D100" s="36">
        <v>17257</v>
      </c>
      <c r="E100" s="36">
        <v>17107</v>
      </c>
      <c r="F100" s="36">
        <v>17598</v>
      </c>
      <c r="G100" s="36">
        <v>17279</v>
      </c>
      <c r="J100" s="28"/>
      <c r="K100" s="28"/>
      <c r="L100" s="28"/>
      <c r="M100" s="28"/>
      <c r="N100" s="28"/>
      <c r="O100" s="28"/>
      <c r="P100" s="28"/>
      <c r="R100" s="28"/>
      <c r="S100" s="28"/>
      <c r="T100" s="28"/>
      <c r="U100" s="28"/>
      <c r="V100" s="28"/>
      <c r="W100" s="28"/>
      <c r="X100" s="28"/>
    </row>
    <row r="101" spans="1:25" x14ac:dyDescent="0.25">
      <c r="A101" s="2" t="s">
        <v>370</v>
      </c>
      <c r="B101" s="36"/>
      <c r="C101" s="36"/>
      <c r="D101" s="36"/>
      <c r="E101" s="36"/>
      <c r="F101" s="36"/>
      <c r="G101" s="36"/>
      <c r="J101" s="28"/>
      <c r="K101" s="28"/>
      <c r="L101" s="28"/>
      <c r="M101" s="28"/>
      <c r="N101" s="28"/>
      <c r="O101" s="28"/>
      <c r="P101" s="28"/>
      <c r="R101" s="28"/>
      <c r="S101" s="28"/>
      <c r="T101" s="28"/>
      <c r="U101" s="28"/>
      <c r="V101" s="28"/>
      <c r="W101" s="28"/>
      <c r="X101" s="28"/>
    </row>
    <row r="102" spans="1:25" x14ac:dyDescent="0.25">
      <c r="A102" s="2" t="s">
        <v>371</v>
      </c>
      <c r="B102" s="36"/>
      <c r="C102" s="36"/>
      <c r="D102" s="36"/>
      <c r="E102" s="36"/>
      <c r="F102" s="36"/>
      <c r="G102" s="36"/>
      <c r="J102" s="28"/>
      <c r="K102" s="28"/>
      <c r="L102" s="28"/>
      <c r="M102" s="28"/>
      <c r="N102" s="28"/>
      <c r="O102" s="28"/>
      <c r="P102" s="28"/>
      <c r="R102" s="28"/>
      <c r="S102" s="28"/>
      <c r="T102" s="28"/>
      <c r="U102" s="28"/>
      <c r="V102" s="28"/>
      <c r="W102" s="28"/>
      <c r="X102" s="28"/>
    </row>
    <row r="103" spans="1:25" x14ac:dyDescent="0.25">
      <c r="A103" s="2" t="s">
        <v>372</v>
      </c>
      <c r="J103" s="28"/>
      <c r="K103" s="28"/>
      <c r="L103" s="28"/>
      <c r="M103" s="28"/>
      <c r="N103" s="28"/>
      <c r="O103" s="28"/>
      <c r="P103" s="28"/>
      <c r="R103" s="28"/>
      <c r="S103" s="28"/>
      <c r="T103" s="28"/>
      <c r="U103" s="28"/>
      <c r="V103" s="28"/>
      <c r="W103" s="28"/>
      <c r="X103" s="28"/>
    </row>
    <row r="104" spans="1:25" x14ac:dyDescent="0.25">
      <c r="J104" s="28"/>
      <c r="K104" s="28"/>
      <c r="L104" s="28"/>
      <c r="M104" s="28"/>
      <c r="N104" s="28"/>
      <c r="O104" s="28"/>
      <c r="P104" s="28"/>
      <c r="R104" s="28"/>
      <c r="S104" s="28"/>
      <c r="T104" s="28"/>
      <c r="U104" s="28"/>
      <c r="V104" s="28"/>
      <c r="W104" s="28"/>
      <c r="X104" s="28"/>
    </row>
    <row r="105" spans="1:25" s="15" customFormat="1" x14ac:dyDescent="0.25">
      <c r="A105" s="15" t="s">
        <v>0</v>
      </c>
      <c r="B105" s="15" t="s">
        <v>139</v>
      </c>
      <c r="I105" s="78"/>
      <c r="J105" s="78" t="s">
        <v>139</v>
      </c>
      <c r="K105" s="78"/>
      <c r="L105" s="78"/>
      <c r="M105" s="78"/>
      <c r="N105" s="78"/>
      <c r="O105" s="78"/>
      <c r="P105" s="78"/>
      <c r="Q105" s="78"/>
      <c r="R105" s="78"/>
      <c r="S105" s="78"/>
      <c r="T105" s="78"/>
      <c r="U105" s="78"/>
      <c r="V105" s="78"/>
      <c r="W105" s="78"/>
      <c r="X105" s="78"/>
      <c r="Y105" s="78"/>
    </row>
    <row r="106" spans="1:25" s="15" customFormat="1" x14ac:dyDescent="0.25">
      <c r="A106" s="15" t="s">
        <v>433</v>
      </c>
      <c r="I106" s="78"/>
      <c r="J106" s="78"/>
      <c r="K106" s="78"/>
      <c r="L106" s="78"/>
      <c r="M106" s="78"/>
      <c r="N106" s="78"/>
      <c r="O106" s="78"/>
      <c r="P106" s="78"/>
      <c r="Q106" s="78"/>
      <c r="R106" s="78"/>
      <c r="S106" s="78"/>
      <c r="T106" s="78"/>
      <c r="U106" s="78"/>
      <c r="V106" s="78"/>
      <c r="W106" s="78"/>
      <c r="X106" s="78"/>
      <c r="Y106" s="78"/>
    </row>
    <row r="107" spans="1:25" s="15" customFormat="1" x14ac:dyDescent="0.25">
      <c r="A107" s="15" t="s">
        <v>2</v>
      </c>
      <c r="F107" s="15" t="s">
        <v>150</v>
      </c>
      <c r="G107" s="16" t="s">
        <v>125</v>
      </c>
      <c r="H107" s="16"/>
      <c r="I107" s="78"/>
      <c r="J107" s="98" t="s">
        <v>127</v>
      </c>
      <c r="K107" s="98" t="s">
        <v>129</v>
      </c>
      <c r="L107" s="15" t="s">
        <v>132</v>
      </c>
      <c r="M107" s="15" t="s">
        <v>133</v>
      </c>
      <c r="N107" s="15" t="s">
        <v>134</v>
      </c>
      <c r="O107" s="15" t="s">
        <v>135</v>
      </c>
      <c r="P107" s="15" t="s">
        <v>136</v>
      </c>
      <c r="Q107" s="78"/>
      <c r="R107" s="78"/>
      <c r="S107" s="78"/>
      <c r="T107" s="78"/>
      <c r="U107" s="78"/>
      <c r="V107" s="78"/>
      <c r="W107" s="78"/>
      <c r="X107" s="78"/>
      <c r="Y107" s="78"/>
    </row>
    <row r="108" spans="1:25" s="15" customFormat="1" ht="15.75" thickBot="1" x14ac:dyDescent="0.3">
      <c r="A108" s="16" t="s">
        <v>3</v>
      </c>
      <c r="B108" s="17">
        <v>2022</v>
      </c>
      <c r="C108" s="17">
        <v>2021</v>
      </c>
      <c r="D108" s="17">
        <v>2020</v>
      </c>
      <c r="E108" s="17">
        <v>2019</v>
      </c>
      <c r="F108" s="17">
        <v>2018</v>
      </c>
      <c r="G108" s="17">
        <v>2017</v>
      </c>
      <c r="H108" s="22"/>
      <c r="I108" s="78"/>
      <c r="J108" s="108" t="s">
        <v>128</v>
      </c>
      <c r="K108" s="108" t="s">
        <v>130</v>
      </c>
      <c r="L108" s="17">
        <v>2022</v>
      </c>
      <c r="M108" s="17">
        <v>2021</v>
      </c>
      <c r="N108" s="17">
        <v>2020</v>
      </c>
      <c r="O108" s="17">
        <v>2019</v>
      </c>
      <c r="P108" s="17">
        <v>2018</v>
      </c>
      <c r="Q108" s="78"/>
      <c r="R108" s="78"/>
      <c r="S108" s="78"/>
      <c r="T108" s="22"/>
      <c r="U108" s="22"/>
      <c r="V108" s="22"/>
      <c r="W108" s="22"/>
      <c r="X108" s="22"/>
      <c r="Y108" s="78"/>
    </row>
    <row r="109" spans="1:25" customFormat="1" x14ac:dyDescent="0.25">
      <c r="A109" s="93" t="s">
        <v>434</v>
      </c>
      <c r="B109" s="97">
        <f>B76</f>
        <v>2363</v>
      </c>
      <c r="C109" s="97">
        <f t="shared" ref="C109:G109" si="86">C76</f>
        <v>1012</v>
      </c>
      <c r="D109" s="97">
        <f t="shared" si="86"/>
        <v>356</v>
      </c>
      <c r="E109" s="97">
        <f t="shared" si="86"/>
        <v>1935</v>
      </c>
      <c r="F109" s="97">
        <f t="shared" si="86"/>
        <v>-10192</v>
      </c>
      <c r="G109" s="97">
        <f t="shared" si="86"/>
        <v>10941</v>
      </c>
      <c r="J109" s="99"/>
    </row>
    <row r="110" spans="1:25" customFormat="1" x14ac:dyDescent="0.25">
      <c r="A110" s="93" t="s">
        <v>435</v>
      </c>
      <c r="B110" s="100"/>
      <c r="C110" s="100"/>
      <c r="D110" s="100"/>
      <c r="E110" s="100"/>
      <c r="F110" s="100"/>
      <c r="G110" s="100"/>
      <c r="J110" s="99"/>
    </row>
    <row r="111" spans="1:25" customFormat="1" x14ac:dyDescent="0.25">
      <c r="A111" s="64" t="s">
        <v>522</v>
      </c>
      <c r="B111" s="69">
        <f>B61*0.015</f>
        <v>275.44499999999999</v>
      </c>
      <c r="C111" s="100">
        <v>0</v>
      </c>
      <c r="D111" s="100">
        <v>0</v>
      </c>
      <c r="E111" s="100">
        <v>0</v>
      </c>
      <c r="F111" s="100">
        <v>0</v>
      </c>
      <c r="G111" s="100">
        <v>0</v>
      </c>
      <c r="J111" s="99"/>
    </row>
    <row r="112" spans="1:25" customFormat="1" x14ac:dyDescent="0.25">
      <c r="A112" s="64" t="s">
        <v>520</v>
      </c>
      <c r="B112" s="100">
        <v>0</v>
      </c>
      <c r="C112" s="100">
        <v>0</v>
      </c>
      <c r="D112" s="100">
        <v>0</v>
      </c>
      <c r="E112" s="69">
        <f>E60*0.013</f>
        <v>324.70099999999996</v>
      </c>
      <c r="F112" s="100">
        <v>0</v>
      </c>
      <c r="G112" s="100">
        <v>0</v>
      </c>
      <c r="J112" s="99"/>
    </row>
    <row r="113" spans="1:16" customFormat="1" x14ac:dyDescent="0.25">
      <c r="A113" s="64" t="s">
        <v>519</v>
      </c>
      <c r="B113" s="100">
        <v>0</v>
      </c>
      <c r="C113" s="100">
        <v>0</v>
      </c>
      <c r="D113" s="100">
        <v>0</v>
      </c>
      <c r="E113" s="69">
        <f>E60*0.019</f>
        <v>474.56299999999999</v>
      </c>
      <c r="F113" s="100">
        <v>0</v>
      </c>
      <c r="G113" s="100">
        <v>0</v>
      </c>
      <c r="J113" s="99"/>
    </row>
    <row r="114" spans="1:16" customFormat="1" x14ac:dyDescent="0.25">
      <c r="A114" s="64" t="s">
        <v>456</v>
      </c>
      <c r="B114" s="69">
        <f>-B60/53</f>
        <v>-499.71698113207549</v>
      </c>
      <c r="C114" s="100">
        <v>0</v>
      </c>
      <c r="D114" s="100">
        <v>0</v>
      </c>
      <c r="E114" s="100">
        <v>0</v>
      </c>
      <c r="F114" s="100">
        <v>0</v>
      </c>
      <c r="G114" s="100">
        <v>0</v>
      </c>
      <c r="J114" s="99"/>
    </row>
    <row r="115" spans="1:16" customFormat="1" x14ac:dyDescent="0.25">
      <c r="A115" s="64" t="s">
        <v>457</v>
      </c>
      <c r="B115" s="69">
        <f>B61/53</f>
        <v>346.47169811320754</v>
      </c>
      <c r="C115" s="100">
        <v>0</v>
      </c>
      <c r="D115" s="100">
        <v>0</v>
      </c>
      <c r="E115" s="100">
        <v>0</v>
      </c>
      <c r="F115" s="100">
        <v>0</v>
      </c>
      <c r="G115" s="100">
        <v>0</v>
      </c>
      <c r="J115" s="99"/>
    </row>
    <row r="116" spans="1:16" customFormat="1" x14ac:dyDescent="0.25">
      <c r="A116" s="64" t="s">
        <v>436</v>
      </c>
      <c r="B116" s="69">
        <v>86</v>
      </c>
      <c r="C116" s="69">
        <v>0</v>
      </c>
      <c r="D116" s="69">
        <v>0</v>
      </c>
      <c r="E116" s="69">
        <v>0</v>
      </c>
      <c r="F116" s="69">
        <v>0</v>
      </c>
      <c r="G116" s="69">
        <v>0</v>
      </c>
      <c r="J116" s="99"/>
      <c r="L116" s="2"/>
    </row>
    <row r="117" spans="1:16" customFormat="1" x14ac:dyDescent="0.25">
      <c r="A117" s="64" t="s">
        <v>437</v>
      </c>
      <c r="B117" s="69">
        <v>469</v>
      </c>
      <c r="C117" s="69">
        <v>1316</v>
      </c>
      <c r="D117" s="69">
        <v>1056</v>
      </c>
      <c r="E117" s="69">
        <v>702</v>
      </c>
      <c r="F117" s="69">
        <v>8928</v>
      </c>
      <c r="G117" s="69">
        <v>49</v>
      </c>
      <c r="J117" s="99"/>
    </row>
    <row r="118" spans="1:16" customFormat="1" x14ac:dyDescent="0.25">
      <c r="A118" s="64" t="s">
        <v>438</v>
      </c>
      <c r="B118" s="69">
        <v>444</v>
      </c>
      <c r="C118" s="69">
        <v>318</v>
      </c>
      <c r="D118" s="69">
        <v>2343</v>
      </c>
      <c r="E118" s="69">
        <v>1197</v>
      </c>
      <c r="F118" s="69">
        <v>7008</v>
      </c>
      <c r="G118" s="69">
        <v>0</v>
      </c>
      <c r="J118" s="99"/>
    </row>
    <row r="119" spans="1:16" customFormat="1" x14ac:dyDescent="0.25">
      <c r="A119" s="64" t="s">
        <v>439</v>
      </c>
      <c r="B119" s="69">
        <v>74</v>
      </c>
      <c r="C119" s="69">
        <v>88</v>
      </c>
      <c r="D119" s="69">
        <v>32</v>
      </c>
      <c r="E119" s="69">
        <v>108</v>
      </c>
      <c r="F119" s="69">
        <v>460</v>
      </c>
      <c r="G119" s="69">
        <v>434</v>
      </c>
      <c r="J119" s="99"/>
    </row>
    <row r="120" spans="1:16" customFormat="1" x14ac:dyDescent="0.25">
      <c r="A120" s="64" t="s">
        <v>440</v>
      </c>
      <c r="B120" s="69">
        <v>210</v>
      </c>
      <c r="C120" s="69">
        <v>0</v>
      </c>
      <c r="D120" s="69">
        <v>0</v>
      </c>
      <c r="E120" s="69">
        <v>0</v>
      </c>
      <c r="F120" s="69">
        <v>0</v>
      </c>
      <c r="G120" s="69">
        <v>0</v>
      </c>
      <c r="J120" s="99"/>
    </row>
    <row r="121" spans="1:16" customFormat="1" x14ac:dyDescent="0.25">
      <c r="A121" s="64" t="s">
        <v>441</v>
      </c>
      <c r="B121" s="69">
        <v>0</v>
      </c>
      <c r="C121" s="69">
        <v>0</v>
      </c>
      <c r="D121" s="69">
        <v>0</v>
      </c>
      <c r="E121" s="69">
        <v>0</v>
      </c>
      <c r="F121" s="69">
        <v>4</v>
      </c>
      <c r="G121" s="69">
        <v>0</v>
      </c>
      <c r="J121" s="99"/>
    </row>
    <row r="122" spans="1:16" customFormat="1" x14ac:dyDescent="0.25">
      <c r="A122" s="64" t="s">
        <v>344</v>
      </c>
      <c r="B122" s="69">
        <v>0</v>
      </c>
      <c r="C122" s="69">
        <v>0</v>
      </c>
      <c r="D122" s="69">
        <v>0</v>
      </c>
      <c r="E122" s="69">
        <v>-21</v>
      </c>
      <c r="F122" s="69">
        <v>-15</v>
      </c>
      <c r="G122" s="69">
        <v>122</v>
      </c>
      <c r="J122" s="99"/>
    </row>
    <row r="123" spans="1:16" customFormat="1" x14ac:dyDescent="0.25">
      <c r="A123" s="64" t="s">
        <v>442</v>
      </c>
      <c r="B123" s="69">
        <v>50</v>
      </c>
      <c r="C123" s="69">
        <v>86</v>
      </c>
      <c r="D123" s="69">
        <v>0</v>
      </c>
      <c r="E123" s="69">
        <v>-10</v>
      </c>
      <c r="F123" s="69">
        <v>80</v>
      </c>
      <c r="G123" s="69">
        <v>-52</v>
      </c>
      <c r="J123" s="99"/>
    </row>
    <row r="124" spans="1:16" customFormat="1" x14ac:dyDescent="0.25">
      <c r="A124" s="64" t="s">
        <v>443</v>
      </c>
      <c r="B124" s="69">
        <v>63</v>
      </c>
      <c r="C124" s="69">
        <v>0</v>
      </c>
      <c r="D124" s="69">
        <v>0</v>
      </c>
      <c r="E124" s="69">
        <v>0</v>
      </c>
      <c r="F124" s="69">
        <v>0</v>
      </c>
      <c r="G124" s="69">
        <v>0</v>
      </c>
      <c r="J124" s="99"/>
    </row>
    <row r="125" spans="1:16" customFormat="1" x14ac:dyDescent="0.25">
      <c r="A125" s="64" t="s">
        <v>444</v>
      </c>
      <c r="B125" s="69">
        <v>-72</v>
      </c>
      <c r="C125" s="69">
        <v>-44</v>
      </c>
      <c r="D125" s="69">
        <v>10</v>
      </c>
      <c r="E125" s="69">
        <v>19</v>
      </c>
      <c r="F125" s="69">
        <v>19</v>
      </c>
      <c r="G125" s="69">
        <v>0</v>
      </c>
      <c r="J125" s="99"/>
    </row>
    <row r="126" spans="1:16" customFormat="1" x14ac:dyDescent="0.25">
      <c r="A126" s="64" t="s">
        <v>518</v>
      </c>
      <c r="B126" s="100">
        <v>0</v>
      </c>
      <c r="C126" s="69">
        <v>917</v>
      </c>
      <c r="D126" s="100">
        <v>0</v>
      </c>
      <c r="E126" s="100">
        <v>0</v>
      </c>
      <c r="F126" s="100">
        <v>0</v>
      </c>
      <c r="G126" s="100">
        <v>0</v>
      </c>
      <c r="J126" s="99"/>
      <c r="K126" s="28"/>
      <c r="L126" s="28"/>
      <c r="M126" s="28"/>
      <c r="N126" s="28"/>
      <c r="O126" s="28"/>
      <c r="P126" s="28"/>
    </row>
    <row r="127" spans="1:16" customFormat="1" x14ac:dyDescent="0.25">
      <c r="A127" s="64" t="s">
        <v>458</v>
      </c>
      <c r="B127" s="101">
        <f t="shared" ref="B127:G127" si="87">(B60*$I$71)+B71</f>
        <v>74.652716080305652</v>
      </c>
      <c r="C127" s="101">
        <f t="shared" si="87"/>
        <v>27.172249656912186</v>
      </c>
      <c r="D127" s="101">
        <f t="shared" si="87"/>
        <v>27.941339269881212</v>
      </c>
      <c r="E127" s="101">
        <f t="shared" si="87"/>
        <v>-643.00313802009464</v>
      </c>
      <c r="F127" s="101">
        <f t="shared" si="87"/>
        <v>156.96815352076533</v>
      </c>
      <c r="G127" s="101">
        <f t="shared" si="87"/>
        <v>-304.40712763790634</v>
      </c>
      <c r="J127" s="99"/>
    </row>
    <row r="128" spans="1:16" customFormat="1" x14ac:dyDescent="0.25">
      <c r="A128" s="92" t="s">
        <v>445</v>
      </c>
      <c r="B128" s="100">
        <f>SUM(B111:B127)</f>
        <v>1520.8524330614378</v>
      </c>
      <c r="C128" s="100">
        <f t="shared" ref="C128:G128" si="88">SUM(C111:C127)</f>
        <v>2708.1722496569123</v>
      </c>
      <c r="D128" s="100">
        <f t="shared" si="88"/>
        <v>3468.9413392698812</v>
      </c>
      <c r="E128" s="100">
        <f t="shared" si="88"/>
        <v>2151.2608619799057</v>
      </c>
      <c r="F128" s="100">
        <f t="shared" si="88"/>
        <v>16640.968153520764</v>
      </c>
      <c r="G128" s="100">
        <f t="shared" si="88"/>
        <v>248.59287236209366</v>
      </c>
      <c r="J128" s="99"/>
      <c r="K128" s="28"/>
      <c r="L128" s="28"/>
      <c r="M128" s="28"/>
      <c r="N128" s="28"/>
      <c r="O128" s="28"/>
      <c r="P128" s="28"/>
    </row>
    <row r="129" spans="1:24" customFormat="1" x14ac:dyDescent="0.25">
      <c r="A129" s="64" t="s">
        <v>446</v>
      </c>
      <c r="B129" s="101">
        <f t="shared" ref="B129:G129" si="89">B128*B140</f>
        <v>334.58753527351632</v>
      </c>
      <c r="C129" s="101">
        <f t="shared" si="89"/>
        <v>595.79789492452073</v>
      </c>
      <c r="D129" s="101">
        <f t="shared" si="89"/>
        <v>763.16709463937389</v>
      </c>
      <c r="E129" s="101">
        <f t="shared" si="89"/>
        <v>473.27738963557925</v>
      </c>
      <c r="F129" s="101">
        <f t="shared" si="89"/>
        <v>3661.0129937745683</v>
      </c>
      <c r="G129" s="101">
        <f t="shared" si="89"/>
        <v>54.690431919660604</v>
      </c>
      <c r="J129" s="99"/>
      <c r="K129" s="28"/>
      <c r="L129" s="28"/>
      <c r="M129" s="28"/>
      <c r="N129" s="28"/>
      <c r="O129" s="28"/>
      <c r="P129" s="28"/>
    </row>
    <row r="130" spans="1:24" customFormat="1" x14ac:dyDescent="0.25">
      <c r="A130" s="92" t="s">
        <v>447</v>
      </c>
      <c r="B130" s="100">
        <f t="shared" ref="B130:G130" si="90">B128-B129</f>
        <v>1186.2648977879214</v>
      </c>
      <c r="C130" s="100">
        <f t="shared" si="90"/>
        <v>2112.3743547323916</v>
      </c>
      <c r="D130" s="100">
        <f t="shared" si="90"/>
        <v>2705.7742446305074</v>
      </c>
      <c r="E130" s="100">
        <f t="shared" si="90"/>
        <v>1677.9834723443264</v>
      </c>
      <c r="F130" s="100">
        <f t="shared" si="90"/>
        <v>12979.955159746196</v>
      </c>
      <c r="G130" s="100">
        <f t="shared" si="90"/>
        <v>193.90244044243306</v>
      </c>
      <c r="J130" s="99"/>
      <c r="K130" s="28"/>
      <c r="L130" s="28"/>
      <c r="M130" s="28"/>
      <c r="N130" s="28"/>
      <c r="O130" s="28"/>
      <c r="P130" s="28"/>
    </row>
    <row r="131" spans="1:24" customFormat="1" x14ac:dyDescent="0.25">
      <c r="A131" s="64" t="s">
        <v>448</v>
      </c>
      <c r="B131" s="101">
        <f>B143</f>
        <v>-54.519999999999982</v>
      </c>
      <c r="C131" s="101">
        <f t="shared" ref="C131:G131" si="91">C143</f>
        <v>308.24</v>
      </c>
      <c r="D131" s="101">
        <f t="shared" si="91"/>
        <v>442.4</v>
      </c>
      <c r="E131" s="101">
        <f t="shared" si="91"/>
        <v>142.58000000000004</v>
      </c>
      <c r="F131" s="101">
        <f t="shared" si="91"/>
        <v>1423.62</v>
      </c>
      <c r="G131" s="101">
        <f t="shared" si="91"/>
        <v>-6681</v>
      </c>
      <c r="J131" s="99"/>
      <c r="K131" s="28"/>
      <c r="L131" s="28"/>
      <c r="M131" s="28"/>
      <c r="N131" s="28"/>
      <c r="O131" s="28"/>
      <c r="P131" s="28"/>
    </row>
    <row r="132" spans="1:24" customFormat="1" x14ac:dyDescent="0.25">
      <c r="A132" s="92" t="s">
        <v>270</v>
      </c>
      <c r="B132" s="102">
        <f>SUM(B130:B131)</f>
        <v>1131.7448977879214</v>
      </c>
      <c r="C132" s="102">
        <f t="shared" ref="C132:G132" si="92">SUM(C130:C131)</f>
        <v>2420.6143547323918</v>
      </c>
      <c r="D132" s="102">
        <f t="shared" si="92"/>
        <v>3148.1742446305075</v>
      </c>
      <c r="E132" s="102">
        <f t="shared" si="92"/>
        <v>1820.5634723443263</v>
      </c>
      <c r="F132" s="102">
        <f t="shared" si="92"/>
        <v>14403.575159746197</v>
      </c>
      <c r="G132" s="102">
        <f t="shared" si="92"/>
        <v>-6487.0975595575674</v>
      </c>
      <c r="J132" s="99"/>
      <c r="K132" s="28"/>
      <c r="L132" s="28"/>
      <c r="M132" s="28"/>
      <c r="N132" s="28"/>
      <c r="O132" s="28"/>
      <c r="P132" s="28"/>
    </row>
    <row r="133" spans="1:24" customFormat="1" ht="15.75" thickBot="1" x14ac:dyDescent="0.3">
      <c r="A133" s="92" t="s">
        <v>276</v>
      </c>
      <c r="B133" s="104">
        <f t="shared" ref="B133:G133" si="93">B132+B109</f>
        <v>3494.7448977879212</v>
      </c>
      <c r="C133" s="104">
        <f t="shared" si="93"/>
        <v>3432.6143547323918</v>
      </c>
      <c r="D133" s="104">
        <f t="shared" si="93"/>
        <v>3504.1742446305075</v>
      </c>
      <c r="E133" s="104">
        <f t="shared" si="93"/>
        <v>3755.5634723443263</v>
      </c>
      <c r="F133" s="104">
        <f t="shared" si="93"/>
        <v>4211.5751597461967</v>
      </c>
      <c r="G133" s="104">
        <f t="shared" si="93"/>
        <v>4453.9024404424326</v>
      </c>
      <c r="J133" s="99">
        <f t="shared" ref="J133:J143" si="94">_xlfn.RRI(5,G133,B133)</f>
        <v>-4.7346525118876492E-2</v>
      </c>
      <c r="K133" s="28">
        <f t="shared" ref="K133:K143" si="95">AVERAGE(L133:P133)</f>
        <v>-4.6388548237486421E-2</v>
      </c>
      <c r="L133" s="28">
        <f t="shared" ref="L133:L143" si="96">(B133-C133)/C133</f>
        <v>1.81000650334847E-2</v>
      </c>
      <c r="M133" s="28">
        <f t="shared" ref="M133:M143" si="97">(C133-D133)/D133</f>
        <v>-2.0421327508975285E-2</v>
      </c>
      <c r="N133" s="28">
        <f t="shared" ref="N133:N143" si="98">(D133-E133)/E133</f>
        <v>-6.6937818935834614E-2</v>
      </c>
      <c r="O133" s="28">
        <f t="shared" ref="O133:O143" si="99">(E133-F133)/F133</f>
        <v>-0.10827580420750491</v>
      </c>
      <c r="P133" s="28">
        <f t="shared" ref="P133:P143" si="100">(F133-G133)/G133</f>
        <v>-5.4407855568602011E-2</v>
      </c>
    </row>
    <row r="134" spans="1:24" customFormat="1" ht="15.75" thickTop="1" x14ac:dyDescent="0.25">
      <c r="A134" s="64"/>
      <c r="B134" s="96"/>
      <c r="C134" s="96"/>
      <c r="D134" s="96"/>
      <c r="E134" s="96"/>
      <c r="F134" s="96"/>
      <c r="G134" s="96"/>
      <c r="J134" s="99"/>
      <c r="K134" s="28"/>
      <c r="L134" s="28"/>
      <c r="M134" s="28"/>
      <c r="N134" s="28"/>
      <c r="O134" s="28"/>
      <c r="P134" s="28"/>
    </row>
    <row r="135" spans="1:24" customFormat="1" x14ac:dyDescent="0.25">
      <c r="A135" s="64" t="s">
        <v>449</v>
      </c>
      <c r="B135" s="105">
        <f t="shared" ref="B135:G135" si="101">B79</f>
        <v>1.9133603238866397</v>
      </c>
      <c r="C135" s="105">
        <f t="shared" si="101"/>
        <v>0.81877022653721687</v>
      </c>
      <c r="D135" s="105">
        <f t="shared" si="101"/>
        <v>0.28990228013029318</v>
      </c>
      <c r="E135" s="105">
        <f t="shared" si="101"/>
        <v>1.5808823529411764</v>
      </c>
      <c r="F135" s="105">
        <f t="shared" si="101"/>
        <v>-8.3609515996718624</v>
      </c>
      <c r="G135" s="105">
        <f t="shared" si="101"/>
        <v>8.9096091205211732</v>
      </c>
      <c r="J135" s="99">
        <f t="shared" si="94"/>
        <v>-0.26483026064175175</v>
      </c>
      <c r="K135" s="28">
        <f t="shared" si="95"/>
        <v>-0.15659011145761975</v>
      </c>
      <c r="L135" s="28">
        <f t="shared" si="96"/>
        <v>1.3368709094109552</v>
      </c>
      <c r="M135" s="28">
        <f t="shared" si="97"/>
        <v>1.8242972982800625</v>
      </c>
      <c r="N135" s="28">
        <f t="shared" si="98"/>
        <v>-0.81661995303386115</v>
      </c>
      <c r="O135" s="28">
        <f t="shared" si="99"/>
        <v>-1.1890792374642163</v>
      </c>
      <c r="P135" s="28">
        <f t="shared" si="100"/>
        <v>-1.9384195744810389</v>
      </c>
    </row>
    <row r="136" spans="1:24" customFormat="1" x14ac:dyDescent="0.25">
      <c r="A136" s="64" t="s">
        <v>450</v>
      </c>
      <c r="B136" s="106">
        <f>B137-B135</f>
        <v>0.91639262978779046</v>
      </c>
      <c r="C136" s="106">
        <f t="shared" ref="C136:G136" si="102">C137-C135</f>
        <v>1.9584258533433592</v>
      </c>
      <c r="D136" s="106">
        <f t="shared" si="102"/>
        <v>2.5636598083310318</v>
      </c>
      <c r="E136" s="106">
        <f t="shared" si="102"/>
        <v>1.4873884577976522</v>
      </c>
      <c r="F136" s="106">
        <f t="shared" si="102"/>
        <v>11.815894306600654</v>
      </c>
      <c r="G136" s="106">
        <f t="shared" si="102"/>
        <v>-5.2826527357960646</v>
      </c>
      <c r="J136" s="99"/>
      <c r="K136" s="28"/>
      <c r="L136" s="28"/>
      <c r="M136" s="28"/>
      <c r="N136" s="28"/>
      <c r="O136" s="28"/>
      <c r="P136" s="28"/>
    </row>
    <row r="137" spans="1:24" customFormat="1" ht="15.75" thickBot="1" x14ac:dyDescent="0.3">
      <c r="A137" s="92" t="s">
        <v>451</v>
      </c>
      <c r="B137" s="103">
        <f t="shared" ref="B137:G137" si="103">B133/B78</f>
        <v>2.8297529536744301</v>
      </c>
      <c r="C137" s="103">
        <f t="shared" si="103"/>
        <v>2.7771960798805759</v>
      </c>
      <c r="D137" s="103">
        <f t="shared" si="103"/>
        <v>2.8535620884613251</v>
      </c>
      <c r="E137" s="103">
        <f t="shared" si="103"/>
        <v>3.0682708107388286</v>
      </c>
      <c r="F137" s="103">
        <f t="shared" si="103"/>
        <v>3.4549427069287915</v>
      </c>
      <c r="G137" s="103">
        <f t="shared" si="103"/>
        <v>3.6269563847251081</v>
      </c>
      <c r="J137" s="99">
        <f t="shared" si="94"/>
        <v>-4.8428912970037374E-2</v>
      </c>
      <c r="K137" s="28">
        <f t="shared" si="95"/>
        <v>-4.7431847234634526E-2</v>
      </c>
      <c r="L137" s="28">
        <f t="shared" si="96"/>
        <v>1.8924437555779008E-2</v>
      </c>
      <c r="M137" s="28">
        <f t="shared" si="97"/>
        <v>-2.6761642541279565E-2</v>
      </c>
      <c r="N137" s="28">
        <f t="shared" si="98"/>
        <v>-6.9977109427900336E-2</v>
      </c>
      <c r="O137" s="28">
        <f t="shared" si="99"/>
        <v>-0.11191846840600371</v>
      </c>
      <c r="P137" s="28">
        <f t="shared" si="100"/>
        <v>-4.7426453353768064E-2</v>
      </c>
    </row>
    <row r="138" spans="1:24" customFormat="1" ht="15.75" thickTop="1" x14ac:dyDescent="0.25">
      <c r="A138" s="64"/>
      <c r="B138" s="96"/>
      <c r="C138" s="96"/>
      <c r="D138" s="96"/>
      <c r="E138" s="96"/>
      <c r="F138" s="96"/>
      <c r="G138" s="96"/>
      <c r="J138" s="99"/>
      <c r="K138" s="28"/>
      <c r="L138" s="28"/>
      <c r="M138" s="28"/>
      <c r="N138" s="28"/>
      <c r="O138" s="28"/>
      <c r="P138" s="28"/>
    </row>
    <row r="139" spans="1:24" customFormat="1" x14ac:dyDescent="0.25">
      <c r="A139" s="64" t="s">
        <v>452</v>
      </c>
      <c r="B139" s="95">
        <f t="shared" ref="B139:G139" si="104">B82</f>
        <v>0.20161834120026972</v>
      </c>
      <c r="C139" s="95">
        <f t="shared" si="104"/>
        <v>0.40046838407494145</v>
      </c>
      <c r="D139" s="95">
        <f t="shared" si="104"/>
        <v>0.64951456310679612</v>
      </c>
      <c r="E139" s="95">
        <f t="shared" si="104"/>
        <v>0.27358136039083053</v>
      </c>
      <c r="F139" s="95">
        <f t="shared" si="104"/>
        <v>9.4249624591467185E-2</v>
      </c>
      <c r="G139" s="95">
        <f t="shared" si="104"/>
        <v>-1.0058715596330274</v>
      </c>
      <c r="J139" s="99"/>
      <c r="K139" s="28"/>
      <c r="L139" s="28"/>
      <c r="M139" s="28"/>
      <c r="N139" s="28"/>
      <c r="O139" s="28"/>
      <c r="P139" s="28"/>
    </row>
    <row r="140" spans="1:24" customFormat="1" x14ac:dyDescent="0.25">
      <c r="A140" s="64" t="s">
        <v>453</v>
      </c>
      <c r="B140" s="94">
        <v>0.22</v>
      </c>
      <c r="C140" s="94">
        <v>0.22</v>
      </c>
      <c r="D140" s="94">
        <v>0.22</v>
      </c>
      <c r="E140" s="94">
        <v>0.22</v>
      </c>
      <c r="F140" s="94">
        <v>0.22</v>
      </c>
      <c r="G140" s="94">
        <v>0.22</v>
      </c>
      <c r="J140" s="99"/>
      <c r="K140" s="28"/>
      <c r="L140" s="28"/>
      <c r="M140" s="28"/>
      <c r="N140" s="28"/>
      <c r="O140" s="28"/>
      <c r="P140" s="28"/>
    </row>
    <row r="141" spans="1:24" customFormat="1" x14ac:dyDescent="0.25">
      <c r="A141" s="64" t="s">
        <v>454</v>
      </c>
      <c r="B141" s="65">
        <f t="shared" ref="B141:G141" si="105">B72*B140</f>
        <v>652.52</v>
      </c>
      <c r="C141" s="65">
        <f t="shared" si="105"/>
        <v>375.76</v>
      </c>
      <c r="D141" s="65">
        <f t="shared" si="105"/>
        <v>226.6</v>
      </c>
      <c r="E141" s="65">
        <f t="shared" si="105"/>
        <v>585.41999999999996</v>
      </c>
      <c r="F141" s="65">
        <f t="shared" si="105"/>
        <v>-2490.62</v>
      </c>
      <c r="G141" s="65">
        <f t="shared" si="105"/>
        <v>1199</v>
      </c>
      <c r="J141" s="99"/>
      <c r="K141" s="28"/>
      <c r="L141" s="28"/>
      <c r="M141" s="28"/>
      <c r="N141" s="28"/>
      <c r="O141" s="28"/>
      <c r="P141" s="28"/>
    </row>
    <row r="142" spans="1:24" customFormat="1" x14ac:dyDescent="0.25">
      <c r="A142" s="64" t="s">
        <v>455</v>
      </c>
      <c r="B142" s="66">
        <f t="shared" ref="B142:G142" si="106">B73</f>
        <v>598</v>
      </c>
      <c r="C142" s="66">
        <f t="shared" si="106"/>
        <v>684</v>
      </c>
      <c r="D142" s="66">
        <f t="shared" si="106"/>
        <v>669</v>
      </c>
      <c r="E142" s="66">
        <f t="shared" si="106"/>
        <v>728</v>
      </c>
      <c r="F142" s="66">
        <f t="shared" si="106"/>
        <v>-1067</v>
      </c>
      <c r="G142" s="66">
        <f t="shared" si="106"/>
        <v>-5482</v>
      </c>
      <c r="J142" s="99"/>
      <c r="K142" s="28"/>
      <c r="L142" s="28"/>
      <c r="M142" s="28"/>
      <c r="N142" s="28"/>
      <c r="O142" s="28"/>
      <c r="P142" s="28"/>
    </row>
    <row r="143" spans="1:24" customFormat="1" ht="15.75" thickBot="1" x14ac:dyDescent="0.3">
      <c r="A143" s="92" t="s">
        <v>279</v>
      </c>
      <c r="B143" s="107">
        <f>B142-B141</f>
        <v>-54.519999999999982</v>
      </c>
      <c r="C143" s="107">
        <f t="shared" ref="C143:G143" si="107">C142-C141</f>
        <v>308.24</v>
      </c>
      <c r="D143" s="107">
        <f t="shared" si="107"/>
        <v>442.4</v>
      </c>
      <c r="E143" s="107">
        <f t="shared" si="107"/>
        <v>142.58000000000004</v>
      </c>
      <c r="F143" s="107">
        <f t="shared" si="107"/>
        <v>1423.62</v>
      </c>
      <c r="G143" s="107">
        <f t="shared" si="107"/>
        <v>-6681</v>
      </c>
      <c r="J143" s="99">
        <f t="shared" si="94"/>
        <v>-0.61775406545424127</v>
      </c>
      <c r="K143" s="28">
        <f t="shared" si="95"/>
        <v>-0.29804848041975024</v>
      </c>
      <c r="L143" s="28">
        <f t="shared" si="96"/>
        <v>-1.1768751622112639</v>
      </c>
      <c r="M143" s="28">
        <f t="shared" si="97"/>
        <v>-0.30325497287522596</v>
      </c>
      <c r="N143" s="28">
        <f t="shared" si="98"/>
        <v>2.1028194697713554</v>
      </c>
      <c r="O143" s="28">
        <f t="shared" si="99"/>
        <v>-0.89984686924881641</v>
      </c>
      <c r="P143" s="28">
        <f t="shared" si="100"/>
        <v>-1.2130848675348003</v>
      </c>
    </row>
    <row r="144" spans="1:24" ht="15.75" thickTop="1" x14ac:dyDescent="0.25">
      <c r="J144" s="28"/>
      <c r="K144" s="28"/>
      <c r="L144" s="28"/>
      <c r="M144" s="28"/>
      <c r="N144" s="28"/>
      <c r="O144" s="28"/>
      <c r="P144" s="28"/>
      <c r="R144" s="28"/>
      <c r="S144" s="28"/>
      <c r="T144" s="28"/>
      <c r="U144" s="28"/>
      <c r="V144" s="28"/>
      <c r="W144" s="28"/>
      <c r="X144" s="28"/>
    </row>
    <row r="145" spans="1:24" s="15" customFormat="1" x14ac:dyDescent="0.25">
      <c r="A145" s="15" t="str">
        <f>+A1</f>
        <v>Kraft Heinz Company</v>
      </c>
      <c r="B145" s="15" t="str">
        <f>+B1</f>
        <v>Reclassified</v>
      </c>
      <c r="J145" s="15" t="str">
        <f>+B145</f>
        <v>Reclassified</v>
      </c>
      <c r="R145" s="15" t="str">
        <f>+B145</f>
        <v>Reclassified</v>
      </c>
    </row>
    <row r="146" spans="1:24" s="15" customFormat="1" x14ac:dyDescent="0.25">
      <c r="A146" s="15" t="s">
        <v>64</v>
      </c>
      <c r="J146" s="15" t="s">
        <v>138</v>
      </c>
      <c r="R146" s="15" t="s">
        <v>131</v>
      </c>
    </row>
    <row r="147" spans="1:24" s="15" customFormat="1" x14ac:dyDescent="0.25">
      <c r="A147" s="15" t="str">
        <f>+A3</f>
        <v>in millions except per share data</v>
      </c>
      <c r="F147" s="15" t="s">
        <v>150</v>
      </c>
      <c r="G147" s="16" t="s">
        <v>125</v>
      </c>
      <c r="H147" s="16"/>
      <c r="O147" s="16" t="s">
        <v>125</v>
      </c>
      <c r="P147" s="16"/>
      <c r="R147" s="15" t="s">
        <v>127</v>
      </c>
      <c r="S147" s="15" t="s">
        <v>129</v>
      </c>
      <c r="T147" s="15" t="s">
        <v>132</v>
      </c>
      <c r="U147" s="15" t="s">
        <v>133</v>
      </c>
      <c r="V147" s="15" t="s">
        <v>134</v>
      </c>
      <c r="W147" s="15" t="s">
        <v>135</v>
      </c>
      <c r="X147" s="15" t="s">
        <v>136</v>
      </c>
    </row>
    <row r="148" spans="1:24" s="15" customFormat="1" ht="15.75" thickBot="1" x14ac:dyDescent="0.3">
      <c r="A148" s="16" t="str">
        <f>+A4</f>
        <v>Year ended near 12/31:</v>
      </c>
      <c r="B148" s="17">
        <v>2022</v>
      </c>
      <c r="C148" s="17">
        <v>2021</v>
      </c>
      <c r="D148" s="17">
        <v>2020</v>
      </c>
      <c r="E148" s="17">
        <v>2019</v>
      </c>
      <c r="F148" s="17">
        <v>2018</v>
      </c>
      <c r="G148" s="17">
        <v>2017</v>
      </c>
      <c r="H148" s="17" t="s">
        <v>157</v>
      </c>
      <c r="J148" s="17">
        <v>2022</v>
      </c>
      <c r="K148" s="17">
        <v>2021</v>
      </c>
      <c r="L148" s="17">
        <v>2020</v>
      </c>
      <c r="M148" s="17">
        <v>2019</v>
      </c>
      <c r="N148" s="17">
        <v>2018</v>
      </c>
      <c r="O148" s="17">
        <v>2017</v>
      </c>
      <c r="P148" s="22"/>
      <c r="R148" s="29" t="s">
        <v>128</v>
      </c>
      <c r="S148" s="29" t="s">
        <v>130</v>
      </c>
      <c r="T148" s="17">
        <v>2022</v>
      </c>
      <c r="U148" s="17">
        <v>2021</v>
      </c>
      <c r="V148" s="17">
        <v>2020</v>
      </c>
      <c r="W148" s="17">
        <v>2019</v>
      </c>
      <c r="X148" s="17">
        <v>2018</v>
      </c>
    </row>
    <row r="149" spans="1:24" x14ac:dyDescent="0.25">
      <c r="A149" s="2" t="s">
        <v>188</v>
      </c>
      <c r="B149" s="8">
        <f>+'Phase 2'!B68</f>
        <v>2368</v>
      </c>
      <c r="C149" s="8">
        <f>+'Phase 2'!C68</f>
        <v>1024</v>
      </c>
      <c r="D149" s="8">
        <f>+'Phase 2'!D68</f>
        <v>361</v>
      </c>
      <c r="E149" s="8">
        <f>+'Phase 2'!E68</f>
        <v>1933</v>
      </c>
      <c r="F149" s="8">
        <f>+'Phase 2'!F68</f>
        <v>-10254</v>
      </c>
      <c r="G149" s="8">
        <f>+'Phase 2'!G68</f>
        <v>10932</v>
      </c>
      <c r="H149" s="8">
        <f t="shared" ref="H149:H162" si="108">SUM(B149:G149)</f>
        <v>6364</v>
      </c>
      <c r="J149" s="28"/>
      <c r="K149" s="28"/>
      <c r="L149" s="28"/>
      <c r="M149" s="28"/>
      <c r="N149" s="28"/>
      <c r="O149" s="28"/>
      <c r="P149" s="28"/>
      <c r="R149" s="28">
        <f t="shared" ref="R149:R169" si="109">RATE(5,0,-G149,B149)</f>
        <v>-0.26356161826246205</v>
      </c>
      <c r="S149" s="28">
        <f t="shared" si="56"/>
        <v>-0.15813412150269723</v>
      </c>
      <c r="T149" s="28">
        <f t="shared" ref="T149:T169" si="110">(+B149-C149)/C149</f>
        <v>1.3125</v>
      </c>
      <c r="U149" s="28">
        <f t="shared" ref="U149:U169" si="111">(+C149-D149)/D149</f>
        <v>1.8365650969529086</v>
      </c>
      <c r="V149" s="28">
        <f t="shared" ref="V149:V169" si="112">(+D149-E149)/E149</f>
        <v>-0.81324366270046555</v>
      </c>
      <c r="W149" s="28">
        <f t="shared" ref="W149:W169" si="113">(+E149-F149)/F149</f>
        <v>-1.1885118002730641</v>
      </c>
      <c r="X149" s="28">
        <f t="shared" ref="X149:X169" si="114">(+F149-G149)/G149</f>
        <v>-1.9379802414928651</v>
      </c>
    </row>
    <row r="150" spans="1:24" x14ac:dyDescent="0.25">
      <c r="A150" s="5" t="s">
        <v>66</v>
      </c>
      <c r="B150" s="2">
        <v>933</v>
      </c>
      <c r="C150" s="2">
        <v>910</v>
      </c>
      <c r="D150" s="2">
        <v>969</v>
      </c>
      <c r="E150" s="2">
        <v>994</v>
      </c>
      <c r="F150" s="2">
        <v>983</v>
      </c>
      <c r="G150" s="2">
        <v>1031</v>
      </c>
      <c r="H150" s="2">
        <f t="shared" si="108"/>
        <v>5820</v>
      </c>
      <c r="J150" s="28"/>
      <c r="K150" s="28"/>
      <c r="L150" s="28"/>
      <c r="M150" s="28"/>
      <c r="N150" s="28"/>
      <c r="O150" s="28"/>
      <c r="P150" s="28"/>
      <c r="R150" s="28">
        <f t="shared" si="109"/>
        <v>-1.9777661112159107E-2</v>
      </c>
      <c r="S150" s="28">
        <f t="shared" si="56"/>
        <v>-1.9226040021655122E-2</v>
      </c>
      <c r="T150" s="28">
        <f t="shared" si="110"/>
        <v>2.5274725274725275E-2</v>
      </c>
      <c r="U150" s="28">
        <f t="shared" si="111"/>
        <v>-6.0887512899896801E-2</v>
      </c>
      <c r="V150" s="28">
        <f t="shared" si="112"/>
        <v>-2.5150905432595575E-2</v>
      </c>
      <c r="W150" s="28">
        <f t="shared" si="113"/>
        <v>1.1190233977619531E-2</v>
      </c>
      <c r="X150" s="28">
        <f t="shared" si="114"/>
        <v>-4.6556741028128033E-2</v>
      </c>
    </row>
    <row r="151" spans="1:24" x14ac:dyDescent="0.25">
      <c r="A151" s="5" t="s">
        <v>67</v>
      </c>
      <c r="B151" s="2">
        <v>-14</v>
      </c>
      <c r="C151" s="2">
        <v>-7</v>
      </c>
      <c r="D151" s="2">
        <v>-122</v>
      </c>
      <c r="E151" s="2">
        <v>-306</v>
      </c>
      <c r="F151" s="2">
        <v>-339</v>
      </c>
      <c r="G151" s="2">
        <v>-328</v>
      </c>
      <c r="H151" s="2">
        <f t="shared" si="108"/>
        <v>-1116</v>
      </c>
      <c r="J151" s="28"/>
      <c r="K151" s="28"/>
      <c r="L151" s="28"/>
      <c r="M151" s="28"/>
      <c r="N151" s="28"/>
      <c r="O151" s="28"/>
      <c r="P151" s="28"/>
      <c r="R151" s="28">
        <f t="shared" si="109"/>
        <v>-0.46782944863591575</v>
      </c>
      <c r="S151" s="28">
        <f t="shared" si="56"/>
        <v>-0.12154773754793299</v>
      </c>
      <c r="T151" s="28">
        <f t="shared" si="110"/>
        <v>1</v>
      </c>
      <c r="U151" s="28">
        <f t="shared" si="111"/>
        <v>-0.94262295081967218</v>
      </c>
      <c r="V151" s="28">
        <f t="shared" si="112"/>
        <v>-0.60130718954248363</v>
      </c>
      <c r="W151" s="28">
        <f t="shared" si="113"/>
        <v>-9.7345132743362831E-2</v>
      </c>
      <c r="X151" s="28">
        <f t="shared" si="114"/>
        <v>3.3536585365853661E-2</v>
      </c>
    </row>
    <row r="152" spans="1:24" x14ac:dyDescent="0.25">
      <c r="A152" s="5" t="s">
        <v>193</v>
      </c>
      <c r="B152" s="2">
        <v>-56</v>
      </c>
      <c r="C152" s="2">
        <v>-4</v>
      </c>
      <c r="D152" s="2">
        <v>0</v>
      </c>
      <c r="E152" s="2">
        <v>0</v>
      </c>
      <c r="F152" s="2">
        <v>0</v>
      </c>
      <c r="G152" s="2">
        <v>0</v>
      </c>
      <c r="H152" s="2">
        <f t="shared" si="108"/>
        <v>-60</v>
      </c>
      <c r="J152" s="28"/>
      <c r="K152" s="28"/>
      <c r="L152" s="28"/>
      <c r="M152" s="28"/>
      <c r="N152" s="28"/>
      <c r="O152" s="28"/>
      <c r="P152" s="28"/>
      <c r="R152" s="28" t="e">
        <f t="shared" si="109"/>
        <v>#NUM!</v>
      </c>
      <c r="S152" s="28" t="e">
        <f t="shared" si="56"/>
        <v>#DIV/0!</v>
      </c>
      <c r="T152" s="28">
        <f t="shared" si="110"/>
        <v>13</v>
      </c>
      <c r="U152" s="28" t="e">
        <f t="shared" si="111"/>
        <v>#DIV/0!</v>
      </c>
      <c r="V152" s="28" t="e">
        <f t="shared" si="112"/>
        <v>#DIV/0!</v>
      </c>
      <c r="W152" s="28" t="e">
        <f t="shared" si="113"/>
        <v>#DIV/0!</v>
      </c>
      <c r="X152" s="28" t="e">
        <f t="shared" si="114"/>
        <v>#DIV/0!</v>
      </c>
    </row>
    <row r="153" spans="1:24" x14ac:dyDescent="0.25">
      <c r="A153" s="5" t="s">
        <v>68</v>
      </c>
      <c r="B153" s="2">
        <v>148</v>
      </c>
      <c r="C153" s="2">
        <v>197</v>
      </c>
      <c r="D153" s="2">
        <v>156</v>
      </c>
      <c r="E153" s="2">
        <v>46</v>
      </c>
      <c r="F153" s="2">
        <v>33</v>
      </c>
      <c r="G153" s="2">
        <v>46</v>
      </c>
      <c r="H153" s="2">
        <f t="shared" si="108"/>
        <v>626</v>
      </c>
      <c r="J153" s="28"/>
      <c r="K153" s="28"/>
      <c r="L153" s="28"/>
      <c r="M153" s="28"/>
      <c r="N153" s="28"/>
      <c r="O153" s="28"/>
      <c r="P153" s="28"/>
      <c r="R153" s="28">
        <f t="shared" si="109"/>
        <v>0.2632833632037212</v>
      </c>
      <c r="S153" s="28">
        <f t="shared" si="56"/>
        <v>0.50334491889336297</v>
      </c>
      <c r="T153" s="28">
        <f t="shared" si="110"/>
        <v>-0.24873096446700507</v>
      </c>
      <c r="U153" s="28">
        <f t="shared" si="111"/>
        <v>0.26282051282051283</v>
      </c>
      <c r="V153" s="28">
        <f t="shared" si="112"/>
        <v>2.3913043478260869</v>
      </c>
      <c r="W153" s="28">
        <f t="shared" si="113"/>
        <v>0.39393939393939392</v>
      </c>
      <c r="X153" s="28">
        <f t="shared" si="114"/>
        <v>-0.28260869565217389</v>
      </c>
    </row>
    <row r="154" spans="1:24" x14ac:dyDescent="0.25">
      <c r="A154" s="5" t="s">
        <v>28</v>
      </c>
      <c r="B154" s="2">
        <v>-278</v>
      </c>
      <c r="C154" s="2">
        <v>-1042</v>
      </c>
      <c r="D154" s="2">
        <v>-343</v>
      </c>
      <c r="E154" s="2">
        <v>-293</v>
      </c>
      <c r="F154" s="2">
        <v>-1967</v>
      </c>
      <c r="G154" s="2">
        <v>-6495</v>
      </c>
      <c r="H154" s="2">
        <f t="shared" si="108"/>
        <v>-10418</v>
      </c>
      <c r="J154" s="28"/>
      <c r="K154" s="28"/>
      <c r="L154" s="28"/>
      <c r="M154" s="28"/>
      <c r="N154" s="28"/>
      <c r="O154" s="28"/>
      <c r="P154" s="28"/>
      <c r="R154" s="28">
        <f t="shared" si="109"/>
        <v>-0.46753247175287116</v>
      </c>
      <c r="S154" s="28">
        <f t="shared" si="56"/>
        <v>-1.4569977367617493E-2</v>
      </c>
      <c r="T154" s="28">
        <f t="shared" si="110"/>
        <v>-0.73320537428023036</v>
      </c>
      <c r="U154" s="28">
        <f t="shared" si="111"/>
        <v>2.0379008746355685</v>
      </c>
      <c r="V154" s="28">
        <f t="shared" si="112"/>
        <v>0.17064846416382254</v>
      </c>
      <c r="W154" s="28">
        <f t="shared" si="113"/>
        <v>-0.85104219623792576</v>
      </c>
      <c r="X154" s="28">
        <f t="shared" si="114"/>
        <v>-0.69715165511932253</v>
      </c>
    </row>
    <row r="155" spans="1:24" x14ac:dyDescent="0.25">
      <c r="A155" s="5" t="s">
        <v>69</v>
      </c>
      <c r="B155" s="2">
        <v>-23</v>
      </c>
      <c r="C155" s="2">
        <v>-27</v>
      </c>
      <c r="D155" s="2">
        <v>-27</v>
      </c>
      <c r="E155" s="2">
        <v>-32</v>
      </c>
      <c r="F155" s="2">
        <v>-76</v>
      </c>
      <c r="G155" s="2">
        <v>-1659</v>
      </c>
      <c r="H155" s="2">
        <f t="shared" si="108"/>
        <v>-1844</v>
      </c>
      <c r="J155" s="28"/>
      <c r="K155" s="28"/>
      <c r="L155" s="28"/>
      <c r="M155" s="28"/>
      <c r="N155" s="28"/>
      <c r="O155" s="28"/>
      <c r="P155" s="28"/>
      <c r="R155" s="28">
        <f t="shared" si="109"/>
        <v>-0.57501236935767197</v>
      </c>
      <c r="S155" s="28">
        <f t="shared" si="56"/>
        <v>-0.36750695744283352</v>
      </c>
      <c r="T155" s="28">
        <f t="shared" si="110"/>
        <v>-0.14814814814814814</v>
      </c>
      <c r="U155" s="28">
        <f t="shared" si="111"/>
        <v>0</v>
      </c>
      <c r="V155" s="28">
        <f t="shared" si="112"/>
        <v>-0.15625</v>
      </c>
      <c r="W155" s="28">
        <f t="shared" si="113"/>
        <v>-0.57894736842105265</v>
      </c>
      <c r="X155" s="28">
        <f t="shared" si="114"/>
        <v>-0.95418927064496684</v>
      </c>
    </row>
    <row r="156" spans="1:24" x14ac:dyDescent="0.25">
      <c r="A156" s="5" t="s">
        <v>70</v>
      </c>
      <c r="B156" s="2">
        <v>913</v>
      </c>
      <c r="C156" s="2">
        <v>1634</v>
      </c>
      <c r="D156" s="2">
        <v>3399</v>
      </c>
      <c r="E156" s="2">
        <v>1899</v>
      </c>
      <c r="F156" s="2">
        <v>15936</v>
      </c>
      <c r="G156" s="2">
        <v>49</v>
      </c>
      <c r="H156" s="2">
        <f t="shared" si="108"/>
        <v>23830</v>
      </c>
      <c r="J156" s="28"/>
      <c r="K156" s="28"/>
      <c r="L156" s="28"/>
      <c r="M156" s="28"/>
      <c r="N156" s="28"/>
      <c r="O156" s="28"/>
      <c r="P156" s="28"/>
      <c r="R156" s="28">
        <f t="shared" si="109"/>
        <v>0.79496068015980603</v>
      </c>
      <c r="S156" s="28">
        <f>AVERAGE(T156:X156)</f>
        <v>64.634604904875033</v>
      </c>
      <c r="T156" s="28">
        <f t="shared" si="110"/>
        <v>-0.44124847001223988</v>
      </c>
      <c r="U156" s="28">
        <f t="shared" si="111"/>
        <v>-0.51927037363930573</v>
      </c>
      <c r="V156" s="28">
        <f t="shared" si="112"/>
        <v>0.78988941548183256</v>
      </c>
      <c r="W156" s="28">
        <f t="shared" si="113"/>
        <v>-0.88083584337349397</v>
      </c>
      <c r="X156" s="28">
        <f t="shared" si="114"/>
        <v>324.22448979591837</v>
      </c>
    </row>
    <row r="157" spans="1:24" x14ac:dyDescent="0.25">
      <c r="A157" s="5" t="s">
        <v>71</v>
      </c>
      <c r="B157" s="2">
        <v>17</v>
      </c>
      <c r="C157" s="2">
        <v>0</v>
      </c>
      <c r="D157" s="2">
        <v>6</v>
      </c>
      <c r="E157" s="2">
        <v>10</v>
      </c>
      <c r="F157" s="2">
        <v>146</v>
      </c>
      <c r="G157" s="2">
        <v>36</v>
      </c>
      <c r="H157" s="2">
        <f t="shared" si="108"/>
        <v>215</v>
      </c>
      <c r="J157" s="28"/>
      <c r="K157" s="28"/>
      <c r="L157" s="28"/>
      <c r="M157" s="28"/>
      <c r="N157" s="28"/>
      <c r="O157" s="28"/>
      <c r="P157" s="28"/>
      <c r="R157" s="28">
        <f t="shared" si="109"/>
        <v>-0.13934462747481444</v>
      </c>
      <c r="S157" s="28" t="e">
        <f t="shared" si="56"/>
        <v>#DIV/0!</v>
      </c>
      <c r="T157" s="28" t="e">
        <f t="shared" si="110"/>
        <v>#DIV/0!</v>
      </c>
      <c r="U157" s="28">
        <f t="shared" si="111"/>
        <v>-1</v>
      </c>
      <c r="V157" s="28">
        <f t="shared" si="112"/>
        <v>-0.4</v>
      </c>
      <c r="W157" s="28">
        <f t="shared" si="113"/>
        <v>-0.93150684931506844</v>
      </c>
      <c r="X157" s="28">
        <f t="shared" si="114"/>
        <v>3.0555555555555554</v>
      </c>
    </row>
    <row r="158" spans="1:24" x14ac:dyDescent="0.25">
      <c r="A158" s="5" t="s">
        <v>72</v>
      </c>
      <c r="B158" s="2">
        <v>-25</v>
      </c>
      <c r="C158" s="2">
        <v>-44</v>
      </c>
      <c r="D158" s="2">
        <v>2</v>
      </c>
      <c r="E158" s="2">
        <v>-420</v>
      </c>
      <c r="F158" s="2">
        <v>15</v>
      </c>
      <c r="G158" s="2">
        <v>0</v>
      </c>
      <c r="H158" s="2">
        <f t="shared" si="108"/>
        <v>-472</v>
      </c>
      <c r="J158" s="28"/>
      <c r="K158" s="28"/>
      <c r="L158" s="28"/>
      <c r="M158" s="28"/>
      <c r="N158" s="28"/>
      <c r="O158" s="28"/>
      <c r="P158" s="28"/>
      <c r="R158" s="28" t="e">
        <f t="shared" si="109"/>
        <v>#NUM!</v>
      </c>
      <c r="S158" s="28" t="e">
        <f t="shared" si="56"/>
        <v>#DIV/0!</v>
      </c>
      <c r="T158" s="28">
        <f t="shared" si="110"/>
        <v>-0.43181818181818182</v>
      </c>
      <c r="U158" s="28">
        <f t="shared" si="111"/>
        <v>-23</v>
      </c>
      <c r="V158" s="28">
        <f t="shared" si="112"/>
        <v>-1.0047619047619047</v>
      </c>
      <c r="W158" s="28">
        <f t="shared" si="113"/>
        <v>-29</v>
      </c>
      <c r="X158" s="28" t="e">
        <f t="shared" si="114"/>
        <v>#DIV/0!</v>
      </c>
    </row>
    <row r="159" spans="1:24" x14ac:dyDescent="0.25">
      <c r="A159" s="5" t="s">
        <v>194</v>
      </c>
      <c r="B159" s="2">
        <v>0</v>
      </c>
      <c r="C159" s="2">
        <v>1587</v>
      </c>
      <c r="D159" s="2">
        <v>0</v>
      </c>
      <c r="E159" s="2">
        <v>0</v>
      </c>
      <c r="F159" s="2">
        <v>0</v>
      </c>
      <c r="G159" s="2">
        <v>0</v>
      </c>
      <c r="H159" s="2">
        <f t="shared" si="108"/>
        <v>1587</v>
      </c>
      <c r="J159" s="28"/>
      <c r="K159" s="28"/>
      <c r="L159" s="28"/>
      <c r="M159" s="28"/>
      <c r="N159" s="28"/>
      <c r="O159" s="28"/>
      <c r="P159" s="28"/>
      <c r="R159" s="28" t="e">
        <f t="shared" si="109"/>
        <v>#NUM!</v>
      </c>
      <c r="S159" s="28" t="e">
        <f t="shared" si="56"/>
        <v>#DIV/0!</v>
      </c>
      <c r="T159" s="28">
        <f t="shared" si="110"/>
        <v>-1</v>
      </c>
      <c r="U159" s="28" t="e">
        <f t="shared" si="111"/>
        <v>#DIV/0!</v>
      </c>
      <c r="V159" s="28" t="e">
        <f t="shared" si="112"/>
        <v>#DIV/0!</v>
      </c>
      <c r="W159" s="28" t="e">
        <f t="shared" si="113"/>
        <v>#DIV/0!</v>
      </c>
      <c r="X159" s="28" t="e">
        <f t="shared" si="114"/>
        <v>#DIV/0!</v>
      </c>
    </row>
    <row r="160" spans="1:24" x14ac:dyDescent="0.25">
      <c r="A160" s="5" t="s">
        <v>74</v>
      </c>
      <c r="B160" s="2">
        <v>-38</v>
      </c>
      <c r="C160" s="2">
        <v>917</v>
      </c>
      <c r="D160" s="2">
        <v>124</v>
      </c>
      <c r="E160" s="2">
        <v>0</v>
      </c>
      <c r="F160" s="2">
        <v>0</v>
      </c>
      <c r="G160" s="2">
        <v>0</v>
      </c>
      <c r="H160" s="2">
        <f t="shared" si="108"/>
        <v>1003</v>
      </c>
      <c r="J160" s="28"/>
      <c r="K160" s="28"/>
      <c r="L160" s="28"/>
      <c r="M160" s="28"/>
      <c r="N160" s="28"/>
      <c r="O160" s="28"/>
      <c r="P160" s="28"/>
      <c r="R160" s="28" t="e">
        <f t="shared" si="109"/>
        <v>#NUM!</v>
      </c>
      <c r="S160" s="28" t="e">
        <f t="shared" si="56"/>
        <v>#DIV/0!</v>
      </c>
      <c r="T160" s="28">
        <f t="shared" si="110"/>
        <v>-1.0414394765539803</v>
      </c>
      <c r="U160" s="28">
        <f t="shared" si="111"/>
        <v>6.395161290322581</v>
      </c>
      <c r="V160" s="28" t="e">
        <f t="shared" si="112"/>
        <v>#DIV/0!</v>
      </c>
      <c r="W160" s="28" t="e">
        <f t="shared" si="113"/>
        <v>#DIV/0!</v>
      </c>
      <c r="X160" s="28" t="e">
        <f t="shared" si="114"/>
        <v>#DIV/0!</v>
      </c>
    </row>
    <row r="161" spans="1:24" x14ac:dyDescent="0.25">
      <c r="A161" s="5" t="s">
        <v>75</v>
      </c>
      <c r="B161" s="2">
        <v>7</v>
      </c>
      <c r="C161" s="2">
        <v>-187</v>
      </c>
      <c r="D161" s="2">
        <v>-54</v>
      </c>
      <c r="E161" s="2">
        <v>-46</v>
      </c>
      <c r="F161" s="2">
        <v>160</v>
      </c>
      <c r="G161" s="2">
        <v>253</v>
      </c>
      <c r="H161" s="2">
        <f t="shared" si="108"/>
        <v>133</v>
      </c>
      <c r="J161" s="28"/>
      <c r="K161" s="28"/>
      <c r="L161" s="28"/>
      <c r="M161" s="28"/>
      <c r="N161" s="28"/>
      <c r="O161" s="28"/>
      <c r="P161" s="28"/>
      <c r="R161" s="30">
        <f t="shared" si="109"/>
        <v>-0.51202732470001944</v>
      </c>
      <c r="S161" s="30">
        <f t="shared" si="56"/>
        <v>-1.1129216289062849E-2</v>
      </c>
      <c r="T161" s="30">
        <f t="shared" si="110"/>
        <v>-1.0374331550802138</v>
      </c>
      <c r="U161" s="30">
        <f t="shared" si="111"/>
        <v>2.4629629629629628</v>
      </c>
      <c r="V161" s="30">
        <f t="shared" si="112"/>
        <v>0.17391304347826086</v>
      </c>
      <c r="W161" s="30">
        <f t="shared" si="113"/>
        <v>-1.2875000000000001</v>
      </c>
      <c r="X161" s="30">
        <f t="shared" si="114"/>
        <v>-0.3675889328063241</v>
      </c>
    </row>
    <row r="162" spans="1:24" x14ac:dyDescent="0.25">
      <c r="A162" s="19" t="s">
        <v>76</v>
      </c>
      <c r="B162" s="20">
        <f>SUM(B149:B161)</f>
        <v>3952</v>
      </c>
      <c r="C162" s="20">
        <f t="shared" ref="C162:G162" si="115">SUM(C149:C161)</f>
        <v>4958</v>
      </c>
      <c r="D162" s="20">
        <f t="shared" si="115"/>
        <v>4471</v>
      </c>
      <c r="E162" s="20">
        <f t="shared" si="115"/>
        <v>3785</v>
      </c>
      <c r="F162" s="20">
        <f t="shared" si="115"/>
        <v>4637</v>
      </c>
      <c r="G162" s="20">
        <f t="shared" si="115"/>
        <v>3865</v>
      </c>
      <c r="H162" s="20">
        <f t="shared" si="108"/>
        <v>25668</v>
      </c>
      <c r="J162" s="28"/>
      <c r="K162" s="28"/>
      <c r="L162" s="28"/>
      <c r="M162" s="28"/>
      <c r="N162" s="28"/>
      <c r="O162" s="28"/>
      <c r="P162" s="28"/>
      <c r="R162" s="28">
        <f t="shared" si="109"/>
        <v>4.461944531612725E-3</v>
      </c>
      <c r="S162" s="28">
        <f t="shared" si="56"/>
        <v>2.0652661175588411E-2</v>
      </c>
      <c r="T162" s="28">
        <f t="shared" si="110"/>
        <v>-0.20290439693424769</v>
      </c>
      <c r="U162" s="28">
        <f t="shared" si="111"/>
        <v>0.1089241780362335</v>
      </c>
      <c r="V162" s="28">
        <f t="shared" si="112"/>
        <v>0.18124174372523116</v>
      </c>
      <c r="W162" s="28">
        <f t="shared" si="113"/>
        <v>-0.18373948673711452</v>
      </c>
      <c r="X162" s="28">
        <f t="shared" si="114"/>
        <v>0.1997412677878396</v>
      </c>
    </row>
    <row r="163" spans="1:24" x14ac:dyDescent="0.25">
      <c r="A163" s="2" t="s">
        <v>77</v>
      </c>
      <c r="J163" s="28"/>
      <c r="K163" s="28"/>
      <c r="L163" s="28"/>
      <c r="M163" s="28"/>
      <c r="N163" s="28"/>
      <c r="O163" s="28"/>
      <c r="P163" s="28"/>
      <c r="R163" s="28" t="e">
        <f t="shared" si="109"/>
        <v>#NUM!</v>
      </c>
      <c r="S163" s="28" t="e">
        <f t="shared" si="56"/>
        <v>#DIV/0!</v>
      </c>
      <c r="T163" s="28" t="e">
        <f t="shared" si="110"/>
        <v>#DIV/0!</v>
      </c>
      <c r="U163" s="28" t="e">
        <f t="shared" si="111"/>
        <v>#DIV/0!</v>
      </c>
      <c r="V163" s="28" t="e">
        <f t="shared" si="112"/>
        <v>#DIV/0!</v>
      </c>
      <c r="W163" s="28" t="e">
        <f t="shared" si="113"/>
        <v>#DIV/0!</v>
      </c>
      <c r="X163" s="28" t="e">
        <f t="shared" si="114"/>
        <v>#DIV/0!</v>
      </c>
    </row>
    <row r="164" spans="1:24" x14ac:dyDescent="0.25">
      <c r="A164" s="5" t="s">
        <v>7</v>
      </c>
      <c r="B164" s="2">
        <v>-228</v>
      </c>
      <c r="C164" s="2">
        <v>87</v>
      </c>
      <c r="D164" s="2">
        <v>-26</v>
      </c>
      <c r="E164" s="2">
        <v>140</v>
      </c>
      <c r="F164" s="2">
        <v>-2280</v>
      </c>
      <c r="G164" s="2">
        <v>-2629</v>
      </c>
      <c r="H164" s="2">
        <f t="shared" ref="H164:H169" si="116">SUM(B164:G164)</f>
        <v>-4936</v>
      </c>
      <c r="J164" s="28"/>
      <c r="K164" s="28"/>
      <c r="L164" s="28"/>
      <c r="M164" s="28"/>
      <c r="N164" s="28"/>
      <c r="O164" s="28"/>
      <c r="P164" s="28"/>
      <c r="R164" s="28">
        <f t="shared" si="109"/>
        <v>-0.38676229142799318</v>
      </c>
      <c r="S164" s="28">
        <f t="shared" si="56"/>
        <v>-2.069342278181133</v>
      </c>
      <c r="T164" s="28">
        <f t="shared" si="110"/>
        <v>-3.6206896551724137</v>
      </c>
      <c r="U164" s="28">
        <f t="shared" si="111"/>
        <v>-4.3461538461538458</v>
      </c>
      <c r="V164" s="28">
        <f t="shared" si="112"/>
        <v>-1.1857142857142857</v>
      </c>
      <c r="W164" s="28">
        <f t="shared" si="113"/>
        <v>-1.0614035087719298</v>
      </c>
      <c r="X164" s="28">
        <f t="shared" si="114"/>
        <v>-0.13275009509319133</v>
      </c>
    </row>
    <row r="165" spans="1:24" x14ac:dyDescent="0.25">
      <c r="A165" s="5" t="s">
        <v>8</v>
      </c>
      <c r="B165" s="2">
        <v>-1121</v>
      </c>
      <c r="C165" s="2">
        <v>-144</v>
      </c>
      <c r="D165" s="2">
        <v>-249</v>
      </c>
      <c r="E165" s="2">
        <v>-277</v>
      </c>
      <c r="F165" s="2">
        <v>-251</v>
      </c>
      <c r="G165" s="2">
        <v>-236</v>
      </c>
      <c r="H165" s="2">
        <f t="shared" si="116"/>
        <v>-2278</v>
      </c>
      <c r="J165" s="28"/>
      <c r="K165" s="28"/>
      <c r="L165" s="28"/>
      <c r="M165" s="28"/>
      <c r="N165" s="28"/>
      <c r="O165" s="28"/>
      <c r="P165" s="28"/>
      <c r="R165" s="28">
        <f t="shared" si="109"/>
        <v>0.36564783932642692</v>
      </c>
      <c r="S165" s="28">
        <f t="shared" si="56"/>
        <v>1.2858194844295423</v>
      </c>
      <c r="T165" s="28">
        <f t="shared" si="110"/>
        <v>6.7847222222222223</v>
      </c>
      <c r="U165" s="28">
        <f t="shared" si="111"/>
        <v>-0.42168674698795183</v>
      </c>
      <c r="V165" s="28">
        <f t="shared" si="112"/>
        <v>-0.10108303249097472</v>
      </c>
      <c r="W165" s="28">
        <f t="shared" si="113"/>
        <v>0.10358565737051793</v>
      </c>
      <c r="X165" s="28">
        <f t="shared" si="114"/>
        <v>6.3559322033898302E-2</v>
      </c>
    </row>
    <row r="166" spans="1:24" x14ac:dyDescent="0.25">
      <c r="A166" s="5" t="s">
        <v>78</v>
      </c>
      <c r="B166" s="2">
        <v>152</v>
      </c>
      <c r="C166" s="2">
        <v>408</v>
      </c>
      <c r="D166" s="2">
        <v>207</v>
      </c>
      <c r="E166" s="2">
        <v>-58</v>
      </c>
      <c r="F166" s="2">
        <v>-23</v>
      </c>
      <c r="G166" s="2">
        <v>441</v>
      </c>
      <c r="H166" s="2">
        <f t="shared" si="116"/>
        <v>1127</v>
      </c>
      <c r="J166" s="28"/>
      <c r="K166" s="28"/>
      <c r="L166" s="28"/>
      <c r="M166" s="28"/>
      <c r="N166" s="28"/>
      <c r="O166" s="28"/>
      <c r="P166" s="28"/>
      <c r="R166" s="28">
        <f t="shared" si="109"/>
        <v>-0.19187042718273711</v>
      </c>
      <c r="S166" s="28">
        <f t="shared" si="56"/>
        <v>-0.75116341389129349</v>
      </c>
      <c r="T166" s="28">
        <f t="shared" si="110"/>
        <v>-0.62745098039215685</v>
      </c>
      <c r="U166" s="28">
        <f t="shared" si="111"/>
        <v>0.97101449275362317</v>
      </c>
      <c r="V166" s="28">
        <f t="shared" si="112"/>
        <v>-4.568965517241379</v>
      </c>
      <c r="W166" s="28">
        <f t="shared" si="113"/>
        <v>1.5217391304347827</v>
      </c>
      <c r="X166" s="28">
        <f t="shared" si="114"/>
        <v>-1.0521541950113378</v>
      </c>
    </row>
    <row r="167" spans="1:24" x14ac:dyDescent="0.25">
      <c r="A167" s="5" t="s">
        <v>10</v>
      </c>
      <c r="B167" s="2">
        <v>-314</v>
      </c>
      <c r="C167" s="2">
        <v>-32</v>
      </c>
      <c r="D167" s="2">
        <v>40</v>
      </c>
      <c r="E167" s="2">
        <v>52</v>
      </c>
      <c r="F167" s="2">
        <v>-146</v>
      </c>
      <c r="G167" s="2">
        <v>-64</v>
      </c>
      <c r="H167" s="2">
        <f t="shared" si="116"/>
        <v>-464</v>
      </c>
      <c r="J167" s="28"/>
      <c r="K167" s="28"/>
      <c r="L167" s="28"/>
      <c r="M167" s="28"/>
      <c r="N167" s="28"/>
      <c r="O167" s="28"/>
      <c r="P167" s="28"/>
      <c r="R167" s="28">
        <f t="shared" si="109"/>
        <v>0.37451642796623941</v>
      </c>
      <c r="S167" s="28">
        <f t="shared" si="56"/>
        <v>1.3413632771338251</v>
      </c>
      <c r="T167" s="28">
        <f t="shared" si="110"/>
        <v>8.8125</v>
      </c>
      <c r="U167" s="28">
        <f t="shared" si="111"/>
        <v>-1.8</v>
      </c>
      <c r="V167" s="28">
        <f t="shared" si="112"/>
        <v>-0.23076923076923078</v>
      </c>
      <c r="W167" s="28">
        <f t="shared" si="113"/>
        <v>-1.3561643835616439</v>
      </c>
      <c r="X167" s="28">
        <f t="shared" si="114"/>
        <v>1.28125</v>
      </c>
    </row>
    <row r="168" spans="1:24" x14ac:dyDescent="0.25">
      <c r="A168" s="5" t="s">
        <v>24</v>
      </c>
      <c r="B168" s="2">
        <v>28</v>
      </c>
      <c r="C168" s="2">
        <v>87</v>
      </c>
      <c r="D168" s="2">
        <v>486</v>
      </c>
      <c r="E168" s="2">
        <v>-90</v>
      </c>
      <c r="F168" s="2">
        <v>637</v>
      </c>
      <c r="G168" s="2">
        <v>-876</v>
      </c>
      <c r="H168" s="2">
        <f t="shared" si="116"/>
        <v>272</v>
      </c>
      <c r="J168" s="28"/>
      <c r="K168" s="28"/>
      <c r="L168" s="28"/>
      <c r="M168" s="28"/>
      <c r="N168" s="28"/>
      <c r="O168" s="28"/>
      <c r="P168" s="28"/>
      <c r="R168" s="28" t="e">
        <f t="shared" si="109"/>
        <v>#NUM!</v>
      </c>
      <c r="S168" s="28">
        <f t="shared" si="56"/>
        <v>-2.1535209615554671</v>
      </c>
      <c r="T168" s="28">
        <f t="shared" si="110"/>
        <v>-0.67816091954022983</v>
      </c>
      <c r="U168" s="28">
        <f t="shared" si="111"/>
        <v>-0.82098765432098764</v>
      </c>
      <c r="V168" s="28">
        <f t="shared" si="112"/>
        <v>-6.4</v>
      </c>
      <c r="W168" s="28">
        <f t="shared" si="113"/>
        <v>-1.141287284144427</v>
      </c>
      <c r="X168" s="28">
        <f t="shared" si="114"/>
        <v>-1.7271689497716896</v>
      </c>
    </row>
    <row r="169" spans="1:24" x14ac:dyDescent="0.25">
      <c r="A169" s="2" t="s">
        <v>79</v>
      </c>
      <c r="B169" s="10">
        <f>SUM(B162:B168)</f>
        <v>2469</v>
      </c>
      <c r="C169" s="10">
        <f t="shared" ref="C169:G169" si="117">SUM(C162:C168)</f>
        <v>5364</v>
      </c>
      <c r="D169" s="10">
        <f t="shared" si="117"/>
        <v>4929</v>
      </c>
      <c r="E169" s="10">
        <f t="shared" si="117"/>
        <v>3552</v>
      </c>
      <c r="F169" s="10">
        <f t="shared" si="117"/>
        <v>2574</v>
      </c>
      <c r="G169" s="10">
        <f t="shared" si="117"/>
        <v>501</v>
      </c>
      <c r="H169" s="10">
        <f t="shared" si="116"/>
        <v>19389</v>
      </c>
      <c r="J169" s="33">
        <f t="shared" ref="J169:O169" si="118">+B169/B$169</f>
        <v>1</v>
      </c>
      <c r="K169" s="33">
        <f t="shared" si="118"/>
        <v>1</v>
      </c>
      <c r="L169" s="33">
        <f t="shared" si="118"/>
        <v>1</v>
      </c>
      <c r="M169" s="33">
        <f t="shared" si="118"/>
        <v>1</v>
      </c>
      <c r="N169" s="33">
        <f t="shared" si="118"/>
        <v>1</v>
      </c>
      <c r="O169" s="33">
        <f t="shared" si="118"/>
        <v>1</v>
      </c>
      <c r="P169" s="33"/>
      <c r="Q169" s="10"/>
      <c r="R169" s="33">
        <f t="shared" si="109"/>
        <v>0.37574097606482232</v>
      </c>
      <c r="S169" s="33">
        <f t="shared" si="56"/>
        <v>0.89077817457706199</v>
      </c>
      <c r="T169" s="33">
        <f t="shared" si="110"/>
        <v>-0.53970917225950787</v>
      </c>
      <c r="U169" s="33">
        <f t="shared" si="111"/>
        <v>8.825319537431528E-2</v>
      </c>
      <c r="V169" s="33">
        <f t="shared" si="112"/>
        <v>0.38766891891891891</v>
      </c>
      <c r="W169" s="33">
        <f t="shared" si="113"/>
        <v>0.37995337995337997</v>
      </c>
      <c r="X169" s="33">
        <f t="shared" si="114"/>
        <v>4.1377245508982039</v>
      </c>
    </row>
    <row r="170" spans="1:24" x14ac:dyDescent="0.25">
      <c r="A170" s="2" t="s">
        <v>180</v>
      </c>
      <c r="B170" s="34"/>
      <c r="C170" s="34"/>
      <c r="D170" s="34"/>
      <c r="E170" s="34"/>
      <c r="F170" s="34"/>
      <c r="G170" s="34"/>
      <c r="H170" s="34"/>
      <c r="J170" s="37"/>
      <c r="K170" s="37"/>
      <c r="L170" s="37"/>
      <c r="M170" s="37"/>
      <c r="N170" s="37"/>
      <c r="O170" s="37"/>
      <c r="P170" s="37"/>
      <c r="Q170" s="34"/>
      <c r="R170" s="37"/>
      <c r="S170" s="37"/>
      <c r="T170" s="37"/>
      <c r="U170" s="37"/>
      <c r="V170" s="37"/>
      <c r="W170" s="37"/>
      <c r="X170" s="37"/>
    </row>
    <row r="171" spans="1:24" x14ac:dyDescent="0.25">
      <c r="A171" s="5" t="s">
        <v>181</v>
      </c>
      <c r="B171" s="36">
        <f t="shared" ref="B171:G171" si="119">+B60+B164</f>
        <v>26257</v>
      </c>
      <c r="C171" s="36">
        <f t="shared" si="119"/>
        <v>26129</v>
      </c>
      <c r="D171" s="36">
        <f t="shared" si="119"/>
        <v>26159</v>
      </c>
      <c r="E171" s="36">
        <f t="shared" si="119"/>
        <v>25117</v>
      </c>
      <c r="F171" s="36">
        <f t="shared" si="119"/>
        <v>23988</v>
      </c>
      <c r="G171" s="36">
        <f t="shared" si="119"/>
        <v>23447</v>
      </c>
      <c r="H171" s="36">
        <f t="shared" ref="H171:H180" si="120">SUM(B171:G171)</f>
        <v>151097</v>
      </c>
      <c r="I171"/>
      <c r="J171" s="37"/>
      <c r="K171" s="37"/>
      <c r="L171" s="37"/>
      <c r="M171" s="37"/>
      <c r="N171" s="37"/>
      <c r="O171" s="37"/>
      <c r="P171" s="37"/>
      <c r="Q171" s="34"/>
      <c r="R171" s="37"/>
      <c r="S171" s="37"/>
      <c r="T171" s="37"/>
      <c r="U171" s="37"/>
      <c r="V171" s="37"/>
      <c r="W171" s="37"/>
      <c r="X171" s="37"/>
    </row>
    <row r="172" spans="1:24" x14ac:dyDescent="0.25">
      <c r="A172" s="5" t="s">
        <v>182</v>
      </c>
      <c r="B172" s="34">
        <f t="shared" ref="B172:G172" si="121">-B61+B165+B166</f>
        <v>-19332</v>
      </c>
      <c r="C172" s="34">
        <f t="shared" si="121"/>
        <v>-17096</v>
      </c>
      <c r="D172" s="34">
        <f t="shared" si="121"/>
        <v>-17050</v>
      </c>
      <c r="E172" s="34">
        <f t="shared" si="121"/>
        <v>-17165</v>
      </c>
      <c r="F172" s="34">
        <f t="shared" si="121"/>
        <v>-17621</v>
      </c>
      <c r="G172" s="34">
        <f t="shared" si="121"/>
        <v>-16838</v>
      </c>
      <c r="H172" s="34">
        <f t="shared" si="120"/>
        <v>-105102</v>
      </c>
      <c r="J172" s="37"/>
      <c r="K172" s="37"/>
      <c r="L172" s="37"/>
      <c r="M172" s="37"/>
      <c r="N172" s="37"/>
      <c r="O172" s="37"/>
      <c r="P172" s="37"/>
      <c r="Q172" s="34"/>
      <c r="R172" s="37"/>
      <c r="S172" s="37"/>
      <c r="T172" s="37"/>
      <c r="U172" s="37"/>
      <c r="V172" s="37"/>
      <c r="W172" s="37"/>
      <c r="X172" s="37"/>
    </row>
    <row r="173" spans="1:24" x14ac:dyDescent="0.25">
      <c r="A173" s="5" t="s">
        <v>183</v>
      </c>
      <c r="B173" s="41">
        <f>+B171+B172</f>
        <v>6925</v>
      </c>
      <c r="C173" s="41">
        <f t="shared" ref="C173:G173" si="122">+C171+C172</f>
        <v>9033</v>
      </c>
      <c r="D173" s="6">
        <f t="shared" si="122"/>
        <v>9109</v>
      </c>
      <c r="E173" s="6">
        <f t="shared" si="122"/>
        <v>7952</v>
      </c>
      <c r="F173" s="6">
        <f t="shared" si="122"/>
        <v>6367</v>
      </c>
      <c r="G173" s="6">
        <f t="shared" si="122"/>
        <v>6609</v>
      </c>
      <c r="H173" s="6">
        <f t="shared" si="120"/>
        <v>45995</v>
      </c>
      <c r="J173" s="37"/>
      <c r="K173" s="37"/>
      <c r="L173" s="37"/>
      <c r="M173" s="37"/>
      <c r="N173" s="37"/>
      <c r="O173" s="37"/>
      <c r="P173" s="37"/>
      <c r="Q173" s="34"/>
      <c r="R173" s="37"/>
      <c r="S173" s="37"/>
      <c r="T173" s="37"/>
      <c r="U173" s="37"/>
      <c r="V173" s="37"/>
      <c r="W173" s="37"/>
      <c r="X173" s="37"/>
    </row>
    <row r="174" spans="1:24" x14ac:dyDescent="0.25">
      <c r="A174" s="5" t="s">
        <v>184</v>
      </c>
      <c r="B174" s="34">
        <f t="shared" ref="B174:G175" si="123">-B238</f>
        <v>-937</v>
      </c>
      <c r="C174" s="34">
        <f t="shared" si="123"/>
        <v>-1196</v>
      </c>
      <c r="D174" s="34">
        <f t="shared" si="123"/>
        <v>-1286</v>
      </c>
      <c r="E174" s="34">
        <f t="shared" si="123"/>
        <v>-1306</v>
      </c>
      <c r="F174" s="34">
        <f t="shared" si="123"/>
        <v>-1322</v>
      </c>
      <c r="G174" s="34">
        <f t="shared" si="123"/>
        <v>-1269</v>
      </c>
      <c r="H174" s="34">
        <f t="shared" si="120"/>
        <v>-7316</v>
      </c>
      <c r="J174" s="37"/>
      <c r="K174" s="37"/>
      <c r="L174" s="37"/>
      <c r="M174" s="37"/>
      <c r="N174" s="37"/>
      <c r="O174" s="37"/>
      <c r="P174" s="37"/>
      <c r="Q174" s="34"/>
      <c r="R174" s="37"/>
      <c r="S174" s="37"/>
      <c r="T174" s="37"/>
      <c r="U174" s="37"/>
      <c r="V174" s="37"/>
      <c r="W174" s="37"/>
      <c r="X174" s="37"/>
    </row>
    <row r="175" spans="1:24" x14ac:dyDescent="0.25">
      <c r="A175" s="5" t="s">
        <v>185</v>
      </c>
      <c r="B175" s="34">
        <f t="shared" si="123"/>
        <v>-1260</v>
      </c>
      <c r="C175" s="34">
        <f t="shared" si="123"/>
        <v>-1295</v>
      </c>
      <c r="D175" s="34">
        <f t="shared" si="123"/>
        <v>-1027</v>
      </c>
      <c r="E175" s="34">
        <f t="shared" si="123"/>
        <v>-974</v>
      </c>
      <c r="F175" s="34">
        <f t="shared" si="123"/>
        <v>-543</v>
      </c>
      <c r="G175" s="34">
        <f t="shared" si="123"/>
        <v>-1206</v>
      </c>
      <c r="H175" s="34">
        <f t="shared" si="120"/>
        <v>-6305</v>
      </c>
      <c r="J175" s="37"/>
      <c r="K175" s="37"/>
      <c r="L175" s="37"/>
      <c r="M175" s="37"/>
      <c r="N175" s="37"/>
      <c r="O175" s="37"/>
      <c r="P175" s="37"/>
      <c r="Q175" s="34"/>
      <c r="R175" s="37"/>
      <c r="S175" s="37"/>
      <c r="T175" s="37"/>
      <c r="U175" s="37"/>
      <c r="V175" s="37"/>
      <c r="W175" s="37"/>
      <c r="X175" s="37"/>
    </row>
    <row r="176" spans="1:24" x14ac:dyDescent="0.25">
      <c r="A176" s="5" t="s">
        <v>192</v>
      </c>
      <c r="B176" s="34">
        <f>+B159</f>
        <v>0</v>
      </c>
      <c r="C176" s="38">
        <f t="shared" ref="C176:G176" si="124">+C159</f>
        <v>1587</v>
      </c>
      <c r="D176" s="34">
        <f t="shared" si="124"/>
        <v>0</v>
      </c>
      <c r="E176" s="34">
        <f t="shared" si="124"/>
        <v>0</v>
      </c>
      <c r="F176" s="34">
        <f t="shared" si="124"/>
        <v>0</v>
      </c>
      <c r="G176" s="34">
        <f t="shared" si="124"/>
        <v>0</v>
      </c>
      <c r="H176" s="34">
        <f t="shared" si="120"/>
        <v>1587</v>
      </c>
      <c r="J176" s="37"/>
      <c r="K176" s="37"/>
      <c r="L176" s="37"/>
      <c r="M176" s="37"/>
      <c r="N176" s="37"/>
      <c r="O176" s="37"/>
      <c r="P176" s="37"/>
      <c r="Q176" s="34"/>
      <c r="R176" s="37"/>
      <c r="S176" s="37"/>
      <c r="T176" s="37"/>
      <c r="U176" s="37"/>
      <c r="V176" s="37"/>
      <c r="W176" s="37"/>
      <c r="X176" s="37"/>
    </row>
    <row r="177" spans="1:24" x14ac:dyDescent="0.25">
      <c r="A177" s="5" t="s">
        <v>69</v>
      </c>
      <c r="B177" s="34">
        <f>+B155</f>
        <v>-23</v>
      </c>
      <c r="C177" s="34">
        <f t="shared" ref="C177:G177" si="125">+C155</f>
        <v>-27</v>
      </c>
      <c r="D177" s="34">
        <f t="shared" si="125"/>
        <v>-27</v>
      </c>
      <c r="E177" s="34">
        <f t="shared" si="125"/>
        <v>-32</v>
      </c>
      <c r="F177" s="34">
        <f t="shared" si="125"/>
        <v>-76</v>
      </c>
      <c r="G177" s="38">
        <f t="shared" si="125"/>
        <v>-1659</v>
      </c>
      <c r="H177" s="34">
        <f t="shared" si="120"/>
        <v>-1844</v>
      </c>
      <c r="J177" s="37"/>
      <c r="K177" s="37"/>
      <c r="L177" s="37"/>
      <c r="M177" s="37"/>
      <c r="N177" s="37"/>
      <c r="O177" s="37"/>
      <c r="P177" s="37"/>
      <c r="Q177" s="34"/>
      <c r="R177" s="37"/>
      <c r="S177" s="37"/>
      <c r="T177" s="37"/>
      <c r="U177" s="37"/>
      <c r="V177" s="37"/>
      <c r="W177" s="37"/>
      <c r="X177" s="37"/>
    </row>
    <row r="178" spans="1:24" x14ac:dyDescent="0.25">
      <c r="A178" s="5" t="s">
        <v>186</v>
      </c>
      <c r="B178" s="34">
        <f>-B240</f>
        <v>-173</v>
      </c>
      <c r="C178" s="34">
        <f t="shared" ref="C178:G178" si="126">-C240</f>
        <v>-176</v>
      </c>
      <c r="D178" s="34">
        <f t="shared" si="126"/>
        <v>-173</v>
      </c>
      <c r="E178" s="34">
        <f t="shared" si="126"/>
        <v>-191</v>
      </c>
      <c r="F178" s="34">
        <f t="shared" si="126"/>
        <v>-200</v>
      </c>
      <c r="G178" s="34">
        <f t="shared" si="126"/>
        <v>-244</v>
      </c>
      <c r="H178" s="34">
        <f t="shared" si="120"/>
        <v>-1157</v>
      </c>
      <c r="J178" s="37"/>
      <c r="K178" s="37"/>
      <c r="L178" s="37"/>
      <c r="M178" s="37"/>
      <c r="N178" s="37"/>
      <c r="O178" s="37"/>
      <c r="P178" s="37"/>
      <c r="Q178" s="34"/>
      <c r="R178" s="37"/>
      <c r="S178" s="37"/>
      <c r="T178" s="37"/>
      <c r="U178" s="37"/>
      <c r="V178" s="37"/>
      <c r="W178" s="37"/>
      <c r="X178" s="37"/>
    </row>
    <row r="179" spans="1:24" x14ac:dyDescent="0.25">
      <c r="A179" s="5" t="s">
        <v>187</v>
      </c>
      <c r="B179" s="34">
        <f t="shared" ref="B179:G179" si="127">+B180-SUM(B173:B178)</f>
        <v>-2063</v>
      </c>
      <c r="C179" s="38">
        <f t="shared" si="127"/>
        <v>-2562</v>
      </c>
      <c r="D179" s="38">
        <f t="shared" si="127"/>
        <v>-1667</v>
      </c>
      <c r="E179" s="34">
        <f t="shared" si="127"/>
        <v>-1897</v>
      </c>
      <c r="F179" s="34">
        <f t="shared" si="127"/>
        <v>-1652</v>
      </c>
      <c r="G179" s="34">
        <f t="shared" si="127"/>
        <v>-1730</v>
      </c>
      <c r="H179" s="34">
        <f t="shared" si="120"/>
        <v>-11571</v>
      </c>
      <c r="J179" s="37"/>
      <c r="K179" s="37"/>
      <c r="L179" s="37"/>
      <c r="M179" s="37"/>
      <c r="N179" s="37"/>
      <c r="O179" s="37"/>
      <c r="P179" s="37"/>
      <c r="Q179" s="34"/>
      <c r="R179" s="37"/>
      <c r="S179" s="37"/>
      <c r="T179" s="37"/>
      <c r="U179" s="37"/>
      <c r="V179" s="37"/>
      <c r="W179" s="37"/>
      <c r="X179" s="37"/>
    </row>
    <row r="180" spans="1:24" x14ac:dyDescent="0.25">
      <c r="A180" s="2" t="s">
        <v>79</v>
      </c>
      <c r="B180" s="10">
        <f>+B169</f>
        <v>2469</v>
      </c>
      <c r="C180" s="10">
        <f t="shared" ref="C180:G180" si="128">+C169</f>
        <v>5364</v>
      </c>
      <c r="D180" s="10">
        <f t="shared" si="128"/>
        <v>4929</v>
      </c>
      <c r="E180" s="10">
        <f t="shared" si="128"/>
        <v>3552</v>
      </c>
      <c r="F180" s="10">
        <f t="shared" si="128"/>
        <v>2574</v>
      </c>
      <c r="G180" s="10">
        <f t="shared" si="128"/>
        <v>501</v>
      </c>
      <c r="H180" s="10">
        <f t="shared" si="120"/>
        <v>19389</v>
      </c>
      <c r="J180" s="37"/>
      <c r="K180" s="37"/>
      <c r="L180" s="37"/>
      <c r="M180" s="37"/>
      <c r="N180" s="37"/>
      <c r="O180" s="37"/>
      <c r="P180" s="37"/>
      <c r="Q180" s="34"/>
      <c r="R180" s="37"/>
      <c r="S180" s="37"/>
      <c r="T180" s="37"/>
      <c r="U180" s="37"/>
      <c r="V180" s="37"/>
      <c r="W180" s="37"/>
      <c r="X180" s="37"/>
    </row>
    <row r="181" spans="1:24" x14ac:dyDescent="0.25">
      <c r="A181" s="2" t="s">
        <v>81</v>
      </c>
      <c r="J181" s="28"/>
      <c r="K181" s="28"/>
      <c r="L181" s="28"/>
      <c r="M181" s="28"/>
      <c r="N181" s="28"/>
      <c r="O181" s="28"/>
      <c r="P181" s="28"/>
      <c r="R181" s="28"/>
      <c r="S181" s="28"/>
      <c r="T181" s="28"/>
      <c r="U181" s="28"/>
      <c r="V181" s="28"/>
      <c r="W181" s="28"/>
      <c r="X181" s="28"/>
    </row>
    <row r="182" spans="1:24" x14ac:dyDescent="0.25">
      <c r="A182" s="5" t="s">
        <v>82</v>
      </c>
      <c r="B182" s="2">
        <v>-916</v>
      </c>
      <c r="C182" s="2">
        <v>-905</v>
      </c>
      <c r="D182" s="2">
        <v>-596</v>
      </c>
      <c r="E182" s="2">
        <v>-768</v>
      </c>
      <c r="F182" s="2">
        <v>-826</v>
      </c>
      <c r="G182" s="2">
        <v>-1194</v>
      </c>
      <c r="H182" s="2">
        <f t="shared" ref="H182:H188" si="129">SUM(B182:G182)</f>
        <v>-5205</v>
      </c>
      <c r="J182" s="28">
        <f t="shared" ref="J182:O188" si="130">+B182/B$169</f>
        <v>-0.37100040502227621</v>
      </c>
      <c r="K182" s="28">
        <f t="shared" si="130"/>
        <v>-0.16871737509321402</v>
      </c>
      <c r="L182" s="28">
        <f t="shared" si="130"/>
        <v>-0.12091702170825726</v>
      </c>
      <c r="M182" s="28">
        <f t="shared" si="130"/>
        <v>-0.21621621621621623</v>
      </c>
      <c r="N182" s="28">
        <f t="shared" si="130"/>
        <v>-0.3209013209013209</v>
      </c>
      <c r="O182" s="28">
        <f t="shared" si="130"/>
        <v>-2.3832335329341316</v>
      </c>
      <c r="P182" s="28"/>
      <c r="R182" s="28">
        <f t="shared" ref="R182:R188" si="131">RATE(5,0,-G182,B182)</f>
        <v>-5.1629078507473856E-2</v>
      </c>
      <c r="S182" s="28">
        <f t="shared" si="56"/>
        <v>-1.4354576845997035E-2</v>
      </c>
      <c r="T182" s="28">
        <f t="shared" ref="T182:X188" si="132">(+B182-C182)/C182</f>
        <v>1.2154696132596685E-2</v>
      </c>
      <c r="U182" s="28">
        <f t="shared" si="132"/>
        <v>0.51845637583892612</v>
      </c>
      <c r="V182" s="28">
        <f t="shared" si="132"/>
        <v>-0.22395833333333334</v>
      </c>
      <c r="W182" s="28">
        <f t="shared" si="132"/>
        <v>-7.0217917675544791E-2</v>
      </c>
      <c r="X182" s="28">
        <f t="shared" si="132"/>
        <v>-0.3082077051926298</v>
      </c>
    </row>
    <row r="183" spans="1:24" x14ac:dyDescent="0.25">
      <c r="A183" s="5" t="s">
        <v>121</v>
      </c>
      <c r="B183" s="2">
        <v>0</v>
      </c>
      <c r="C183" s="2">
        <v>0</v>
      </c>
      <c r="D183" s="2">
        <v>0</v>
      </c>
      <c r="E183" s="2">
        <v>0</v>
      </c>
      <c r="F183" s="2">
        <v>1296</v>
      </c>
      <c r="G183" s="2">
        <v>2286</v>
      </c>
      <c r="H183" s="2">
        <f t="shared" si="129"/>
        <v>3582</v>
      </c>
      <c r="J183" s="28">
        <f t="shared" si="130"/>
        <v>0</v>
      </c>
      <c r="K183" s="28">
        <f t="shared" si="130"/>
        <v>0</v>
      </c>
      <c r="L183" s="28">
        <f t="shared" si="130"/>
        <v>0</v>
      </c>
      <c r="M183" s="28">
        <f t="shared" si="130"/>
        <v>0</v>
      </c>
      <c r="N183" s="28">
        <f t="shared" si="130"/>
        <v>0.50349650349650354</v>
      </c>
      <c r="O183" s="28">
        <f t="shared" si="130"/>
        <v>4.5628742514970062</v>
      </c>
      <c r="P183" s="28"/>
      <c r="R183" s="28">
        <f t="shared" si="131"/>
        <v>-0.99999940914518248</v>
      </c>
      <c r="S183" s="28" t="e">
        <f t="shared" si="56"/>
        <v>#DIV/0!</v>
      </c>
      <c r="T183" s="28" t="e">
        <f t="shared" si="132"/>
        <v>#DIV/0!</v>
      </c>
      <c r="U183" s="28" t="e">
        <f t="shared" si="132"/>
        <v>#DIV/0!</v>
      </c>
      <c r="V183" s="28" t="e">
        <f t="shared" si="132"/>
        <v>#DIV/0!</v>
      </c>
      <c r="W183" s="28">
        <f t="shared" si="132"/>
        <v>-1</v>
      </c>
      <c r="X183" s="28">
        <f t="shared" si="132"/>
        <v>-0.43307086614173229</v>
      </c>
    </row>
    <row r="184" spans="1:24" x14ac:dyDescent="0.25">
      <c r="A184" s="5" t="s">
        <v>83</v>
      </c>
      <c r="B184" s="2">
        <v>-481</v>
      </c>
      <c r="C184" s="2">
        <v>-74</v>
      </c>
      <c r="D184" s="2">
        <v>0</v>
      </c>
      <c r="E184" s="2">
        <v>-199</v>
      </c>
      <c r="F184" s="2">
        <v>-248</v>
      </c>
      <c r="G184" s="2">
        <v>0</v>
      </c>
      <c r="H184" s="2">
        <f t="shared" si="129"/>
        <v>-1002</v>
      </c>
      <c r="J184" s="28">
        <f t="shared" si="130"/>
        <v>-0.19481571486431754</v>
      </c>
      <c r="K184" s="28">
        <f t="shared" si="130"/>
        <v>-1.3795674869500374E-2</v>
      </c>
      <c r="L184" s="28">
        <f t="shared" si="130"/>
        <v>0</v>
      </c>
      <c r="M184" s="28">
        <f t="shared" si="130"/>
        <v>-5.6024774774774772E-2</v>
      </c>
      <c r="N184" s="28">
        <f t="shared" si="130"/>
        <v>-9.6348096348096351E-2</v>
      </c>
      <c r="O184" s="28">
        <f t="shared" si="130"/>
        <v>0</v>
      </c>
      <c r="P184" s="28"/>
      <c r="R184" s="28" t="e">
        <f t="shared" si="131"/>
        <v>#NUM!</v>
      </c>
      <c r="S184" s="28" t="e">
        <f t="shared" si="56"/>
        <v>#DIV/0!</v>
      </c>
      <c r="T184" s="28">
        <f t="shared" si="132"/>
        <v>5.5</v>
      </c>
      <c r="U184" s="28" t="e">
        <f t="shared" si="132"/>
        <v>#DIV/0!</v>
      </c>
      <c r="V184" s="28">
        <f t="shared" si="132"/>
        <v>-1</v>
      </c>
      <c r="W184" s="28">
        <f t="shared" si="132"/>
        <v>-0.19758064516129031</v>
      </c>
      <c r="X184" s="28" t="e">
        <f t="shared" si="132"/>
        <v>#DIV/0!</v>
      </c>
    </row>
    <row r="185" spans="1:24" x14ac:dyDescent="0.25">
      <c r="A185" s="5" t="s">
        <v>84</v>
      </c>
      <c r="B185" s="2">
        <v>208</v>
      </c>
      <c r="C185" s="2">
        <v>-28</v>
      </c>
      <c r="D185" s="2">
        <v>25</v>
      </c>
      <c r="E185" s="2">
        <v>590</v>
      </c>
      <c r="F185" s="2">
        <v>24</v>
      </c>
      <c r="G185" s="2">
        <v>0</v>
      </c>
      <c r="H185" s="2">
        <f t="shared" si="129"/>
        <v>819</v>
      </c>
      <c r="J185" s="28">
        <f t="shared" si="130"/>
        <v>8.4244633454840012E-2</v>
      </c>
      <c r="K185" s="28">
        <f t="shared" si="130"/>
        <v>-5.219985085756898E-3</v>
      </c>
      <c r="L185" s="28">
        <f t="shared" si="130"/>
        <v>5.0720227226617974E-3</v>
      </c>
      <c r="M185" s="28">
        <f t="shared" si="130"/>
        <v>0.1661036036036036</v>
      </c>
      <c r="N185" s="28">
        <f t="shared" si="130"/>
        <v>9.324009324009324E-3</v>
      </c>
      <c r="O185" s="28">
        <f t="shared" si="130"/>
        <v>0</v>
      </c>
      <c r="P185" s="28"/>
      <c r="R185" s="28" t="e">
        <f t="shared" si="131"/>
        <v>#NUM!</v>
      </c>
      <c r="S185" s="28" t="e">
        <f t="shared" si="56"/>
        <v>#DIV/0!</v>
      </c>
      <c r="T185" s="28">
        <f t="shared" si="132"/>
        <v>-8.4285714285714288</v>
      </c>
      <c r="U185" s="28">
        <f t="shared" si="132"/>
        <v>-2.12</v>
      </c>
      <c r="V185" s="28">
        <f t="shared" si="132"/>
        <v>-0.9576271186440678</v>
      </c>
      <c r="W185" s="28">
        <f t="shared" si="132"/>
        <v>23.583333333333332</v>
      </c>
      <c r="X185" s="28" t="e">
        <f t="shared" si="132"/>
        <v>#DIV/0!</v>
      </c>
    </row>
    <row r="186" spans="1:24" x14ac:dyDescent="0.25">
      <c r="A186" s="5" t="s">
        <v>85</v>
      </c>
      <c r="B186" s="2">
        <v>88</v>
      </c>
      <c r="C186" s="2">
        <v>5014</v>
      </c>
      <c r="D186" s="2">
        <v>0</v>
      </c>
      <c r="E186" s="2">
        <v>1875</v>
      </c>
      <c r="F186" s="2">
        <v>18</v>
      </c>
      <c r="G186" s="2">
        <v>0</v>
      </c>
      <c r="H186" s="2">
        <f t="shared" si="129"/>
        <v>6995</v>
      </c>
      <c r="J186" s="28">
        <f t="shared" si="130"/>
        <v>3.5641960307816932E-2</v>
      </c>
      <c r="K186" s="28">
        <f t="shared" si="130"/>
        <v>0.93475018642803875</v>
      </c>
      <c r="L186" s="28">
        <f t="shared" si="130"/>
        <v>0</v>
      </c>
      <c r="M186" s="28">
        <f t="shared" si="130"/>
        <v>0.5278716216216216</v>
      </c>
      <c r="N186" s="28">
        <f t="shared" si="130"/>
        <v>6.993006993006993E-3</v>
      </c>
      <c r="O186" s="28">
        <f t="shared" si="130"/>
        <v>0</v>
      </c>
      <c r="P186" s="28"/>
      <c r="R186" s="28" t="e">
        <f t="shared" si="131"/>
        <v>#NUM!</v>
      </c>
      <c r="S186" s="28" t="e">
        <f t="shared" si="56"/>
        <v>#DIV/0!</v>
      </c>
      <c r="T186" s="28">
        <f t="shared" si="132"/>
        <v>-0.98244914240127645</v>
      </c>
      <c r="U186" s="28" t="e">
        <f t="shared" si="132"/>
        <v>#DIV/0!</v>
      </c>
      <c r="V186" s="28">
        <f t="shared" si="132"/>
        <v>-1</v>
      </c>
      <c r="W186" s="28">
        <f t="shared" si="132"/>
        <v>103.16666666666667</v>
      </c>
      <c r="X186" s="28" t="e">
        <f t="shared" si="132"/>
        <v>#DIV/0!</v>
      </c>
    </row>
    <row r="187" spans="1:24" x14ac:dyDescent="0.25">
      <c r="A187" s="5" t="s">
        <v>86</v>
      </c>
      <c r="B187" s="2">
        <v>10</v>
      </c>
      <c r="C187" s="2">
        <v>31</v>
      </c>
      <c r="D187" s="2">
        <v>49</v>
      </c>
      <c r="E187" s="2">
        <v>13</v>
      </c>
      <c r="F187" s="2">
        <v>24</v>
      </c>
      <c r="G187" s="2">
        <v>85</v>
      </c>
      <c r="H187" s="2">
        <f t="shared" si="129"/>
        <v>212</v>
      </c>
      <c r="J187" s="28">
        <f t="shared" si="130"/>
        <v>4.0502227622519239E-3</v>
      </c>
      <c r="K187" s="28">
        <f t="shared" si="130"/>
        <v>5.779269202087994E-3</v>
      </c>
      <c r="L187" s="28">
        <f t="shared" si="130"/>
        <v>9.9411645364171231E-3</v>
      </c>
      <c r="M187" s="28">
        <f t="shared" si="130"/>
        <v>3.6599099099099098E-3</v>
      </c>
      <c r="N187" s="28">
        <f t="shared" si="130"/>
        <v>9.324009324009324E-3</v>
      </c>
      <c r="O187" s="28">
        <f t="shared" si="130"/>
        <v>0.16966067864271456</v>
      </c>
      <c r="P187" s="28"/>
      <c r="R187" s="28">
        <f t="shared" si="131"/>
        <v>-0.34819721036856505</v>
      </c>
      <c r="S187" s="28">
        <f t="shared" si="56"/>
        <v>0.10969681669193732</v>
      </c>
      <c r="T187" s="28">
        <f t="shared" si="132"/>
        <v>-0.67741935483870963</v>
      </c>
      <c r="U187" s="28">
        <f t="shared" si="132"/>
        <v>-0.36734693877551022</v>
      </c>
      <c r="V187" s="28">
        <f t="shared" si="132"/>
        <v>2.7692307692307692</v>
      </c>
      <c r="W187" s="28">
        <f t="shared" si="132"/>
        <v>-0.45833333333333331</v>
      </c>
      <c r="X187" s="28">
        <f t="shared" si="132"/>
        <v>-0.71764705882352942</v>
      </c>
    </row>
    <row r="188" spans="1:24" x14ac:dyDescent="0.25">
      <c r="A188" s="2" t="s">
        <v>87</v>
      </c>
      <c r="B188" s="10">
        <f>SUM(B182:B187)</f>
        <v>-1091</v>
      </c>
      <c r="C188" s="10">
        <f t="shared" ref="C188:G188" si="133">SUM(C182:C187)</f>
        <v>4038</v>
      </c>
      <c r="D188" s="10">
        <f t="shared" si="133"/>
        <v>-522</v>
      </c>
      <c r="E188" s="10">
        <f t="shared" si="133"/>
        <v>1511</v>
      </c>
      <c r="F188" s="10">
        <f t="shared" si="133"/>
        <v>288</v>
      </c>
      <c r="G188" s="10">
        <f t="shared" si="133"/>
        <v>1177</v>
      </c>
      <c r="H188" s="10">
        <f t="shared" si="129"/>
        <v>5401</v>
      </c>
      <c r="J188" s="33">
        <f t="shared" si="130"/>
        <v>-0.44187930336168491</v>
      </c>
      <c r="K188" s="33">
        <f t="shared" si="130"/>
        <v>0.75279642058165552</v>
      </c>
      <c r="L188" s="33">
        <f t="shared" si="130"/>
        <v>-0.10590383444917834</v>
      </c>
      <c r="M188" s="33">
        <f t="shared" si="130"/>
        <v>0.42539414414414417</v>
      </c>
      <c r="N188" s="33">
        <f t="shared" si="130"/>
        <v>0.11188811188811189</v>
      </c>
      <c r="O188" s="33">
        <f t="shared" si="130"/>
        <v>2.3493013972055889</v>
      </c>
      <c r="P188" s="33"/>
      <c r="Q188" s="10"/>
      <c r="R188" s="33" t="e">
        <f t="shared" si="131"/>
        <v>#NUM!</v>
      </c>
      <c r="S188" s="33">
        <f t="shared" si="56"/>
        <v>-1.5720128708089158</v>
      </c>
      <c r="T188" s="33">
        <f t="shared" si="132"/>
        <v>-1.2701832590391282</v>
      </c>
      <c r="U188" s="33">
        <f t="shared" si="132"/>
        <v>-8.7356321839080469</v>
      </c>
      <c r="V188" s="33">
        <f t="shared" si="132"/>
        <v>-1.3454665784248843</v>
      </c>
      <c r="W188" s="33">
        <f t="shared" si="132"/>
        <v>4.2465277777777777</v>
      </c>
      <c r="X188" s="33">
        <f t="shared" si="132"/>
        <v>-0.75531011045029739</v>
      </c>
    </row>
    <row r="189" spans="1:24" x14ac:dyDescent="0.25">
      <c r="A189" s="2" t="s">
        <v>88</v>
      </c>
      <c r="J189" s="28"/>
      <c r="K189" s="28"/>
      <c r="L189" s="28"/>
      <c r="M189" s="28"/>
      <c r="N189" s="28"/>
      <c r="O189" s="28"/>
      <c r="P189" s="28"/>
      <c r="R189" s="28"/>
      <c r="S189" s="28"/>
      <c r="T189" s="28"/>
      <c r="U189" s="28"/>
      <c r="V189" s="28"/>
      <c r="W189" s="28"/>
      <c r="X189" s="28"/>
    </row>
    <row r="190" spans="1:24" x14ac:dyDescent="0.25">
      <c r="A190" s="35" t="s">
        <v>89</v>
      </c>
      <c r="B190" s="2">
        <v>-1465</v>
      </c>
      <c r="C190" s="2">
        <v>-6202</v>
      </c>
      <c r="D190" s="2">
        <v>-4697</v>
      </c>
      <c r="E190" s="2">
        <v>-4795</v>
      </c>
      <c r="F190" s="2">
        <v>-2713</v>
      </c>
      <c r="G190" s="2">
        <v>-2641</v>
      </c>
      <c r="H190" s="2">
        <f t="shared" ref="H190:H202" si="134">SUM(B190:G190)</f>
        <v>-22513</v>
      </c>
      <c r="J190" s="28">
        <f t="shared" ref="J190:O196" si="135">+B190/B$169</f>
        <v>-0.59335763466990687</v>
      </c>
      <c r="K190" s="28">
        <f t="shared" si="135"/>
        <v>-1.1562266964951529</v>
      </c>
      <c r="L190" s="28">
        <f t="shared" si="135"/>
        <v>-0.95293162913369855</v>
      </c>
      <c r="M190" s="28">
        <f t="shared" si="135"/>
        <v>-1.3499436936936937</v>
      </c>
      <c r="N190" s="28">
        <f t="shared" si="135"/>
        <v>-1.0540015540015539</v>
      </c>
      <c r="O190" s="28">
        <f t="shared" si="135"/>
        <v>-5.2714570858283434</v>
      </c>
      <c r="P190" s="28"/>
      <c r="R190" s="28">
        <f t="shared" ref="R190:R196" si="136">RATE(5,0,-G190,B190)</f>
        <v>-0.11117994623485696</v>
      </c>
      <c r="S190" s="28">
        <f t="shared" si="56"/>
        <v>6.6174400199464883E-2</v>
      </c>
      <c r="T190" s="28">
        <f t="shared" ref="T190:X196" si="137">(+B190-C190)/C190</f>
        <v>-0.76378587552402455</v>
      </c>
      <c r="U190" s="28">
        <f t="shared" si="137"/>
        <v>0.32041728763040239</v>
      </c>
      <c r="V190" s="28">
        <f t="shared" si="137"/>
        <v>-2.0437956204379562E-2</v>
      </c>
      <c r="W190" s="28">
        <f t="shared" si="137"/>
        <v>0.76741614448949502</v>
      </c>
      <c r="X190" s="28">
        <f t="shared" si="137"/>
        <v>2.7262400605831124E-2</v>
      </c>
    </row>
    <row r="191" spans="1:24" x14ac:dyDescent="0.25">
      <c r="A191" s="35" t="s">
        <v>90</v>
      </c>
      <c r="B191" s="2">
        <v>0</v>
      </c>
      <c r="C191" s="2">
        <v>0</v>
      </c>
      <c r="D191" s="2">
        <v>3500</v>
      </c>
      <c r="E191" s="2">
        <v>2967</v>
      </c>
      <c r="F191" s="2">
        <v>2990</v>
      </c>
      <c r="G191" s="2">
        <v>1496</v>
      </c>
      <c r="H191" s="2">
        <f t="shared" si="134"/>
        <v>10953</v>
      </c>
      <c r="J191" s="28">
        <f t="shared" si="135"/>
        <v>0</v>
      </c>
      <c r="K191" s="28">
        <f t="shared" si="135"/>
        <v>0</v>
      </c>
      <c r="L191" s="28">
        <f t="shared" si="135"/>
        <v>0.71008318117265168</v>
      </c>
      <c r="M191" s="28">
        <f t="shared" si="135"/>
        <v>0.83530405405405406</v>
      </c>
      <c r="N191" s="28">
        <f t="shared" si="135"/>
        <v>1.1616161616161615</v>
      </c>
      <c r="O191" s="28">
        <f t="shared" si="135"/>
        <v>2.9860279441117763</v>
      </c>
      <c r="P191" s="28"/>
      <c r="R191" s="28">
        <f t="shared" si="136"/>
        <v>-0.99999940914518248</v>
      </c>
      <c r="S191" s="28" t="e">
        <f t="shared" si="56"/>
        <v>#DIV/0!</v>
      </c>
      <c r="T191" s="28" t="e">
        <f t="shared" si="137"/>
        <v>#DIV/0!</v>
      </c>
      <c r="U191" s="28">
        <f t="shared" si="137"/>
        <v>-1</v>
      </c>
      <c r="V191" s="28">
        <f t="shared" si="137"/>
        <v>0.17964273677114931</v>
      </c>
      <c r="W191" s="28">
        <f t="shared" si="137"/>
        <v>-7.6923076923076927E-3</v>
      </c>
      <c r="X191" s="28">
        <f t="shared" si="137"/>
        <v>0.99866310160427807</v>
      </c>
    </row>
    <row r="192" spans="1:24" x14ac:dyDescent="0.25">
      <c r="A192" s="35" t="s">
        <v>91</v>
      </c>
      <c r="B192" s="2">
        <v>10</v>
      </c>
      <c r="C192" s="2">
        <v>-924</v>
      </c>
      <c r="D192" s="2">
        <v>-116</v>
      </c>
      <c r="E192" s="2">
        <v>-99</v>
      </c>
      <c r="F192" s="2">
        <v>0</v>
      </c>
      <c r="G192" s="2">
        <v>0</v>
      </c>
      <c r="H192" s="2">
        <f t="shared" si="134"/>
        <v>-1129</v>
      </c>
      <c r="J192" s="28">
        <f t="shared" si="135"/>
        <v>4.0502227622519239E-3</v>
      </c>
      <c r="K192" s="28">
        <f t="shared" si="135"/>
        <v>-0.17225950782997762</v>
      </c>
      <c r="L192" s="28">
        <f t="shared" si="135"/>
        <v>-2.353418543315074E-2</v>
      </c>
      <c r="M192" s="28">
        <f t="shared" si="135"/>
        <v>-2.7871621621621621E-2</v>
      </c>
      <c r="N192" s="28">
        <f t="shared" si="135"/>
        <v>0</v>
      </c>
      <c r="O192" s="28">
        <f t="shared" si="135"/>
        <v>0</v>
      </c>
      <c r="P192" s="28"/>
      <c r="R192" s="28" t="e">
        <f t="shared" si="136"/>
        <v>#NUM!</v>
      </c>
      <c r="S192" s="28" t="e">
        <f t="shared" si="56"/>
        <v>#DIV/0!</v>
      </c>
      <c r="T192" s="28">
        <f t="shared" si="137"/>
        <v>-1.0108225108225108</v>
      </c>
      <c r="U192" s="28">
        <f t="shared" si="137"/>
        <v>6.9655172413793105</v>
      </c>
      <c r="V192" s="28">
        <f t="shared" si="137"/>
        <v>0.17171717171717171</v>
      </c>
      <c r="W192" s="28" t="e">
        <f t="shared" si="137"/>
        <v>#DIV/0!</v>
      </c>
      <c r="X192" s="28" t="e">
        <f t="shared" si="137"/>
        <v>#DIV/0!</v>
      </c>
    </row>
    <row r="193" spans="1:24" x14ac:dyDescent="0.25">
      <c r="A193" s="35" t="s">
        <v>92</v>
      </c>
      <c r="B193" s="2">
        <v>0</v>
      </c>
      <c r="C193" s="2">
        <v>0</v>
      </c>
      <c r="D193" s="2">
        <v>4000</v>
      </c>
      <c r="E193" s="2">
        <v>0</v>
      </c>
      <c r="F193" s="2">
        <v>0</v>
      </c>
      <c r="G193" s="2">
        <v>0</v>
      </c>
      <c r="H193" s="2">
        <f t="shared" si="134"/>
        <v>4000</v>
      </c>
      <c r="J193" s="28">
        <f t="shared" si="135"/>
        <v>0</v>
      </c>
      <c r="K193" s="28">
        <f t="shared" si="135"/>
        <v>0</v>
      </c>
      <c r="L193" s="28">
        <f t="shared" si="135"/>
        <v>0.81152363562588758</v>
      </c>
      <c r="M193" s="28">
        <f t="shared" si="135"/>
        <v>0</v>
      </c>
      <c r="N193" s="28">
        <f t="shared" si="135"/>
        <v>0</v>
      </c>
      <c r="O193" s="28">
        <f t="shared" si="135"/>
        <v>0</v>
      </c>
      <c r="P193" s="28"/>
      <c r="R193" s="28" t="e">
        <f t="shared" si="136"/>
        <v>#NUM!</v>
      </c>
      <c r="S193" s="28" t="e">
        <f t="shared" si="56"/>
        <v>#DIV/0!</v>
      </c>
      <c r="T193" s="28" t="e">
        <f t="shared" si="137"/>
        <v>#DIV/0!</v>
      </c>
      <c r="U193" s="28">
        <f t="shared" si="137"/>
        <v>-1</v>
      </c>
      <c r="V193" s="28" t="e">
        <f t="shared" si="137"/>
        <v>#DIV/0!</v>
      </c>
      <c r="W193" s="28" t="e">
        <f t="shared" si="137"/>
        <v>#DIV/0!</v>
      </c>
      <c r="X193" s="28" t="e">
        <f t="shared" si="137"/>
        <v>#DIV/0!</v>
      </c>
    </row>
    <row r="194" spans="1:24" x14ac:dyDescent="0.25">
      <c r="A194" s="35" t="s">
        <v>93</v>
      </c>
      <c r="B194" s="2">
        <v>0</v>
      </c>
      <c r="C194" s="2">
        <v>0</v>
      </c>
      <c r="D194" s="2">
        <v>-4000</v>
      </c>
      <c r="E194" s="2">
        <v>0</v>
      </c>
      <c r="F194" s="2">
        <v>0</v>
      </c>
      <c r="G194" s="2">
        <v>0</v>
      </c>
      <c r="H194" s="2">
        <f t="shared" si="134"/>
        <v>-4000</v>
      </c>
      <c r="J194" s="28">
        <f t="shared" si="135"/>
        <v>0</v>
      </c>
      <c r="K194" s="28">
        <f t="shared" si="135"/>
        <v>0</v>
      </c>
      <c r="L194" s="28">
        <f t="shared" si="135"/>
        <v>-0.81152363562588758</v>
      </c>
      <c r="M194" s="28">
        <f t="shared" si="135"/>
        <v>0</v>
      </c>
      <c r="N194" s="28">
        <f t="shared" si="135"/>
        <v>0</v>
      </c>
      <c r="O194" s="28">
        <f t="shared" si="135"/>
        <v>0</v>
      </c>
      <c r="P194" s="28"/>
      <c r="R194" s="28" t="e">
        <f t="shared" si="136"/>
        <v>#NUM!</v>
      </c>
      <c r="S194" s="28" t="e">
        <f t="shared" si="56"/>
        <v>#DIV/0!</v>
      </c>
      <c r="T194" s="28" t="e">
        <f t="shared" si="137"/>
        <v>#DIV/0!</v>
      </c>
      <c r="U194" s="28">
        <f t="shared" si="137"/>
        <v>-1</v>
      </c>
      <c r="V194" s="28" t="e">
        <f t="shared" si="137"/>
        <v>#DIV/0!</v>
      </c>
      <c r="W194" s="28" t="e">
        <f t="shared" si="137"/>
        <v>#DIV/0!</v>
      </c>
      <c r="X194" s="28" t="e">
        <f t="shared" si="137"/>
        <v>#DIV/0!</v>
      </c>
    </row>
    <row r="195" spans="1:24" x14ac:dyDescent="0.25">
      <c r="A195" s="35" t="s">
        <v>94</v>
      </c>
      <c r="B195" s="2">
        <v>228</v>
      </c>
      <c r="C195" s="2">
        <v>0</v>
      </c>
      <c r="D195" s="2">
        <v>0</v>
      </c>
      <c r="E195" s="2">
        <v>557</v>
      </c>
      <c r="F195" s="2">
        <v>2784</v>
      </c>
      <c r="G195" s="2">
        <v>6043</v>
      </c>
      <c r="H195" s="2">
        <f t="shared" si="134"/>
        <v>9612</v>
      </c>
      <c r="J195" s="28">
        <f t="shared" si="135"/>
        <v>9.2345078979343867E-2</v>
      </c>
      <c r="K195" s="28">
        <f t="shared" si="135"/>
        <v>0</v>
      </c>
      <c r="L195" s="28">
        <f t="shared" si="135"/>
        <v>0</v>
      </c>
      <c r="M195" s="28">
        <f t="shared" si="135"/>
        <v>0.15681306306306306</v>
      </c>
      <c r="N195" s="28">
        <f t="shared" si="135"/>
        <v>1.0815850815850816</v>
      </c>
      <c r="O195" s="28">
        <f t="shared" si="135"/>
        <v>12.061876247504991</v>
      </c>
      <c r="P195" s="28"/>
      <c r="R195" s="28">
        <f t="shared" si="136"/>
        <v>-0.48079788783255906</v>
      </c>
      <c r="S195" s="28" t="e">
        <f t="shared" si="56"/>
        <v>#DIV/0!</v>
      </c>
      <c r="T195" s="28" t="e">
        <f t="shared" si="137"/>
        <v>#DIV/0!</v>
      </c>
      <c r="U195" s="28" t="e">
        <f t="shared" si="137"/>
        <v>#DIV/0!</v>
      </c>
      <c r="V195" s="28">
        <f t="shared" si="137"/>
        <v>-1</v>
      </c>
      <c r="W195" s="28">
        <f t="shared" si="137"/>
        <v>-0.79992816091954022</v>
      </c>
      <c r="X195" s="28">
        <f t="shared" si="137"/>
        <v>-0.53930167135528706</v>
      </c>
    </row>
    <row r="196" spans="1:24" x14ac:dyDescent="0.25">
      <c r="A196" s="35" t="s">
        <v>95</v>
      </c>
      <c r="B196" s="2">
        <v>-228</v>
      </c>
      <c r="C196" s="2">
        <v>0</v>
      </c>
      <c r="D196" s="2">
        <v>0</v>
      </c>
      <c r="E196" s="2">
        <v>-557</v>
      </c>
      <c r="F196" s="2">
        <v>-3213</v>
      </c>
      <c r="G196" s="2">
        <v>-6249</v>
      </c>
      <c r="H196" s="2">
        <f t="shared" si="134"/>
        <v>-10247</v>
      </c>
      <c r="J196" s="28">
        <f t="shared" si="135"/>
        <v>-9.2345078979343867E-2</v>
      </c>
      <c r="K196" s="28">
        <f t="shared" si="135"/>
        <v>0</v>
      </c>
      <c r="L196" s="28">
        <f t="shared" si="135"/>
        <v>0</v>
      </c>
      <c r="M196" s="28">
        <f t="shared" si="135"/>
        <v>-0.15681306306306306</v>
      </c>
      <c r="N196" s="28">
        <f t="shared" si="135"/>
        <v>-1.2482517482517483</v>
      </c>
      <c r="O196" s="28">
        <f t="shared" si="135"/>
        <v>-12.473053892215569</v>
      </c>
      <c r="P196" s="28"/>
      <c r="R196" s="28">
        <f t="shared" si="136"/>
        <v>-0.48426706751700083</v>
      </c>
      <c r="S196" s="28" t="e">
        <f t="shared" si="56"/>
        <v>#DIV/0!</v>
      </c>
      <c r="T196" s="28" t="e">
        <f t="shared" si="137"/>
        <v>#DIV/0!</v>
      </c>
      <c r="U196" s="28" t="e">
        <f t="shared" si="137"/>
        <v>#DIV/0!</v>
      </c>
      <c r="V196" s="28">
        <f t="shared" si="137"/>
        <v>-1</v>
      </c>
      <c r="W196" s="28">
        <f t="shared" si="137"/>
        <v>-0.82664176781823839</v>
      </c>
      <c r="X196" s="28">
        <f t="shared" si="137"/>
        <v>-0.48583773403744601</v>
      </c>
    </row>
    <row r="197" spans="1:24" x14ac:dyDescent="0.25">
      <c r="A197" s="5" t="s">
        <v>189</v>
      </c>
      <c r="B197" s="6">
        <f>SUM(B190:B196)</f>
        <v>-1455</v>
      </c>
      <c r="C197" s="6">
        <f t="shared" ref="C197:G197" si="138">SUM(C190:C196)</f>
        <v>-7126</v>
      </c>
      <c r="D197" s="6">
        <f t="shared" si="138"/>
        <v>-1313</v>
      </c>
      <c r="E197" s="6">
        <f t="shared" si="138"/>
        <v>-1927</v>
      </c>
      <c r="F197" s="6">
        <f t="shared" si="138"/>
        <v>-152</v>
      </c>
      <c r="G197" s="6">
        <f t="shared" si="138"/>
        <v>-1351</v>
      </c>
      <c r="H197" s="6">
        <f t="shared" si="134"/>
        <v>-13324</v>
      </c>
      <c r="J197" s="28"/>
      <c r="K197" s="28"/>
      <c r="L197" s="28"/>
      <c r="M197" s="28"/>
      <c r="N197" s="28"/>
      <c r="O197" s="28"/>
      <c r="P197" s="28"/>
      <c r="R197" s="28"/>
      <c r="S197" s="28"/>
      <c r="T197" s="28"/>
      <c r="U197" s="28"/>
      <c r="V197" s="28"/>
      <c r="W197" s="28"/>
      <c r="X197" s="28"/>
    </row>
    <row r="198" spans="1:24" x14ac:dyDescent="0.25">
      <c r="A198" s="5" t="s">
        <v>96</v>
      </c>
      <c r="B198" s="2">
        <v>-1960</v>
      </c>
      <c r="C198" s="2">
        <v>-1959</v>
      </c>
      <c r="D198" s="2">
        <v>-1958</v>
      </c>
      <c r="E198" s="2">
        <v>-1953</v>
      </c>
      <c r="F198" s="2">
        <v>-3183</v>
      </c>
      <c r="G198" s="2">
        <v>-2888</v>
      </c>
      <c r="H198" s="2">
        <f t="shared" si="134"/>
        <v>-13901</v>
      </c>
      <c r="J198" s="28">
        <f t="shared" ref="J198:O204" si="139">+B198/B$169</f>
        <v>-0.79384366140137708</v>
      </c>
      <c r="K198" s="28">
        <f t="shared" si="139"/>
        <v>-0.36521252796420584</v>
      </c>
      <c r="L198" s="28">
        <f t="shared" si="139"/>
        <v>-0.39724081963887198</v>
      </c>
      <c r="M198" s="28">
        <f t="shared" si="139"/>
        <v>-0.54983108108108103</v>
      </c>
      <c r="N198" s="28">
        <f t="shared" si="139"/>
        <v>-1.2365967365967365</v>
      </c>
      <c r="O198" s="28">
        <f t="shared" si="139"/>
        <v>-5.764471057884232</v>
      </c>
      <c r="P198" s="28"/>
      <c r="R198" s="28">
        <f t="shared" ref="R198:R204" si="140">RATE(5,0,-G198,B198)</f>
        <v>-7.4595138905815289E-2</v>
      </c>
      <c r="S198" s="28">
        <f t="shared" si="56"/>
        <v>-5.6139946040355194E-2</v>
      </c>
      <c r="T198" s="28">
        <f t="shared" ref="T198:X204" si="141">(+B198-C198)/C198</f>
        <v>5.1046452271567128E-4</v>
      </c>
      <c r="U198" s="28">
        <f t="shared" si="141"/>
        <v>5.1072522982635344E-4</v>
      </c>
      <c r="V198" s="28">
        <f t="shared" si="141"/>
        <v>2.5601638504864311E-3</v>
      </c>
      <c r="W198" s="28">
        <f t="shared" si="141"/>
        <v>-0.38642789820923656</v>
      </c>
      <c r="X198" s="28">
        <f t="shared" si="141"/>
        <v>0.10214681440443213</v>
      </c>
    </row>
    <row r="199" spans="1:24" x14ac:dyDescent="0.25">
      <c r="A199" s="5" t="s">
        <v>97</v>
      </c>
      <c r="B199" s="2">
        <v>-299</v>
      </c>
      <c r="C199" s="2">
        <v>-259</v>
      </c>
      <c r="D199" s="2">
        <v>-60</v>
      </c>
      <c r="E199" s="2">
        <v>-33</v>
      </c>
      <c r="F199" s="2">
        <v>-28</v>
      </c>
      <c r="G199" s="2">
        <v>18</v>
      </c>
      <c r="H199" s="2">
        <f t="shared" si="134"/>
        <v>-661</v>
      </c>
      <c r="J199" s="28">
        <f t="shared" si="139"/>
        <v>-0.12110166059133252</v>
      </c>
      <c r="K199" s="28">
        <f t="shared" si="139"/>
        <v>-4.8284862043251303E-2</v>
      </c>
      <c r="L199" s="28">
        <f t="shared" si="139"/>
        <v>-1.2172854534388313E-2</v>
      </c>
      <c r="M199" s="28">
        <f t="shared" si="139"/>
        <v>-9.2905405405405411E-3</v>
      </c>
      <c r="N199" s="28">
        <f t="shared" si="139"/>
        <v>-1.0878010878010878E-2</v>
      </c>
      <c r="O199" s="28">
        <f t="shared" si="139"/>
        <v>3.5928143712574849E-2</v>
      </c>
      <c r="P199" s="28"/>
      <c r="R199" s="28" t="e">
        <f t="shared" si="140"/>
        <v>#NUM!</v>
      </c>
      <c r="S199" s="28">
        <f t="shared" si="56"/>
        <v>0.38246090246090264</v>
      </c>
      <c r="T199" s="28">
        <f t="shared" si="141"/>
        <v>0.15444015444015444</v>
      </c>
      <c r="U199" s="28">
        <f t="shared" si="141"/>
        <v>3.3166666666666669</v>
      </c>
      <c r="V199" s="28">
        <f t="shared" si="141"/>
        <v>0.81818181818181823</v>
      </c>
      <c r="W199" s="28">
        <f t="shared" si="141"/>
        <v>0.17857142857142858</v>
      </c>
      <c r="X199" s="28">
        <f t="shared" si="141"/>
        <v>-2.5555555555555554</v>
      </c>
    </row>
    <row r="200" spans="1:24" x14ac:dyDescent="0.25">
      <c r="A200" s="2" t="s">
        <v>98</v>
      </c>
      <c r="B200" s="10">
        <f>SUM(B197:B199)</f>
        <v>-3714</v>
      </c>
      <c r="C200" s="10">
        <f t="shared" ref="C200:G200" si="142">SUM(C197:C199)</f>
        <v>-9344</v>
      </c>
      <c r="D200" s="10">
        <f t="shared" si="142"/>
        <v>-3331</v>
      </c>
      <c r="E200" s="10">
        <f t="shared" si="142"/>
        <v>-3913</v>
      </c>
      <c r="F200" s="10">
        <f t="shared" si="142"/>
        <v>-3363</v>
      </c>
      <c r="G200" s="10">
        <f t="shared" si="142"/>
        <v>-4221</v>
      </c>
      <c r="H200" s="10">
        <f t="shared" si="134"/>
        <v>-27886</v>
      </c>
      <c r="J200" s="33">
        <f t="shared" si="139"/>
        <v>-1.5042527339003646</v>
      </c>
      <c r="K200" s="33">
        <f t="shared" si="139"/>
        <v>-1.7419835943325876</v>
      </c>
      <c r="L200" s="33">
        <f t="shared" si="139"/>
        <v>-0.6757963075674579</v>
      </c>
      <c r="M200" s="33">
        <f t="shared" si="139"/>
        <v>-1.101632882882883</v>
      </c>
      <c r="N200" s="33">
        <f t="shared" si="139"/>
        <v>-1.3065268065268065</v>
      </c>
      <c r="O200" s="33">
        <f t="shared" si="139"/>
        <v>-8.4251497005988032</v>
      </c>
      <c r="P200" s="33"/>
      <c r="Q200" s="10"/>
      <c r="R200" s="33">
        <f t="shared" si="140"/>
        <v>-2.5267808183075099E-2</v>
      </c>
      <c r="S200" s="33">
        <f t="shared" ref="S200:S204" si="143">AVERAGE(T200:X200)</f>
        <v>0.20283560611242665</v>
      </c>
      <c r="T200" s="33">
        <f t="shared" si="141"/>
        <v>-0.60252568493150682</v>
      </c>
      <c r="U200" s="33">
        <f t="shared" si="141"/>
        <v>1.805163614530171</v>
      </c>
      <c r="V200" s="33">
        <f t="shared" si="141"/>
        <v>-0.14873498594428827</v>
      </c>
      <c r="W200" s="33">
        <f t="shared" si="141"/>
        <v>0.16354445435622955</v>
      </c>
      <c r="X200" s="33">
        <f t="shared" si="141"/>
        <v>-0.20326936744847193</v>
      </c>
    </row>
    <row r="201" spans="1:24" x14ac:dyDescent="0.25">
      <c r="A201" s="2" t="s">
        <v>99</v>
      </c>
      <c r="B201" s="2">
        <v>-69</v>
      </c>
      <c r="C201" s="2">
        <v>-30</v>
      </c>
      <c r="D201" s="2">
        <v>62</v>
      </c>
      <c r="E201" s="2">
        <v>-6</v>
      </c>
      <c r="F201" s="2">
        <v>-132</v>
      </c>
      <c r="G201" s="2">
        <v>57</v>
      </c>
      <c r="H201" s="2">
        <f t="shared" si="134"/>
        <v>-118</v>
      </c>
      <c r="J201" s="33">
        <f t="shared" si="139"/>
        <v>-2.7946537059538274E-2</v>
      </c>
      <c r="K201" s="33">
        <f t="shared" si="139"/>
        <v>-5.5928411633109623E-3</v>
      </c>
      <c r="L201" s="33">
        <f t="shared" si="139"/>
        <v>1.2578616352201259E-2</v>
      </c>
      <c r="M201" s="33">
        <f t="shared" si="139"/>
        <v>-1.6891891891891893E-3</v>
      </c>
      <c r="N201" s="33">
        <f t="shared" si="139"/>
        <v>-5.128205128205128E-2</v>
      </c>
      <c r="O201" s="33">
        <f t="shared" si="139"/>
        <v>0.11377245508982035</v>
      </c>
      <c r="P201" s="33"/>
      <c r="Q201" s="10"/>
      <c r="R201" s="33" t="e">
        <f t="shared" si="140"/>
        <v>#NUM!</v>
      </c>
      <c r="S201" s="33">
        <f t="shared" si="143"/>
        <v>-3.1575078458609869</v>
      </c>
      <c r="T201" s="33">
        <f t="shared" si="141"/>
        <v>1.3</v>
      </c>
      <c r="U201" s="33">
        <f t="shared" si="141"/>
        <v>-1.4838709677419355</v>
      </c>
      <c r="V201" s="33">
        <f t="shared" si="141"/>
        <v>-11.333333333333334</v>
      </c>
      <c r="W201" s="33">
        <f t="shared" si="141"/>
        <v>-0.95454545454545459</v>
      </c>
      <c r="X201" s="33">
        <f t="shared" si="141"/>
        <v>-3.3157894736842106</v>
      </c>
    </row>
    <row r="202" spans="1:24" x14ac:dyDescent="0.25">
      <c r="A202" s="2" t="s">
        <v>100</v>
      </c>
      <c r="B202" s="6">
        <f t="shared" ref="B202:G202" si="144">+B201+B200+B188+B169</f>
        <v>-2405</v>
      </c>
      <c r="C202" s="6">
        <f t="shared" si="144"/>
        <v>28</v>
      </c>
      <c r="D202" s="6">
        <f t="shared" si="144"/>
        <v>1138</v>
      </c>
      <c r="E202" s="6">
        <f t="shared" si="144"/>
        <v>1144</v>
      </c>
      <c r="F202" s="6">
        <f t="shared" si="144"/>
        <v>-633</v>
      </c>
      <c r="G202" s="6">
        <f t="shared" si="144"/>
        <v>-2486</v>
      </c>
      <c r="H202" s="6">
        <f t="shared" si="134"/>
        <v>-3214</v>
      </c>
      <c r="J202" s="28">
        <f t="shared" si="139"/>
        <v>-0.97407857432158773</v>
      </c>
      <c r="K202" s="28">
        <f t="shared" si="139"/>
        <v>5.219985085756898E-3</v>
      </c>
      <c r="L202" s="28">
        <f t="shared" si="139"/>
        <v>0.23087847433556502</v>
      </c>
      <c r="M202" s="28">
        <f t="shared" si="139"/>
        <v>0.32207207207207206</v>
      </c>
      <c r="N202" s="28">
        <f t="shared" si="139"/>
        <v>-0.24592074592074592</v>
      </c>
      <c r="O202" s="28">
        <f t="shared" si="139"/>
        <v>-4.9620758483033933</v>
      </c>
      <c r="P202" s="28"/>
      <c r="R202" s="28">
        <f t="shared" si="140"/>
        <v>-6.6031208578273834E-3</v>
      </c>
      <c r="S202" s="28">
        <f t="shared" si="143"/>
        <v>-18.285227681247186</v>
      </c>
      <c r="T202" s="28">
        <f t="shared" si="141"/>
        <v>-86.892857142857139</v>
      </c>
      <c r="U202" s="28">
        <f t="shared" si="141"/>
        <v>-0.97539543057996481</v>
      </c>
      <c r="V202" s="28">
        <f t="shared" si="141"/>
        <v>-5.244755244755245E-3</v>
      </c>
      <c r="W202" s="28">
        <f t="shared" si="141"/>
        <v>-2.807266982622433</v>
      </c>
      <c r="X202" s="28">
        <f t="shared" si="141"/>
        <v>-0.7453740949316171</v>
      </c>
    </row>
    <row r="203" spans="1:24" x14ac:dyDescent="0.25">
      <c r="A203" s="2" t="s">
        <v>101</v>
      </c>
      <c r="B203" s="2">
        <f>+C204</f>
        <v>3446</v>
      </c>
      <c r="C203" s="2">
        <f t="shared" ref="C203:E203" si="145">+D204</f>
        <v>3418</v>
      </c>
      <c r="D203" s="2">
        <v>2280</v>
      </c>
      <c r="E203" s="2">
        <f t="shared" si="145"/>
        <v>1136</v>
      </c>
      <c r="F203" s="2">
        <v>1769</v>
      </c>
      <c r="G203" s="2">
        <v>4255</v>
      </c>
      <c r="H203" s="2">
        <f>+G203</f>
        <v>4255</v>
      </c>
      <c r="J203" s="28">
        <f t="shared" si="139"/>
        <v>1.3957067638720129</v>
      </c>
      <c r="K203" s="28">
        <f t="shared" si="139"/>
        <v>0.63721103653989564</v>
      </c>
      <c r="L203" s="28">
        <f t="shared" si="139"/>
        <v>0.46256847230675591</v>
      </c>
      <c r="M203" s="28">
        <f t="shared" si="139"/>
        <v>0.31981981981981983</v>
      </c>
      <c r="N203" s="28">
        <f t="shared" si="139"/>
        <v>0.68725718725718721</v>
      </c>
      <c r="O203" s="28">
        <f t="shared" si="139"/>
        <v>8.4930139720558877</v>
      </c>
      <c r="P203" s="28"/>
      <c r="R203" s="28">
        <f t="shared" si="140"/>
        <v>-4.1299085289094761E-2</v>
      </c>
      <c r="S203" s="28">
        <f t="shared" si="143"/>
        <v>0.11445477690487413</v>
      </c>
      <c r="T203" s="28">
        <f t="shared" si="141"/>
        <v>8.1919251023990641E-3</v>
      </c>
      <c r="U203" s="28">
        <f t="shared" si="141"/>
        <v>0.49912280701754386</v>
      </c>
      <c r="V203" s="28">
        <f t="shared" si="141"/>
        <v>1.0070422535211268</v>
      </c>
      <c r="W203" s="28">
        <f t="shared" si="141"/>
        <v>-0.35782928208027132</v>
      </c>
      <c r="X203" s="28">
        <f t="shared" si="141"/>
        <v>-0.5842538190364277</v>
      </c>
    </row>
    <row r="204" spans="1:24" ht="15.75" thickBot="1" x14ac:dyDescent="0.3">
      <c r="A204" s="2" t="s">
        <v>102</v>
      </c>
      <c r="B204" s="9">
        <f>+B203+B202</f>
        <v>1041</v>
      </c>
      <c r="C204" s="9">
        <f t="shared" ref="C204:G204" si="146">+C203+C202</f>
        <v>3446</v>
      </c>
      <c r="D204" s="9">
        <f t="shared" si="146"/>
        <v>3418</v>
      </c>
      <c r="E204" s="9">
        <f t="shared" si="146"/>
        <v>2280</v>
      </c>
      <c r="F204" s="9">
        <f t="shared" si="146"/>
        <v>1136</v>
      </c>
      <c r="G204" s="9">
        <f t="shared" si="146"/>
        <v>1769</v>
      </c>
      <c r="H204" s="9">
        <f>+H203+H202</f>
        <v>1041</v>
      </c>
      <c r="J204" s="32">
        <f t="shared" si="139"/>
        <v>0.42162818955042525</v>
      </c>
      <c r="K204" s="32">
        <f t="shared" si="139"/>
        <v>0.64243102162565247</v>
      </c>
      <c r="L204" s="32">
        <f t="shared" si="139"/>
        <v>0.69344694664232098</v>
      </c>
      <c r="M204" s="32">
        <f t="shared" si="139"/>
        <v>0.64189189189189189</v>
      </c>
      <c r="N204" s="32">
        <f t="shared" si="139"/>
        <v>0.44133644133644134</v>
      </c>
      <c r="O204" s="32">
        <f t="shared" si="139"/>
        <v>3.5309381237524948</v>
      </c>
      <c r="P204" s="32"/>
      <c r="Q204" s="11"/>
      <c r="R204" s="32">
        <f t="shared" si="140"/>
        <v>-0.10061719678040582</v>
      </c>
      <c r="S204" s="32">
        <f t="shared" si="143"/>
        <v>9.1723416510186367E-2</v>
      </c>
      <c r="T204" s="32">
        <f t="shared" si="141"/>
        <v>-0.69791062100986656</v>
      </c>
      <c r="U204" s="32">
        <f t="shared" si="141"/>
        <v>8.1919251023990641E-3</v>
      </c>
      <c r="V204" s="32">
        <f t="shared" si="141"/>
        <v>0.49912280701754386</v>
      </c>
      <c r="W204" s="32">
        <f t="shared" si="141"/>
        <v>1.0070422535211268</v>
      </c>
      <c r="X204" s="32">
        <f t="shared" si="141"/>
        <v>-0.35782928208027132</v>
      </c>
    </row>
    <row r="205" spans="1:24" ht="15.75" thickTop="1" x14ac:dyDescent="0.25">
      <c r="A205" s="3" t="s">
        <v>190</v>
      </c>
      <c r="B205" s="2">
        <f t="shared" ref="B205:G205" si="147">+B204-B6</f>
        <v>1</v>
      </c>
      <c r="C205" s="2">
        <f t="shared" si="147"/>
        <v>1</v>
      </c>
      <c r="D205" s="2">
        <f t="shared" si="147"/>
        <v>1</v>
      </c>
      <c r="E205" s="2">
        <f t="shared" si="147"/>
        <v>1</v>
      </c>
      <c r="F205" s="2">
        <f t="shared" si="147"/>
        <v>6</v>
      </c>
      <c r="G205" s="2">
        <f t="shared" si="147"/>
        <v>140</v>
      </c>
    </row>
    <row r="206" spans="1:24" x14ac:dyDescent="0.25">
      <c r="A206" s="3"/>
    </row>
    <row r="207" spans="1:24" s="15" customFormat="1" x14ac:dyDescent="0.25">
      <c r="A207" s="15" t="s">
        <v>326</v>
      </c>
      <c r="B207" s="15" t="s">
        <v>139</v>
      </c>
    </row>
    <row r="208" spans="1:24" s="15" customFormat="1" x14ac:dyDescent="0.25">
      <c r="A208" s="15" t="s">
        <v>327</v>
      </c>
    </row>
    <row r="209" spans="1:24" s="15" customFormat="1" x14ac:dyDescent="0.25">
      <c r="A209" s="15" t="s">
        <v>2</v>
      </c>
      <c r="F209" s="15" t="s">
        <v>150</v>
      </c>
      <c r="G209" s="16" t="s">
        <v>125</v>
      </c>
      <c r="H209" s="16"/>
      <c r="O209" s="16"/>
      <c r="P209" s="16"/>
    </row>
    <row r="210" spans="1:24" s="15" customFormat="1" ht="15.75" thickBot="1" x14ac:dyDescent="0.3">
      <c r="A210" s="16" t="s">
        <v>328</v>
      </c>
      <c r="B210" s="17">
        <v>2022</v>
      </c>
      <c r="C210" s="17">
        <v>2021</v>
      </c>
      <c r="D210" s="17">
        <v>2020</v>
      </c>
      <c r="E210" s="17">
        <v>2019</v>
      </c>
      <c r="F210" s="17">
        <v>2018</v>
      </c>
      <c r="G210" s="17">
        <v>2017</v>
      </c>
      <c r="H210" s="17" t="s">
        <v>157</v>
      </c>
      <c r="J210" s="17"/>
      <c r="K210" s="17"/>
      <c r="L210" s="17"/>
      <c r="M210" s="17"/>
      <c r="N210" s="17"/>
      <c r="O210" s="17"/>
      <c r="P210" s="22"/>
      <c r="R210" s="29"/>
      <c r="S210" s="29"/>
      <c r="T210" s="17"/>
      <c r="U210" s="17"/>
      <c r="V210" s="17"/>
      <c r="W210" s="17"/>
      <c r="X210" s="17"/>
    </row>
    <row r="211" spans="1:24" customFormat="1" x14ac:dyDescent="0.25">
      <c r="A211" t="s">
        <v>332</v>
      </c>
      <c r="B211" s="63">
        <f t="shared" ref="B211:G211" si="148">B60</f>
        <v>26485</v>
      </c>
      <c r="C211" s="63">
        <f t="shared" si="148"/>
        <v>26042</v>
      </c>
      <c r="D211" s="63">
        <f t="shared" si="148"/>
        <v>26185</v>
      </c>
      <c r="E211" s="63">
        <f t="shared" si="148"/>
        <v>24977</v>
      </c>
      <c r="F211" s="63">
        <f t="shared" si="148"/>
        <v>26268</v>
      </c>
      <c r="G211" s="63">
        <f t="shared" si="148"/>
        <v>26076</v>
      </c>
    </row>
    <row r="212" spans="1:24" customFormat="1" x14ac:dyDescent="0.25">
      <c r="A212" s="64" t="s">
        <v>330</v>
      </c>
      <c r="B212" s="30">
        <f>B213/B211</f>
        <v>0.14921653766282802</v>
      </c>
      <c r="C212" s="30">
        <f t="shared" ref="C212:G212" si="149">C213/C211</f>
        <v>0.19038476307503263</v>
      </c>
      <c r="D212" s="30">
        <f t="shared" si="149"/>
        <v>0.17074661065495514</v>
      </c>
      <c r="E212" s="30">
        <f t="shared" si="149"/>
        <v>0.15153941626296191</v>
      </c>
      <c r="F212" s="30">
        <f t="shared" si="149"/>
        <v>0.17652657225521548</v>
      </c>
      <c r="G212" s="30">
        <f t="shared" si="149"/>
        <v>0.14822058597944471</v>
      </c>
    </row>
    <row r="213" spans="1:24" customFormat="1" x14ac:dyDescent="0.25">
      <c r="A213" t="s">
        <v>331</v>
      </c>
      <c r="B213" s="65">
        <f>B162</f>
        <v>3952</v>
      </c>
      <c r="C213" s="65">
        <f t="shared" ref="C213:G213" si="150">C162</f>
        <v>4958</v>
      </c>
      <c r="D213" s="65">
        <f t="shared" si="150"/>
        <v>4471</v>
      </c>
      <c r="E213" s="65">
        <f t="shared" si="150"/>
        <v>3785</v>
      </c>
      <c r="F213" s="65">
        <f t="shared" si="150"/>
        <v>4637</v>
      </c>
      <c r="G213" s="65">
        <f t="shared" si="150"/>
        <v>3865</v>
      </c>
      <c r="H213" s="89"/>
    </row>
    <row r="214" spans="1:24" customFormat="1" x14ac:dyDescent="0.25">
      <c r="A214" s="64" t="s">
        <v>333</v>
      </c>
      <c r="B214" s="66">
        <f>B215-B213</f>
        <v>-1483</v>
      </c>
      <c r="C214" s="66">
        <f t="shared" ref="C214:G214" si="151">C215-C213</f>
        <v>406</v>
      </c>
      <c r="D214" s="66">
        <f t="shared" si="151"/>
        <v>458</v>
      </c>
      <c r="E214" s="66">
        <f t="shared" si="151"/>
        <v>-233</v>
      </c>
      <c r="F214" s="66">
        <f t="shared" si="151"/>
        <v>-2063</v>
      </c>
      <c r="G214" s="66">
        <f t="shared" si="151"/>
        <v>-3364</v>
      </c>
    </row>
    <row r="215" spans="1:24" customFormat="1" x14ac:dyDescent="0.25">
      <c r="A215" t="s">
        <v>308</v>
      </c>
      <c r="B215" s="65">
        <f>B180</f>
        <v>2469</v>
      </c>
      <c r="C215" s="65">
        <f t="shared" ref="C215:G215" si="152">C180</f>
        <v>5364</v>
      </c>
      <c r="D215" s="65">
        <f t="shared" si="152"/>
        <v>4929</v>
      </c>
      <c r="E215" s="65">
        <f t="shared" si="152"/>
        <v>3552</v>
      </c>
      <c r="F215" s="65">
        <f t="shared" si="152"/>
        <v>2574</v>
      </c>
      <c r="G215" s="65">
        <f t="shared" si="152"/>
        <v>501</v>
      </c>
    </row>
    <row r="216" spans="1:24" customFormat="1" x14ac:dyDescent="0.25">
      <c r="A216" s="64" t="s">
        <v>334</v>
      </c>
      <c r="B216" s="66">
        <f>B182</f>
        <v>-916</v>
      </c>
      <c r="C216" s="66">
        <f t="shared" ref="C216:G216" si="153">C182</f>
        <v>-905</v>
      </c>
      <c r="D216" s="66">
        <f t="shared" si="153"/>
        <v>-596</v>
      </c>
      <c r="E216" s="66">
        <f t="shared" si="153"/>
        <v>-768</v>
      </c>
      <c r="F216" s="66">
        <f t="shared" si="153"/>
        <v>-826</v>
      </c>
      <c r="G216" s="66">
        <f t="shared" si="153"/>
        <v>-1194</v>
      </c>
    </row>
    <row r="217" spans="1:24" customFormat="1" x14ac:dyDescent="0.25">
      <c r="A217" t="s">
        <v>195</v>
      </c>
      <c r="B217" s="65">
        <f>SUM(B215:B216)</f>
        <v>1553</v>
      </c>
      <c r="C217" s="65">
        <f t="shared" ref="C217:G217" si="154">SUM(C215:C216)</f>
        <v>4459</v>
      </c>
      <c r="D217" s="65">
        <f t="shared" si="154"/>
        <v>4333</v>
      </c>
      <c r="E217" s="65">
        <f t="shared" si="154"/>
        <v>2784</v>
      </c>
      <c r="F217" s="65">
        <f t="shared" si="154"/>
        <v>1748</v>
      </c>
      <c r="G217" s="65">
        <f t="shared" si="154"/>
        <v>-693</v>
      </c>
    </row>
    <row r="218" spans="1:24" customFormat="1" x14ac:dyDescent="0.25">
      <c r="A218" s="64" t="s">
        <v>344</v>
      </c>
      <c r="B218" s="65">
        <f>B185</f>
        <v>208</v>
      </c>
      <c r="C218" s="65">
        <f t="shared" ref="C218:G218" si="155">C185</f>
        <v>-28</v>
      </c>
      <c r="D218" s="65">
        <f t="shared" si="155"/>
        <v>25</v>
      </c>
      <c r="E218" s="65">
        <f t="shared" si="155"/>
        <v>590</v>
      </c>
      <c r="F218" s="65">
        <f t="shared" si="155"/>
        <v>24</v>
      </c>
      <c r="G218" s="65">
        <f t="shared" si="155"/>
        <v>0</v>
      </c>
    </row>
    <row r="219" spans="1:24" customFormat="1" x14ac:dyDescent="0.25">
      <c r="A219" s="64" t="s">
        <v>83</v>
      </c>
      <c r="B219" s="65">
        <f>B184</f>
        <v>-481</v>
      </c>
      <c r="C219" s="65">
        <f t="shared" ref="C219:G219" si="156">C184</f>
        <v>-74</v>
      </c>
      <c r="D219" s="65">
        <f t="shared" si="156"/>
        <v>0</v>
      </c>
      <c r="E219" s="65">
        <f t="shared" si="156"/>
        <v>-199</v>
      </c>
      <c r="F219" s="65">
        <f t="shared" si="156"/>
        <v>-248</v>
      </c>
      <c r="G219" s="65">
        <f t="shared" si="156"/>
        <v>0</v>
      </c>
    </row>
    <row r="220" spans="1:24" customFormat="1" x14ac:dyDescent="0.25">
      <c r="A220" s="64" t="s">
        <v>335</v>
      </c>
      <c r="B220" s="65">
        <f>B197</f>
        <v>-1455</v>
      </c>
      <c r="C220" s="65">
        <f t="shared" ref="C220:G220" si="157">C197</f>
        <v>-7126</v>
      </c>
      <c r="D220" s="65">
        <f t="shared" si="157"/>
        <v>-1313</v>
      </c>
      <c r="E220" s="65">
        <f t="shared" si="157"/>
        <v>-1927</v>
      </c>
      <c r="F220" s="65">
        <f t="shared" si="157"/>
        <v>-152</v>
      </c>
      <c r="G220" s="65">
        <f t="shared" si="157"/>
        <v>-1351</v>
      </c>
    </row>
    <row r="221" spans="1:24" customFormat="1" x14ac:dyDescent="0.25">
      <c r="A221" s="64" t="s">
        <v>345</v>
      </c>
      <c r="B221" s="65">
        <f>B183</f>
        <v>0</v>
      </c>
      <c r="C221" s="65">
        <f t="shared" ref="C221:G221" si="158">C183</f>
        <v>0</v>
      </c>
      <c r="D221" s="65">
        <f t="shared" si="158"/>
        <v>0</v>
      </c>
      <c r="E221" s="65">
        <f t="shared" si="158"/>
        <v>0</v>
      </c>
      <c r="F221" s="65">
        <f t="shared" si="158"/>
        <v>1296</v>
      </c>
      <c r="G221" s="65">
        <f t="shared" si="158"/>
        <v>2286</v>
      </c>
    </row>
    <row r="222" spans="1:24" customFormat="1" x14ac:dyDescent="0.25">
      <c r="A222" s="64" t="s">
        <v>346</v>
      </c>
      <c r="B222" s="65">
        <f>B186</f>
        <v>88</v>
      </c>
      <c r="C222" s="65">
        <f t="shared" ref="C222:G222" si="159">C186</f>
        <v>5014</v>
      </c>
      <c r="D222" s="65">
        <f t="shared" si="159"/>
        <v>0</v>
      </c>
      <c r="E222" s="65">
        <f t="shared" si="159"/>
        <v>1875</v>
      </c>
      <c r="F222" s="65">
        <f t="shared" si="159"/>
        <v>18</v>
      </c>
      <c r="G222" s="65">
        <f t="shared" si="159"/>
        <v>0</v>
      </c>
    </row>
    <row r="223" spans="1:24" customFormat="1" x14ac:dyDescent="0.25">
      <c r="A223" s="64" t="s">
        <v>336</v>
      </c>
      <c r="B223" s="65">
        <f>B198</f>
        <v>-1960</v>
      </c>
      <c r="C223" s="65">
        <f t="shared" ref="C223:G223" si="160">C198</f>
        <v>-1959</v>
      </c>
      <c r="D223" s="65">
        <f t="shared" si="160"/>
        <v>-1958</v>
      </c>
      <c r="E223" s="65">
        <f t="shared" si="160"/>
        <v>-1953</v>
      </c>
      <c r="F223" s="65">
        <f t="shared" si="160"/>
        <v>-3183</v>
      </c>
      <c r="G223" s="65">
        <f t="shared" si="160"/>
        <v>-2888</v>
      </c>
    </row>
    <row r="224" spans="1:24" customFormat="1" x14ac:dyDescent="0.25">
      <c r="A224" s="64" t="s">
        <v>337</v>
      </c>
      <c r="B224" s="65">
        <f>B225-SUM(B217:B223)</f>
        <v>-358</v>
      </c>
      <c r="C224" s="65">
        <f t="shared" ref="C224:G224" si="161">C225-SUM(C217:C223)</f>
        <v>-258</v>
      </c>
      <c r="D224" s="65">
        <f t="shared" si="161"/>
        <v>51</v>
      </c>
      <c r="E224" s="65">
        <f t="shared" si="161"/>
        <v>-26</v>
      </c>
      <c r="F224" s="65">
        <f t="shared" si="161"/>
        <v>-136</v>
      </c>
      <c r="G224" s="65">
        <f t="shared" si="161"/>
        <v>160</v>
      </c>
    </row>
    <row r="225" spans="1:12" customFormat="1" ht="15.75" thickBot="1" x14ac:dyDescent="0.3">
      <c r="A225" t="s">
        <v>338</v>
      </c>
      <c r="B225" s="9">
        <f>B202</f>
        <v>-2405</v>
      </c>
      <c r="C225" s="9">
        <f t="shared" ref="C225:G225" si="162">C202</f>
        <v>28</v>
      </c>
      <c r="D225" s="9">
        <f t="shared" si="162"/>
        <v>1138</v>
      </c>
      <c r="E225" s="9">
        <f t="shared" si="162"/>
        <v>1144</v>
      </c>
      <c r="F225" s="9">
        <f t="shared" si="162"/>
        <v>-633</v>
      </c>
      <c r="G225" s="9">
        <f t="shared" si="162"/>
        <v>-2486</v>
      </c>
      <c r="H225" s="8"/>
      <c r="I225" s="65"/>
      <c r="J225" s="65"/>
      <c r="K225" s="65"/>
      <c r="L225" s="65"/>
    </row>
    <row r="226" spans="1:12" customFormat="1" ht="15.75" thickTop="1" x14ac:dyDescent="0.25"/>
    <row r="227" spans="1:12" customFormat="1" x14ac:dyDescent="0.25">
      <c r="A227" s="64" t="s">
        <v>331</v>
      </c>
      <c r="B227" s="8">
        <f>B162</f>
        <v>3952</v>
      </c>
      <c r="C227" s="8">
        <f>C162</f>
        <v>4958</v>
      </c>
      <c r="D227" s="8">
        <f t="shared" ref="D227:G227" si="163">D162</f>
        <v>4471</v>
      </c>
      <c r="E227" s="8">
        <f t="shared" si="163"/>
        <v>3785</v>
      </c>
      <c r="F227" s="8">
        <f t="shared" si="163"/>
        <v>4637</v>
      </c>
      <c r="G227" s="8">
        <f t="shared" si="163"/>
        <v>3865</v>
      </c>
    </row>
    <row r="228" spans="1:12" customFormat="1" x14ac:dyDescent="0.25">
      <c r="A228" s="64" t="s">
        <v>195</v>
      </c>
      <c r="B228" s="69">
        <f>B217</f>
        <v>1553</v>
      </c>
      <c r="C228" s="69">
        <f>C217</f>
        <v>4459</v>
      </c>
      <c r="D228" s="69">
        <f t="shared" ref="D228:G228" si="164">D217</f>
        <v>4333</v>
      </c>
      <c r="E228" s="69">
        <f t="shared" si="164"/>
        <v>2784</v>
      </c>
      <c r="F228" s="69">
        <f t="shared" si="164"/>
        <v>1748</v>
      </c>
      <c r="G228" s="69">
        <f t="shared" si="164"/>
        <v>-693</v>
      </c>
    </row>
    <row r="229" spans="1:12" customFormat="1" x14ac:dyDescent="0.25">
      <c r="A229" s="64" t="s">
        <v>306</v>
      </c>
      <c r="B229" s="69">
        <f t="shared" ref="B229:G229" si="165">B228+(B70*0.75)</f>
        <v>2243.75</v>
      </c>
      <c r="C229" s="69">
        <f t="shared" si="165"/>
        <v>5994.25</v>
      </c>
      <c r="D229" s="69">
        <f t="shared" si="165"/>
        <v>5378.5</v>
      </c>
      <c r="E229" s="69">
        <f t="shared" si="165"/>
        <v>3804.75</v>
      </c>
      <c r="F229" s="69">
        <f t="shared" si="165"/>
        <v>2711</v>
      </c>
      <c r="G229" s="69">
        <f t="shared" si="165"/>
        <v>232.5</v>
      </c>
    </row>
    <row r="230" spans="1:12" customFormat="1" x14ac:dyDescent="0.25">
      <c r="A230" s="64" t="s">
        <v>347</v>
      </c>
      <c r="B230" s="8">
        <f>B229+B220</f>
        <v>788.75</v>
      </c>
      <c r="C230" s="8">
        <f>C229+C220</f>
        <v>-1131.75</v>
      </c>
      <c r="D230" s="8">
        <f t="shared" ref="D230:G230" si="166">D229+D220</f>
        <v>4065.5</v>
      </c>
      <c r="E230" s="8">
        <f t="shared" si="166"/>
        <v>1877.75</v>
      </c>
      <c r="F230" s="8">
        <f t="shared" si="166"/>
        <v>2559</v>
      </c>
      <c r="G230" s="8">
        <f t="shared" si="166"/>
        <v>-1118.5</v>
      </c>
    </row>
    <row r="231" spans="1:12" customFormat="1" x14ac:dyDescent="0.25">
      <c r="A231" s="64"/>
    </row>
    <row r="232" spans="1:12" customFormat="1" x14ac:dyDescent="0.25">
      <c r="A232" s="64" t="s">
        <v>329</v>
      </c>
      <c r="B232" s="70">
        <f>-B182/B150</f>
        <v>0.98177920685959275</v>
      </c>
      <c r="C232" s="70">
        <f t="shared" ref="C232:F232" si="167">-C182/C150</f>
        <v>0.99450549450549453</v>
      </c>
      <c r="D232" s="70">
        <f t="shared" si="167"/>
        <v>0.61506707946336425</v>
      </c>
      <c r="E232" s="70">
        <f t="shared" si="167"/>
        <v>0.77263581488933597</v>
      </c>
      <c r="F232" s="70">
        <f t="shared" si="167"/>
        <v>0.84028484231943035</v>
      </c>
      <c r="G232" s="70">
        <f>-G182/G150</f>
        <v>1.1580989330746847</v>
      </c>
    </row>
    <row r="233" spans="1:12" customFormat="1" x14ac:dyDescent="0.25">
      <c r="A233" s="64" t="s">
        <v>339</v>
      </c>
      <c r="B233" s="70">
        <f t="shared" ref="B233:G233" si="168">B15/B150</f>
        <v>11.738478027867096</v>
      </c>
      <c r="C233" s="70">
        <f t="shared" si="168"/>
        <v>11.729670329670329</v>
      </c>
      <c r="D233" s="70">
        <f t="shared" si="168"/>
        <v>10.77296181630547</v>
      </c>
      <c r="E233" s="70">
        <f t="shared" si="168"/>
        <v>10.303822937625755</v>
      </c>
      <c r="F233" s="70">
        <f t="shared" si="168"/>
        <v>9.8290946083418103</v>
      </c>
      <c r="G233" s="70">
        <f t="shared" si="168"/>
        <v>8.874878758486906</v>
      </c>
    </row>
    <row r="234" spans="1:12" customFormat="1" x14ac:dyDescent="0.25">
      <c r="A234" s="64" t="s">
        <v>340</v>
      </c>
      <c r="B234" s="70">
        <f t="shared" ref="B234:G234" si="169">-B16/B150</f>
        <v>4.514469453376206</v>
      </c>
      <c r="C234" s="70">
        <f t="shared" si="169"/>
        <v>4.2505494505494505</v>
      </c>
      <c r="D234" s="70">
        <f t="shared" si="169"/>
        <v>3.6769865841073273</v>
      </c>
      <c r="E234" s="70">
        <f t="shared" si="169"/>
        <v>3.2062374245472838</v>
      </c>
      <c r="F234" s="70">
        <f t="shared" si="169"/>
        <v>2.6286876907426246</v>
      </c>
      <c r="G234" s="70">
        <f t="shared" si="169"/>
        <v>2.0261881668283221</v>
      </c>
    </row>
    <row r="235" spans="1:12" customFormat="1" x14ac:dyDescent="0.25">
      <c r="A235" s="64" t="s">
        <v>341</v>
      </c>
      <c r="B235" s="70">
        <f>B233-B234</f>
        <v>7.22400857449089</v>
      </c>
      <c r="C235" s="70">
        <f t="shared" ref="C235:G235" si="170">C233-C234</f>
        <v>7.4791208791208783</v>
      </c>
      <c r="D235" s="70">
        <f t="shared" si="170"/>
        <v>7.0959752321981426</v>
      </c>
      <c r="E235" s="70">
        <f t="shared" si="170"/>
        <v>7.0975855130784709</v>
      </c>
      <c r="F235" s="70">
        <f t="shared" si="170"/>
        <v>7.2004069175991852</v>
      </c>
      <c r="G235" s="70">
        <f t="shared" si="170"/>
        <v>6.8486905916585838</v>
      </c>
    </row>
    <row r="236" spans="1:12" customFormat="1" x14ac:dyDescent="0.25">
      <c r="A236" s="64" t="s">
        <v>342</v>
      </c>
      <c r="B236" s="28">
        <f>B234/B233</f>
        <v>0.38458728999269537</v>
      </c>
      <c r="C236" s="28">
        <f t="shared" ref="C236:G236" si="171">C234/C233</f>
        <v>0.36237586659171822</v>
      </c>
      <c r="D236" s="28">
        <f t="shared" si="171"/>
        <v>0.34131621802854678</v>
      </c>
      <c r="E236" s="28">
        <f t="shared" si="171"/>
        <v>0.31116969341925405</v>
      </c>
      <c r="F236" s="28">
        <f t="shared" si="171"/>
        <v>0.26743945352928999</v>
      </c>
      <c r="G236" s="28">
        <f t="shared" si="171"/>
        <v>0.22830601092896177</v>
      </c>
    </row>
    <row r="237" spans="1:12" customFormat="1" ht="15.75" thickBot="1" x14ac:dyDescent="0.3">
      <c r="A237" s="64" t="s">
        <v>343</v>
      </c>
      <c r="B237" s="87">
        <v>0</v>
      </c>
      <c r="C237" s="87">
        <v>0</v>
      </c>
      <c r="D237" s="87">
        <v>0</v>
      </c>
      <c r="E237" s="87">
        <v>0</v>
      </c>
      <c r="F237" s="87">
        <v>0</v>
      </c>
      <c r="G237" s="87">
        <v>0</v>
      </c>
    </row>
    <row r="238" spans="1:12" hidden="1" x14ac:dyDescent="0.25">
      <c r="A238" s="2" t="s">
        <v>103</v>
      </c>
      <c r="B238" s="8">
        <v>937</v>
      </c>
      <c r="C238" s="8">
        <v>1196</v>
      </c>
      <c r="D238" s="8">
        <v>1286</v>
      </c>
      <c r="E238" s="8">
        <v>1306</v>
      </c>
      <c r="F238" s="8">
        <v>1322</v>
      </c>
      <c r="G238" s="8">
        <v>1269</v>
      </c>
      <c r="H238" s="8"/>
    </row>
    <row r="239" spans="1:12" hidden="1" x14ac:dyDescent="0.25">
      <c r="A239" s="2" t="s">
        <v>104</v>
      </c>
      <c r="B239" s="2">
        <v>1260</v>
      </c>
      <c r="C239" s="2">
        <v>1295</v>
      </c>
      <c r="D239" s="2">
        <v>1027</v>
      </c>
      <c r="E239" s="2">
        <v>974</v>
      </c>
      <c r="F239" s="2">
        <v>543</v>
      </c>
      <c r="G239" s="2">
        <v>1206</v>
      </c>
    </row>
    <row r="240" spans="1:12" hidden="1" x14ac:dyDescent="0.25">
      <c r="A240" s="2" t="s">
        <v>105</v>
      </c>
      <c r="B240" s="8">
        <v>173</v>
      </c>
      <c r="C240" s="8">
        <v>176</v>
      </c>
      <c r="D240" s="8">
        <v>173</v>
      </c>
      <c r="E240" s="8">
        <v>191</v>
      </c>
      <c r="F240" s="8">
        <v>200</v>
      </c>
      <c r="G240" s="8">
        <v>244</v>
      </c>
      <c r="H240" s="8"/>
    </row>
    <row r="241" spans="1:24" ht="15.75" thickTop="1" x14ac:dyDescent="0.25"/>
    <row r="242" spans="1:24" s="15" customFormat="1" x14ac:dyDescent="0.25">
      <c r="A242" s="15" t="s">
        <v>0</v>
      </c>
      <c r="B242" s="15" t="s">
        <v>139</v>
      </c>
      <c r="J242" s="78"/>
      <c r="K242" s="78"/>
      <c r="L242" s="78"/>
      <c r="M242" s="78"/>
      <c r="N242" s="78"/>
      <c r="O242" s="78"/>
      <c r="P242" s="78"/>
      <c r="Q242" s="78"/>
      <c r="R242" s="78"/>
      <c r="S242" s="78"/>
      <c r="T242" s="78"/>
      <c r="U242" s="78"/>
      <c r="V242" s="78"/>
      <c r="W242" s="78"/>
      <c r="X242" s="78"/>
    </row>
    <row r="243" spans="1:24" s="15" customFormat="1" x14ac:dyDescent="0.25">
      <c r="A243" s="15" t="s">
        <v>348</v>
      </c>
      <c r="J243" s="78"/>
      <c r="K243" s="78"/>
      <c r="L243" s="78"/>
      <c r="M243" s="78"/>
      <c r="N243" s="78"/>
      <c r="O243" s="78"/>
      <c r="P243" s="78"/>
      <c r="Q243" s="78"/>
      <c r="R243" s="78"/>
      <c r="S243" s="78"/>
      <c r="T243" s="78"/>
      <c r="U243" s="78"/>
      <c r="V243" s="78"/>
      <c r="W243" s="78"/>
      <c r="X243" s="78"/>
    </row>
    <row r="244" spans="1:24" s="15" customFormat="1" x14ac:dyDescent="0.25">
      <c r="A244" s="15" t="s">
        <v>2</v>
      </c>
      <c r="F244" s="15" t="s">
        <v>150</v>
      </c>
      <c r="G244" s="16" t="s">
        <v>125</v>
      </c>
      <c r="H244" s="16"/>
      <c r="J244" s="78"/>
      <c r="K244" s="78"/>
      <c r="L244" s="78"/>
      <c r="M244" s="78"/>
      <c r="N244" s="78"/>
      <c r="O244" s="79"/>
      <c r="P244" s="79"/>
      <c r="Q244" s="78"/>
      <c r="R244" s="78"/>
      <c r="S244" s="78"/>
      <c r="T244" s="78"/>
      <c r="U244" s="78"/>
      <c r="V244" s="78"/>
      <c r="W244" s="78"/>
      <c r="X244" s="78"/>
    </row>
    <row r="245" spans="1:24" s="15" customFormat="1" ht="15.75" thickBot="1" x14ac:dyDescent="0.3">
      <c r="A245" s="16" t="s">
        <v>3</v>
      </c>
      <c r="B245" s="17">
        <v>2022</v>
      </c>
      <c r="C245" s="17">
        <v>2021</v>
      </c>
      <c r="D245" s="17">
        <v>2020</v>
      </c>
      <c r="E245" s="17">
        <v>2019</v>
      </c>
      <c r="F245" s="17">
        <v>2018</v>
      </c>
      <c r="G245" s="17">
        <v>2017</v>
      </c>
      <c r="H245" s="22"/>
      <c r="J245" s="22"/>
      <c r="K245" s="22"/>
      <c r="L245" s="22"/>
      <c r="M245" s="22"/>
      <c r="N245" s="22"/>
      <c r="O245" s="22"/>
      <c r="P245" s="22"/>
      <c r="Q245" s="78"/>
      <c r="R245" s="78"/>
      <c r="S245" s="78"/>
      <c r="T245" s="22"/>
      <c r="U245" s="22"/>
      <c r="V245" s="22"/>
      <c r="W245" s="22"/>
      <c r="X245" s="22"/>
    </row>
    <row r="246" spans="1:24" x14ac:dyDescent="0.25">
      <c r="A246" s="5" t="s">
        <v>305</v>
      </c>
      <c r="B246" s="8">
        <f t="shared" ref="B246:G246" si="172">B11-B28</f>
        <v>-1131</v>
      </c>
      <c r="C246" s="8">
        <f t="shared" si="172"/>
        <v>-70</v>
      </c>
      <c r="D246" s="8">
        <f t="shared" si="172"/>
        <v>2761</v>
      </c>
      <c r="E246" s="8">
        <f t="shared" si="172"/>
        <v>222</v>
      </c>
      <c r="F246" s="8">
        <f t="shared" si="172"/>
        <v>1572</v>
      </c>
      <c r="G246" s="8">
        <f t="shared" si="172"/>
        <v>-2953</v>
      </c>
    </row>
    <row r="247" spans="1:24" x14ac:dyDescent="0.25">
      <c r="A247" s="5" t="s">
        <v>349</v>
      </c>
      <c r="B247" s="8">
        <f t="shared" ref="B247:G247" si="173">(B11-B6-B7)-(B28-B23)</f>
        <v>-1334</v>
      </c>
      <c r="C247" s="8">
        <f t="shared" si="173"/>
        <v>-2761</v>
      </c>
      <c r="D247" s="8">
        <f t="shared" si="173"/>
        <v>-420</v>
      </c>
      <c r="E247" s="8">
        <f t="shared" si="173"/>
        <v>-1029</v>
      </c>
      <c r="F247" s="8">
        <f t="shared" si="173"/>
        <v>840</v>
      </c>
      <c r="G247" s="8">
        <f t="shared" si="173"/>
        <v>-1387</v>
      </c>
    </row>
    <row r="248" spans="1:24" x14ac:dyDescent="0.25">
      <c r="A248" s="5" t="s">
        <v>350</v>
      </c>
      <c r="B248" s="71">
        <f t="shared" ref="B248:G248" si="174">B11/B28</f>
        <v>0.87472308373947716</v>
      </c>
      <c r="C248" s="71">
        <f t="shared" si="174"/>
        <v>0.99227714033539272</v>
      </c>
      <c r="D248" s="71">
        <f t="shared" si="174"/>
        <v>1.342513335814415</v>
      </c>
      <c r="E248" s="71">
        <f t="shared" si="174"/>
        <v>1.0281904761904761</v>
      </c>
      <c r="F248" s="71">
        <f t="shared" si="174"/>
        <v>1.2095161935225909</v>
      </c>
      <c r="G248" s="71">
        <f t="shared" si="174"/>
        <v>0.70917864880835135</v>
      </c>
    </row>
    <row r="249" spans="1:24" x14ac:dyDescent="0.25">
      <c r="A249" s="5" t="s">
        <v>351</v>
      </c>
      <c r="B249" s="71">
        <f t="shared" ref="B249:G249" si="175">(B6+B7+B8)/B28</f>
        <v>0.3500221533008418</v>
      </c>
      <c r="C249" s="71">
        <f t="shared" si="175"/>
        <v>0.59598411297440423</v>
      </c>
      <c r="D249" s="71">
        <f t="shared" si="175"/>
        <v>0.67981639995037835</v>
      </c>
      <c r="E249" s="71">
        <f t="shared" si="175"/>
        <v>0.53993650793650794</v>
      </c>
      <c r="F249" s="71">
        <f t="shared" si="175"/>
        <v>0.43435958949753434</v>
      </c>
      <c r="G249" s="71">
        <f t="shared" si="175"/>
        <v>0.25113255859759703</v>
      </c>
    </row>
    <row r="250" spans="1:24" x14ac:dyDescent="0.25">
      <c r="A250" s="5" t="s">
        <v>352</v>
      </c>
      <c r="B250" s="71">
        <f t="shared" ref="B250:G250" si="176">(B6+B7)/B28</f>
        <v>0.11519716437749225</v>
      </c>
      <c r="C250" s="71">
        <f t="shared" si="176"/>
        <v>0.38007502206531335</v>
      </c>
      <c r="D250" s="71">
        <f t="shared" si="176"/>
        <v>0.423892817268329</v>
      </c>
      <c r="E250" s="71">
        <f t="shared" si="176"/>
        <v>0.28939682539682537</v>
      </c>
      <c r="F250" s="71">
        <f t="shared" si="176"/>
        <v>0.15060642409702785</v>
      </c>
      <c r="G250" s="71">
        <f t="shared" si="176"/>
        <v>0.16042938743352372</v>
      </c>
    </row>
    <row r="251" spans="1:24" x14ac:dyDescent="0.25">
      <c r="A251" s="18" t="s">
        <v>353</v>
      </c>
      <c r="B251" s="71"/>
      <c r="C251" s="71"/>
      <c r="D251" s="71"/>
      <c r="E251" s="71"/>
      <c r="F251" s="71"/>
      <c r="G251" s="71"/>
    </row>
    <row r="252" spans="1:24" x14ac:dyDescent="0.25">
      <c r="A252" s="5" t="s">
        <v>354</v>
      </c>
      <c r="B252" s="71">
        <f t="shared" ref="B252:G253" si="177">B60/(AVERAGE(B8:C8))</f>
        <v>12.992396369879813</v>
      </c>
      <c r="C252" s="71">
        <f t="shared" si="177"/>
        <v>12.956218905472637</v>
      </c>
      <c r="D252" s="71">
        <f t="shared" si="177"/>
        <v>12.975718533201189</v>
      </c>
      <c r="E252" s="71">
        <f t="shared" si="177"/>
        <v>12.177961969770843</v>
      </c>
      <c r="F252" s="71">
        <f t="shared" si="177"/>
        <v>17.224918032786885</v>
      </c>
      <c r="G252" s="71">
        <f t="shared" si="177"/>
        <v>28.312703583061889</v>
      </c>
    </row>
    <row r="253" spans="1:24" x14ac:dyDescent="0.25">
      <c r="A253" s="5" t="s">
        <v>355</v>
      </c>
      <c r="B253" s="71">
        <f t="shared" si="177"/>
        <v>5.7564263322884015</v>
      </c>
      <c r="C253" s="71">
        <f t="shared" si="177"/>
        <v>6.5720234715123986</v>
      </c>
      <c r="D253" s="71">
        <f t="shared" si="177"/>
        <v>6.4485308056872039</v>
      </c>
      <c r="E253" s="71">
        <f t="shared" si="177"/>
        <v>6.2472160356347439</v>
      </c>
      <c r="F253" s="71">
        <f t="shared" si="177"/>
        <v>6.3928505620047913</v>
      </c>
      <c r="G253" s="71">
        <f t="shared" si="177"/>
        <v>6.1749999999999998</v>
      </c>
    </row>
    <row r="254" spans="1:24" x14ac:dyDescent="0.25">
      <c r="A254" s="5" t="s">
        <v>356</v>
      </c>
      <c r="B254" s="71">
        <f t="shared" ref="B254:G254" si="178">B268/AVERAGE(B24:C24)</f>
        <v>4.0587438808457454</v>
      </c>
      <c r="C254" s="71">
        <f t="shared" si="178"/>
        <v>3.8652975598984209</v>
      </c>
      <c r="D254" s="71">
        <f t="shared" si="178"/>
        <v>4.1548091970627183</v>
      </c>
      <c r="E254" s="71">
        <f t="shared" si="178"/>
        <v>4.1949485041687105</v>
      </c>
      <c r="F254" s="71">
        <f t="shared" si="178"/>
        <v>4.1334116265413972</v>
      </c>
      <c r="G254" s="71">
        <f t="shared" si="178"/>
        <v>3.9612563044475011</v>
      </c>
    </row>
    <row r="255" spans="1:24" x14ac:dyDescent="0.25">
      <c r="A255" s="18" t="s">
        <v>357</v>
      </c>
      <c r="B255" s="71"/>
      <c r="C255" s="71"/>
      <c r="D255" s="71"/>
      <c r="E255" s="71"/>
      <c r="F255" s="71"/>
      <c r="G255" s="71"/>
    </row>
    <row r="256" spans="1:24" x14ac:dyDescent="0.25">
      <c r="A256" s="5" t="s">
        <v>358</v>
      </c>
      <c r="B256" s="71">
        <f>360/B252</f>
        <v>27.708514253350955</v>
      </c>
      <c r="C256" s="71">
        <f t="shared" ref="C256:G257" si="179">360/C252</f>
        <v>27.78588434068044</v>
      </c>
      <c r="D256" s="71">
        <f t="shared" si="179"/>
        <v>27.744128317739165</v>
      </c>
      <c r="E256" s="71">
        <f t="shared" si="179"/>
        <v>29.561596668935422</v>
      </c>
      <c r="F256" s="71">
        <f t="shared" si="179"/>
        <v>20.899954317039743</v>
      </c>
      <c r="G256" s="71">
        <f t="shared" si="179"/>
        <v>12.715140358950759</v>
      </c>
    </row>
    <row r="257" spans="1:7" x14ac:dyDescent="0.25">
      <c r="A257" s="5" t="s">
        <v>359</v>
      </c>
      <c r="B257" s="75">
        <f>360/B253</f>
        <v>62.53880084953439</v>
      </c>
      <c r="C257" s="75">
        <f t="shared" si="179"/>
        <v>54.777649769585253</v>
      </c>
      <c r="D257" s="75">
        <f t="shared" si="179"/>
        <v>55.826669802445906</v>
      </c>
      <c r="E257" s="75">
        <f t="shared" si="179"/>
        <v>57.62566844919786</v>
      </c>
      <c r="F257" s="75">
        <f t="shared" si="179"/>
        <v>56.312907130916003</v>
      </c>
      <c r="G257" s="75">
        <f t="shared" si="179"/>
        <v>58.299595141700408</v>
      </c>
    </row>
    <row r="258" spans="1:7" x14ac:dyDescent="0.25">
      <c r="A258" s="72" t="s">
        <v>374</v>
      </c>
      <c r="B258" s="90">
        <f>SUM(B256:B257)</f>
        <v>90.247315102885352</v>
      </c>
      <c r="C258" s="90">
        <f t="shared" ref="C258:G258" si="180">SUM(C256:C257)</f>
        <v>82.563534110265692</v>
      </c>
      <c r="D258" s="90">
        <f t="shared" si="180"/>
        <v>83.570798120185074</v>
      </c>
      <c r="E258" s="90">
        <f t="shared" si="180"/>
        <v>87.187265118133283</v>
      </c>
      <c r="F258" s="90">
        <f t="shared" si="180"/>
        <v>77.212861447955746</v>
      </c>
      <c r="G258" s="90">
        <f t="shared" si="180"/>
        <v>71.01473550065117</v>
      </c>
    </row>
    <row r="259" spans="1:7" x14ac:dyDescent="0.25">
      <c r="A259" s="72" t="s">
        <v>360</v>
      </c>
      <c r="B259" s="71"/>
      <c r="C259" s="71"/>
      <c r="D259" s="71"/>
      <c r="E259" s="71"/>
      <c r="F259" s="71"/>
      <c r="G259" s="71"/>
    </row>
    <row r="260" spans="1:7" x14ac:dyDescent="0.25">
      <c r="A260" s="5" t="s">
        <v>361</v>
      </c>
      <c r="B260" s="71">
        <f>360/B254</f>
        <v>88.697392732498457</v>
      </c>
      <c r="C260" s="71">
        <f t="shared" ref="C260:F260" si="181">360/C254</f>
        <v>93.136425959780624</v>
      </c>
      <c r="D260" s="71">
        <f t="shared" si="181"/>
        <v>86.646578200150657</v>
      </c>
      <c r="E260" s="71">
        <f t="shared" si="181"/>
        <v>85.817501607529081</v>
      </c>
      <c r="F260" s="71">
        <f t="shared" si="181"/>
        <v>87.095124445959783</v>
      </c>
      <c r="G260" s="71">
        <f>360/G254</f>
        <v>90.880259274263551</v>
      </c>
    </row>
    <row r="261" spans="1:7" x14ac:dyDescent="0.25">
      <c r="A261" s="5" t="s">
        <v>362</v>
      </c>
      <c r="B261" s="71">
        <f>B258-B260</f>
        <v>1.549922370386895</v>
      </c>
      <c r="C261" s="71">
        <f t="shared" ref="C261:G261" si="182">C258-C260</f>
        <v>-10.572891849514932</v>
      </c>
      <c r="D261" s="71">
        <f t="shared" si="182"/>
        <v>-3.0757800799655826</v>
      </c>
      <c r="E261" s="71">
        <f t="shared" si="182"/>
        <v>1.3697635106042014</v>
      </c>
      <c r="F261" s="71">
        <f t="shared" si="182"/>
        <v>-9.8822629980040375</v>
      </c>
      <c r="G261" s="71">
        <f t="shared" si="182"/>
        <v>-19.865523773612381</v>
      </c>
    </row>
    <row r="262" spans="1:7" x14ac:dyDescent="0.25">
      <c r="A262" s="18" t="s">
        <v>363</v>
      </c>
      <c r="B262" s="71"/>
      <c r="C262" s="71"/>
      <c r="D262" s="71"/>
      <c r="E262" s="71"/>
      <c r="F262" s="71"/>
      <c r="G262" s="71"/>
    </row>
    <row r="263" spans="1:7" x14ac:dyDescent="0.25">
      <c r="A263" s="5" t="s">
        <v>364</v>
      </c>
      <c r="B263" s="71">
        <f t="shared" ref="B263:G263" si="183">B24/(B60/360)</f>
        <v>65.896922786482918</v>
      </c>
      <c r="C263" s="71">
        <f t="shared" si="183"/>
        <v>65.704630980723451</v>
      </c>
      <c r="D263" s="71">
        <f t="shared" si="183"/>
        <v>59.172808860034365</v>
      </c>
      <c r="E263" s="71">
        <f t="shared" si="183"/>
        <v>57.696280578131876</v>
      </c>
      <c r="F263" s="71">
        <f t="shared" si="183"/>
        <v>56.916400182731842</v>
      </c>
      <c r="G263" s="71">
        <f t="shared" si="183"/>
        <v>60.220892774965485</v>
      </c>
    </row>
    <row r="264" spans="1:7" x14ac:dyDescent="0.25">
      <c r="A264" s="5" t="s">
        <v>365</v>
      </c>
      <c r="B264" s="71">
        <f t="shared" ref="B264:G264" si="184">B9/(B61/360)</f>
        <v>71.576539781081522</v>
      </c>
      <c r="C264" s="71">
        <f t="shared" si="184"/>
        <v>56.592165898617509</v>
      </c>
      <c r="D264" s="71">
        <f t="shared" si="184"/>
        <v>54.059266227657567</v>
      </c>
      <c r="E264" s="71">
        <f t="shared" si="184"/>
        <v>58.203208556149733</v>
      </c>
      <c r="F264" s="71">
        <f t="shared" si="184"/>
        <v>55.34789877212198</v>
      </c>
      <c r="G264" s="71">
        <f t="shared" si="184"/>
        <v>58.299595141700401</v>
      </c>
    </row>
    <row r="265" spans="1:7" x14ac:dyDescent="0.25">
      <c r="A265" s="5" t="s">
        <v>366</v>
      </c>
      <c r="B265" s="71">
        <f t="shared" ref="B265:G265" si="185">B24/(B269/360)</f>
        <v>90.279329608938539</v>
      </c>
      <c r="C265" s="71">
        <f t="shared" si="185"/>
        <v>100.08656995788489</v>
      </c>
      <c r="D265" s="71">
        <f t="shared" si="185"/>
        <v>90.876246334310849</v>
      </c>
      <c r="E265" s="71">
        <f t="shared" si="185"/>
        <v>83.954558695018932</v>
      </c>
      <c r="F265" s="71">
        <f t="shared" si="185"/>
        <v>84.846489983542369</v>
      </c>
      <c r="G265" s="71">
        <f t="shared" si="185"/>
        <v>93.260482242546615</v>
      </c>
    </row>
    <row r="266" spans="1:7" x14ac:dyDescent="0.25">
      <c r="A266" s="72" t="s">
        <v>373</v>
      </c>
      <c r="B266" s="71"/>
      <c r="C266" s="71"/>
      <c r="D266" s="71"/>
      <c r="E266" s="71"/>
      <c r="F266" s="71"/>
      <c r="G266" s="71"/>
    </row>
    <row r="267" spans="1:7" x14ac:dyDescent="0.25">
      <c r="A267" s="5" t="s">
        <v>367</v>
      </c>
      <c r="B267" s="8">
        <f t="shared" ref="B267:G267" si="186">B60+B164</f>
        <v>26257</v>
      </c>
      <c r="C267" s="8">
        <f t="shared" si="186"/>
        <v>26129</v>
      </c>
      <c r="D267" s="8">
        <f t="shared" si="186"/>
        <v>26159</v>
      </c>
      <c r="E267" s="8">
        <f t="shared" si="186"/>
        <v>25117</v>
      </c>
      <c r="F267" s="8">
        <f t="shared" si="186"/>
        <v>23988</v>
      </c>
      <c r="G267" s="8">
        <f t="shared" si="186"/>
        <v>23447</v>
      </c>
    </row>
    <row r="268" spans="1:7" x14ac:dyDescent="0.25">
      <c r="A268" s="5" t="s">
        <v>368</v>
      </c>
      <c r="B268" s="76">
        <f t="shared" ref="B268:G268" si="187">B61-B165</f>
        <v>19484</v>
      </c>
      <c r="C268" s="76">
        <f t="shared" si="187"/>
        <v>17504</v>
      </c>
      <c r="D268" s="76">
        <f t="shared" si="187"/>
        <v>17257</v>
      </c>
      <c r="E268" s="76">
        <f t="shared" si="187"/>
        <v>17107</v>
      </c>
      <c r="F268" s="76">
        <f t="shared" si="187"/>
        <v>17598</v>
      </c>
      <c r="G268" s="76">
        <f t="shared" si="187"/>
        <v>17279</v>
      </c>
    </row>
    <row r="269" spans="1:7" x14ac:dyDescent="0.25">
      <c r="A269" s="5" t="s">
        <v>369</v>
      </c>
      <c r="B269" s="73">
        <f t="shared" ref="B269:G269" si="188">B268-B166</f>
        <v>19332</v>
      </c>
      <c r="C269" s="73">
        <f t="shared" si="188"/>
        <v>17096</v>
      </c>
      <c r="D269" s="73">
        <f t="shared" si="188"/>
        <v>17050</v>
      </c>
      <c r="E269" s="73">
        <f t="shared" si="188"/>
        <v>17165</v>
      </c>
      <c r="F269" s="73">
        <f t="shared" si="188"/>
        <v>17621</v>
      </c>
      <c r="G269" s="73">
        <f t="shared" si="188"/>
        <v>16838</v>
      </c>
    </row>
    <row r="270" spans="1:7" x14ac:dyDescent="0.25">
      <c r="A270" s="5" t="s">
        <v>370</v>
      </c>
      <c r="B270" s="73">
        <f t="shared" ref="B270:G270" si="189">B267-B215</f>
        <v>23788</v>
      </c>
      <c r="C270" s="73">
        <f t="shared" si="189"/>
        <v>20765</v>
      </c>
      <c r="D270" s="73">
        <f t="shared" si="189"/>
        <v>21230</v>
      </c>
      <c r="E270" s="73">
        <f t="shared" si="189"/>
        <v>21565</v>
      </c>
      <c r="F270" s="73">
        <f t="shared" si="189"/>
        <v>21414</v>
      </c>
      <c r="G270" s="73">
        <f t="shared" si="189"/>
        <v>22946</v>
      </c>
    </row>
    <row r="271" spans="1:7" x14ac:dyDescent="0.25">
      <c r="A271" s="5" t="s">
        <v>371</v>
      </c>
      <c r="B271" s="73">
        <f>B267/360</f>
        <v>72.936111111111117</v>
      </c>
      <c r="C271" s="73">
        <f t="shared" ref="C271:G272" si="190">C267/360</f>
        <v>72.580555555555549</v>
      </c>
      <c r="D271" s="73">
        <f t="shared" si="190"/>
        <v>72.663888888888891</v>
      </c>
      <c r="E271" s="73">
        <f t="shared" si="190"/>
        <v>69.769444444444446</v>
      </c>
      <c r="F271" s="73">
        <f t="shared" si="190"/>
        <v>66.63333333333334</v>
      </c>
      <c r="G271" s="73">
        <f t="shared" si="190"/>
        <v>65.13055555555556</v>
      </c>
    </row>
    <row r="272" spans="1:7" ht="15.75" thickBot="1" x14ac:dyDescent="0.3">
      <c r="A272" s="82" t="s">
        <v>372</v>
      </c>
      <c r="B272" s="61">
        <f>B268/360</f>
        <v>54.12222222222222</v>
      </c>
      <c r="C272" s="61">
        <f t="shared" si="190"/>
        <v>48.62222222222222</v>
      </c>
      <c r="D272" s="61">
        <f t="shared" si="190"/>
        <v>47.93611111111111</v>
      </c>
      <c r="E272" s="61">
        <f t="shared" si="190"/>
        <v>47.519444444444446</v>
      </c>
      <c r="F272" s="61">
        <f t="shared" si="190"/>
        <v>48.883333333333333</v>
      </c>
      <c r="G272" s="61">
        <f t="shared" si="190"/>
        <v>47.99722222222222</v>
      </c>
    </row>
    <row r="273" spans="1:24" ht="15.75" thickTop="1" x14ac:dyDescent="0.25"/>
    <row r="274" spans="1:24" x14ac:dyDescent="0.25">
      <c r="A274" s="18" t="s">
        <v>378</v>
      </c>
    </row>
    <row r="275" spans="1:24" x14ac:dyDescent="0.25">
      <c r="A275" s="5" t="s">
        <v>375</v>
      </c>
      <c r="B275" s="1">
        <f t="shared" ref="B275:F276" si="191">(AVERAGE(B8:C8))/(B60/360)</f>
        <v>27.708514253350955</v>
      </c>
      <c r="C275" s="1">
        <f t="shared" si="191"/>
        <v>27.78588434068044</v>
      </c>
      <c r="D275" s="1">
        <f t="shared" si="191"/>
        <v>27.744128317739161</v>
      </c>
      <c r="E275" s="1">
        <f t="shared" si="191"/>
        <v>29.561596668935419</v>
      </c>
      <c r="F275" s="1">
        <f t="shared" si="191"/>
        <v>20.899954317039743</v>
      </c>
      <c r="G275" s="1">
        <f>(AVERAGE(G8:G8))/(G60/360)</f>
        <v>12.715140358950759</v>
      </c>
    </row>
    <row r="276" spans="1:24" x14ac:dyDescent="0.25">
      <c r="A276" s="5" t="s">
        <v>376</v>
      </c>
      <c r="B276" s="74">
        <f t="shared" si="191"/>
        <v>62.53880084953439</v>
      </c>
      <c r="C276" s="74">
        <f t="shared" si="191"/>
        <v>54.777649769585253</v>
      </c>
      <c r="D276" s="74">
        <f t="shared" si="191"/>
        <v>55.826669802445906</v>
      </c>
      <c r="E276" s="74">
        <f t="shared" si="191"/>
        <v>57.62566844919786</v>
      </c>
      <c r="F276" s="74">
        <f t="shared" si="191"/>
        <v>56.31290713091601</v>
      </c>
      <c r="G276" s="74">
        <f>(AVERAGE(G9:G9))/(G61/360)</f>
        <v>58.299595141700401</v>
      </c>
    </row>
    <row r="277" spans="1:24" x14ac:dyDescent="0.25">
      <c r="A277" s="18" t="s">
        <v>374</v>
      </c>
      <c r="B277" s="77">
        <f>SUM(B275:B276)</f>
        <v>90.247315102885352</v>
      </c>
      <c r="C277" s="77">
        <f t="shared" ref="C277:G277" si="192">SUM(C275:C276)</f>
        <v>82.563534110265692</v>
      </c>
      <c r="D277" s="77">
        <f t="shared" si="192"/>
        <v>83.57079812018506</v>
      </c>
      <c r="E277" s="77">
        <f t="shared" si="192"/>
        <v>87.187265118133283</v>
      </c>
      <c r="F277" s="77">
        <f t="shared" si="192"/>
        <v>77.21286144795576</v>
      </c>
      <c r="G277" s="77">
        <f t="shared" si="192"/>
        <v>71.014735500651156</v>
      </c>
    </row>
    <row r="278" spans="1:24" ht="15.75" thickBot="1" x14ac:dyDescent="0.3">
      <c r="A278" s="82" t="s">
        <v>377</v>
      </c>
      <c r="B278" s="80">
        <f>(AVERAGE(B24:C24))/(B61/360)</f>
        <v>94.112073190655124</v>
      </c>
      <c r="C278" s="80">
        <f>(AVERAGE(C24:D24))/(C61/360)</f>
        <v>93.908986175115203</v>
      </c>
      <c r="D278" s="80">
        <f>(AVERAGE(D24:E24))/(D61/360)</f>
        <v>87.915098777046097</v>
      </c>
      <c r="E278" s="80">
        <f>(AVERAGE(E24:F24))/(E61/360)</f>
        <v>87.229946524064175</v>
      </c>
      <c r="F278" s="80">
        <f>(AVERAGE(F24:G24))/(F61/360)</f>
        <v>88.355335216463942</v>
      </c>
      <c r="G278" s="80">
        <f>(AVERAGE(G24:G24))/(G61/360)</f>
        <v>92.138707973948243</v>
      </c>
    </row>
    <row r="279" spans="1:24" ht="15.75" thickTop="1" x14ac:dyDescent="0.25"/>
    <row r="280" spans="1:24" s="15" customFormat="1" x14ac:dyDescent="0.25">
      <c r="A280" s="15" t="s">
        <v>0</v>
      </c>
      <c r="B280" s="15" t="s">
        <v>139</v>
      </c>
      <c r="J280" s="78"/>
      <c r="K280" s="78"/>
      <c r="L280" s="78"/>
      <c r="M280" s="78"/>
      <c r="N280" s="78"/>
      <c r="O280" s="78"/>
      <c r="P280" s="78"/>
      <c r="Q280" s="78"/>
      <c r="R280" s="78"/>
      <c r="S280" s="78"/>
      <c r="T280" s="78"/>
      <c r="U280" s="78"/>
      <c r="V280" s="78"/>
      <c r="W280" s="78"/>
      <c r="X280" s="78"/>
    </row>
    <row r="281" spans="1:24" s="15" customFormat="1" x14ac:dyDescent="0.25">
      <c r="A281" s="15" t="s">
        <v>379</v>
      </c>
      <c r="J281" s="78"/>
      <c r="K281" s="78"/>
      <c r="L281" s="78"/>
      <c r="M281" s="78"/>
      <c r="N281" s="78"/>
      <c r="O281" s="78"/>
      <c r="P281" s="78"/>
      <c r="Q281" s="78"/>
      <c r="R281" s="78"/>
      <c r="S281" s="78"/>
      <c r="T281" s="78"/>
      <c r="U281" s="78"/>
      <c r="V281" s="78"/>
      <c r="W281" s="78"/>
      <c r="X281" s="78"/>
    </row>
    <row r="282" spans="1:24" s="15" customFormat="1" x14ac:dyDescent="0.25">
      <c r="A282" s="15" t="s">
        <v>2</v>
      </c>
      <c r="F282" s="15" t="s">
        <v>150</v>
      </c>
      <c r="G282" s="16" t="s">
        <v>125</v>
      </c>
      <c r="H282" s="16"/>
      <c r="J282" s="78"/>
      <c r="K282" s="78"/>
      <c r="L282" s="78"/>
      <c r="M282" s="78"/>
      <c r="N282" s="78"/>
      <c r="O282" s="79"/>
      <c r="P282" s="79"/>
      <c r="Q282" s="78"/>
      <c r="R282" s="78"/>
      <c r="S282" s="78"/>
      <c r="T282" s="78"/>
      <c r="U282" s="78"/>
      <c r="V282" s="78"/>
      <c r="W282" s="78"/>
      <c r="X282" s="78"/>
    </row>
    <row r="283" spans="1:24" s="15" customFormat="1" ht="15.75" thickBot="1" x14ac:dyDescent="0.3">
      <c r="A283" s="16" t="s">
        <v>3</v>
      </c>
      <c r="B283" s="17">
        <v>2022</v>
      </c>
      <c r="C283" s="17">
        <v>2021</v>
      </c>
      <c r="D283" s="17">
        <v>2020</v>
      </c>
      <c r="E283" s="17">
        <v>2019</v>
      </c>
      <c r="F283" s="17">
        <v>2018</v>
      </c>
      <c r="G283" s="17">
        <v>2017</v>
      </c>
      <c r="H283" s="22"/>
      <c r="J283" s="22"/>
      <c r="K283" s="22"/>
      <c r="L283" s="22"/>
      <c r="M283" s="22"/>
      <c r="N283" s="22"/>
      <c r="O283" s="22"/>
      <c r="P283" s="22"/>
      <c r="Q283" s="78"/>
      <c r="R283" s="78"/>
      <c r="S283" s="78"/>
      <c r="T283" s="22"/>
      <c r="U283" s="22"/>
      <c r="V283" s="22"/>
      <c r="W283" s="22"/>
      <c r="X283" s="22"/>
    </row>
    <row r="284" spans="1:24" x14ac:dyDescent="0.25">
      <c r="A284" s="18" t="s">
        <v>387</v>
      </c>
    </row>
    <row r="285" spans="1:24" x14ac:dyDescent="0.25">
      <c r="A285" s="5" t="s">
        <v>383</v>
      </c>
      <c r="B285" s="8">
        <f t="shared" ref="B285:G285" si="193">B32</f>
        <v>41643</v>
      </c>
      <c r="C285" s="8">
        <f t="shared" si="193"/>
        <v>43942</v>
      </c>
      <c r="D285" s="8">
        <f t="shared" si="193"/>
        <v>49587</v>
      </c>
      <c r="E285" s="8">
        <f t="shared" si="193"/>
        <v>49701</v>
      </c>
      <c r="F285" s="8">
        <f t="shared" si="193"/>
        <v>51683</v>
      </c>
      <c r="G285" s="8">
        <f t="shared" si="193"/>
        <v>54016</v>
      </c>
    </row>
    <row r="286" spans="1:24" x14ac:dyDescent="0.25">
      <c r="A286" s="5" t="s">
        <v>382</v>
      </c>
      <c r="B286" s="31">
        <f t="shared" ref="B286:G286" si="194">B23+B29</f>
        <v>20070</v>
      </c>
      <c r="C286" s="31">
        <f t="shared" si="194"/>
        <v>21815</v>
      </c>
      <c r="D286" s="31">
        <f t="shared" si="194"/>
        <v>28306</v>
      </c>
      <c r="E286" s="31">
        <f t="shared" si="194"/>
        <v>29244</v>
      </c>
      <c r="F286" s="31">
        <f t="shared" si="194"/>
        <v>31168</v>
      </c>
      <c r="G286" s="31">
        <f t="shared" si="194"/>
        <v>31503</v>
      </c>
    </row>
    <row r="287" spans="1:24" x14ac:dyDescent="0.25">
      <c r="A287" s="72" t="s">
        <v>381</v>
      </c>
      <c r="B287" s="18">
        <f>B285-B286</f>
        <v>21573</v>
      </c>
      <c r="C287" s="18">
        <f t="shared" ref="C287:G287" si="195">C285-C286</f>
        <v>22127</v>
      </c>
      <c r="D287" s="18">
        <f t="shared" si="195"/>
        <v>21281</v>
      </c>
      <c r="E287" s="18">
        <f t="shared" si="195"/>
        <v>20457</v>
      </c>
      <c r="F287" s="18">
        <f t="shared" si="195"/>
        <v>20515</v>
      </c>
      <c r="G287" s="18">
        <f t="shared" si="195"/>
        <v>22513</v>
      </c>
    </row>
    <row r="288" spans="1:24" x14ac:dyDescent="0.25">
      <c r="A288" s="5" t="s">
        <v>384</v>
      </c>
      <c r="B288" s="2">
        <v>0</v>
      </c>
      <c r="C288" s="2">
        <v>0</v>
      </c>
      <c r="D288" s="2">
        <v>0</v>
      </c>
      <c r="E288" s="2">
        <v>0</v>
      </c>
      <c r="F288" s="2">
        <v>0</v>
      </c>
      <c r="G288" s="2">
        <v>0</v>
      </c>
    </row>
    <row r="289" spans="1:7" x14ac:dyDescent="0.25">
      <c r="A289" s="5" t="s">
        <v>216</v>
      </c>
      <c r="B289" s="31">
        <f t="shared" ref="B289:G289" si="196">B34</f>
        <v>48830</v>
      </c>
      <c r="C289" s="31">
        <f t="shared" si="196"/>
        <v>49448</v>
      </c>
      <c r="D289" s="31">
        <f t="shared" si="196"/>
        <v>50243</v>
      </c>
      <c r="E289" s="31">
        <f t="shared" si="196"/>
        <v>51749</v>
      </c>
      <c r="F289" s="31">
        <f t="shared" si="196"/>
        <v>51775</v>
      </c>
      <c r="G289" s="31">
        <f t="shared" si="196"/>
        <v>66070</v>
      </c>
    </row>
    <row r="290" spans="1:7" x14ac:dyDescent="0.25">
      <c r="A290" s="72" t="s">
        <v>385</v>
      </c>
      <c r="B290" s="18">
        <f>SUM(B288:B289)</f>
        <v>48830</v>
      </c>
      <c r="C290" s="18">
        <f t="shared" ref="C290:G290" si="197">SUM(C288:C289)</f>
        <v>49448</v>
      </c>
      <c r="D290" s="18">
        <f t="shared" si="197"/>
        <v>50243</v>
      </c>
      <c r="E290" s="18">
        <f t="shared" si="197"/>
        <v>51749</v>
      </c>
      <c r="F290" s="18">
        <f t="shared" si="197"/>
        <v>51775</v>
      </c>
      <c r="G290" s="18">
        <f t="shared" si="197"/>
        <v>66070</v>
      </c>
    </row>
    <row r="291" spans="1:7" x14ac:dyDescent="0.25">
      <c r="A291" s="5" t="s">
        <v>17</v>
      </c>
      <c r="B291" s="8">
        <f t="shared" ref="B291:G291" si="198">B21</f>
        <v>90513</v>
      </c>
      <c r="C291" s="8">
        <f t="shared" si="198"/>
        <v>93394</v>
      </c>
      <c r="D291" s="8">
        <f t="shared" si="198"/>
        <v>99830</v>
      </c>
      <c r="E291" s="8">
        <f t="shared" si="198"/>
        <v>101450</v>
      </c>
      <c r="F291" s="8">
        <f t="shared" si="198"/>
        <v>103461</v>
      </c>
      <c r="G291" s="8">
        <f t="shared" si="198"/>
        <v>120092</v>
      </c>
    </row>
    <row r="292" spans="1:7" x14ac:dyDescent="0.25">
      <c r="A292" s="18" t="s">
        <v>386</v>
      </c>
    </row>
    <row r="293" spans="1:7" x14ac:dyDescent="0.25">
      <c r="A293" s="5" t="s">
        <v>381</v>
      </c>
      <c r="B293" s="28">
        <f>B287/B291</f>
        <v>0.23834145371383117</v>
      </c>
      <c r="C293" s="28">
        <f t="shared" ref="C293:G293" si="199">C287/C291</f>
        <v>0.23692100134912308</v>
      </c>
      <c r="D293" s="28">
        <f t="shared" si="199"/>
        <v>0.21317239306821598</v>
      </c>
      <c r="E293" s="28">
        <f t="shared" si="199"/>
        <v>0.20164613109906357</v>
      </c>
      <c r="F293" s="28">
        <f t="shared" si="199"/>
        <v>0.19828727733155488</v>
      </c>
      <c r="G293" s="28">
        <f t="shared" si="199"/>
        <v>0.18746461046530993</v>
      </c>
    </row>
    <row r="294" spans="1:7" x14ac:dyDescent="0.25">
      <c r="A294" s="5" t="s">
        <v>382</v>
      </c>
      <c r="B294" s="30">
        <f>B286/B291</f>
        <v>0.22173610420602566</v>
      </c>
      <c r="C294" s="30">
        <f t="shared" ref="C294:G294" si="200">C286/C291</f>
        <v>0.23358031565196907</v>
      </c>
      <c r="D294" s="30">
        <f t="shared" si="200"/>
        <v>0.28354202143644197</v>
      </c>
      <c r="E294" s="30">
        <f t="shared" si="200"/>
        <v>0.28826022671266632</v>
      </c>
      <c r="F294" s="30">
        <f t="shared" si="200"/>
        <v>0.30125361247233257</v>
      </c>
      <c r="G294" s="30">
        <f t="shared" si="200"/>
        <v>0.26232388502148352</v>
      </c>
    </row>
    <row r="295" spans="1:7" x14ac:dyDescent="0.25">
      <c r="A295" s="72" t="s">
        <v>383</v>
      </c>
      <c r="B295" s="83">
        <f>SUM(B293:B294)</f>
        <v>0.46007755791985683</v>
      </c>
      <c r="C295" s="83">
        <f t="shared" ref="C295:G295" si="201">SUM(C293:C294)</f>
        <v>0.47050131700109216</v>
      </c>
      <c r="D295" s="83">
        <f t="shared" si="201"/>
        <v>0.49671441450465792</v>
      </c>
      <c r="E295" s="83">
        <f t="shared" si="201"/>
        <v>0.48990635781172986</v>
      </c>
      <c r="F295" s="83">
        <f t="shared" si="201"/>
        <v>0.49954088980388744</v>
      </c>
      <c r="G295" s="83">
        <f t="shared" si="201"/>
        <v>0.44978849548679345</v>
      </c>
    </row>
    <row r="296" spans="1:7" x14ac:dyDescent="0.25">
      <c r="A296" s="5" t="s">
        <v>384</v>
      </c>
      <c r="B296" s="28">
        <f>B288/B291</f>
        <v>0</v>
      </c>
      <c r="C296" s="28">
        <f t="shared" ref="C296:G296" si="202">C288/C291</f>
        <v>0</v>
      </c>
      <c r="D296" s="28">
        <f t="shared" si="202"/>
        <v>0</v>
      </c>
      <c r="E296" s="28">
        <f t="shared" si="202"/>
        <v>0</v>
      </c>
      <c r="F296" s="28">
        <f t="shared" si="202"/>
        <v>0</v>
      </c>
      <c r="G296" s="28">
        <f t="shared" si="202"/>
        <v>0</v>
      </c>
    </row>
    <row r="297" spans="1:7" x14ac:dyDescent="0.25">
      <c r="A297" s="5" t="s">
        <v>216</v>
      </c>
      <c r="B297" s="30">
        <f>B289/B291</f>
        <v>0.53948051661087359</v>
      </c>
      <c r="C297" s="30">
        <f t="shared" ref="C297:G297" si="203">C289/C291</f>
        <v>0.52945585369509818</v>
      </c>
      <c r="D297" s="30">
        <f t="shared" si="203"/>
        <v>0.50328558549534208</v>
      </c>
      <c r="E297" s="30">
        <f t="shared" si="203"/>
        <v>0.51009364218827014</v>
      </c>
      <c r="F297" s="30">
        <f t="shared" si="203"/>
        <v>0.50043011376267388</v>
      </c>
      <c r="G297" s="30">
        <f t="shared" si="203"/>
        <v>0.55016154281717355</v>
      </c>
    </row>
    <row r="298" spans="1:7" x14ac:dyDescent="0.25">
      <c r="A298" s="72" t="s">
        <v>385</v>
      </c>
      <c r="B298" s="84">
        <f>SUM(B296:B297)</f>
        <v>0.53948051661087359</v>
      </c>
      <c r="C298" s="84">
        <f t="shared" ref="C298:G298" si="204">SUM(C296:C297)</f>
        <v>0.52945585369509818</v>
      </c>
      <c r="D298" s="84">
        <f t="shared" si="204"/>
        <v>0.50328558549534208</v>
      </c>
      <c r="E298" s="84">
        <f t="shared" si="204"/>
        <v>0.51009364218827014</v>
      </c>
      <c r="F298" s="84">
        <f t="shared" si="204"/>
        <v>0.50043011376267388</v>
      </c>
      <c r="G298" s="84">
        <f t="shared" si="204"/>
        <v>0.55016154281717355</v>
      </c>
    </row>
    <row r="299" spans="1:7" x14ac:dyDescent="0.25">
      <c r="A299" s="72" t="s">
        <v>17</v>
      </c>
      <c r="B299" s="83">
        <f>SUM(B295,B298)</f>
        <v>0.99955807453073042</v>
      </c>
      <c r="C299" s="83">
        <f t="shared" ref="C299:G299" si="205">SUM(C295,C298)</f>
        <v>0.99995717069619028</v>
      </c>
      <c r="D299" s="83">
        <f t="shared" si="205"/>
        <v>1</v>
      </c>
      <c r="E299" s="83">
        <f t="shared" si="205"/>
        <v>1</v>
      </c>
      <c r="F299" s="83">
        <f t="shared" si="205"/>
        <v>0.99997100356656132</v>
      </c>
      <c r="G299" s="83">
        <f t="shared" si="205"/>
        <v>0.999950038303967</v>
      </c>
    </row>
    <row r="300" spans="1:7" x14ac:dyDescent="0.25">
      <c r="A300" s="18" t="s">
        <v>388</v>
      </c>
    </row>
    <row r="301" spans="1:7" x14ac:dyDescent="0.25">
      <c r="A301" s="5" t="s">
        <v>382</v>
      </c>
      <c r="B301" s="8">
        <f t="shared" ref="B301:G301" si="206">B286</f>
        <v>20070</v>
      </c>
      <c r="C301" s="8">
        <f t="shared" si="206"/>
        <v>21815</v>
      </c>
      <c r="D301" s="8">
        <f t="shared" si="206"/>
        <v>28306</v>
      </c>
      <c r="E301" s="8">
        <f t="shared" si="206"/>
        <v>29244</v>
      </c>
      <c r="F301" s="8">
        <f t="shared" si="206"/>
        <v>31168</v>
      </c>
      <c r="G301" s="8">
        <f t="shared" si="206"/>
        <v>31503</v>
      </c>
    </row>
    <row r="302" spans="1:7" x14ac:dyDescent="0.25">
      <c r="A302" s="5" t="s">
        <v>384</v>
      </c>
      <c r="B302" s="2">
        <v>0</v>
      </c>
      <c r="C302" s="2">
        <v>0</v>
      </c>
      <c r="D302" s="2">
        <v>0</v>
      </c>
      <c r="E302" s="2">
        <v>0</v>
      </c>
      <c r="F302" s="2">
        <v>0</v>
      </c>
      <c r="G302" s="2">
        <v>0</v>
      </c>
    </row>
    <row r="303" spans="1:7" x14ac:dyDescent="0.25">
      <c r="A303" s="5" t="s">
        <v>216</v>
      </c>
      <c r="B303" s="31">
        <f t="shared" ref="B303:G303" si="207">B41</f>
        <v>46709.25</v>
      </c>
      <c r="C303" s="31">
        <f t="shared" si="207"/>
        <v>48005.279999999999</v>
      </c>
      <c r="D303" s="31">
        <f t="shared" si="207"/>
        <v>44492.740000000005</v>
      </c>
      <c r="E303" s="31">
        <f t="shared" si="207"/>
        <v>30244.17</v>
      </c>
      <c r="F303" s="31">
        <f t="shared" si="207"/>
        <v>40491.799999999996</v>
      </c>
      <c r="G303" s="31">
        <f t="shared" si="207"/>
        <v>81843.66</v>
      </c>
    </row>
    <row r="304" spans="1:7" x14ac:dyDescent="0.25">
      <c r="A304" s="72" t="s">
        <v>389</v>
      </c>
      <c r="B304" s="88">
        <f>SUM(B301:B303)</f>
        <v>66779.25</v>
      </c>
      <c r="C304" s="88">
        <f t="shared" ref="C304:G304" si="208">SUM(C301:C303)</f>
        <v>69820.28</v>
      </c>
      <c r="D304" s="88">
        <f t="shared" si="208"/>
        <v>72798.740000000005</v>
      </c>
      <c r="E304" s="88">
        <f t="shared" si="208"/>
        <v>59488.17</v>
      </c>
      <c r="F304" s="88">
        <f t="shared" si="208"/>
        <v>71659.799999999988</v>
      </c>
      <c r="G304" s="88">
        <f t="shared" si="208"/>
        <v>113346.66</v>
      </c>
    </row>
    <row r="305" spans="1:24" x14ac:dyDescent="0.25">
      <c r="A305" s="18" t="s">
        <v>390</v>
      </c>
    </row>
    <row r="306" spans="1:24" x14ac:dyDescent="0.25">
      <c r="A306" s="5" t="s">
        <v>382</v>
      </c>
      <c r="B306" s="28">
        <f>B301/B304</f>
        <v>0.30054245892249465</v>
      </c>
      <c r="C306" s="28">
        <f t="shared" ref="C306:G306" si="209">C301/C304</f>
        <v>0.31244503745903052</v>
      </c>
      <c r="D306" s="28">
        <f t="shared" si="209"/>
        <v>0.3888254109892561</v>
      </c>
      <c r="E306" s="28">
        <f t="shared" si="209"/>
        <v>0.49159353868172445</v>
      </c>
      <c r="F306" s="28">
        <f t="shared" si="209"/>
        <v>0.43494399928551303</v>
      </c>
      <c r="G306" s="28">
        <f t="shared" si="209"/>
        <v>0.27793496517674188</v>
      </c>
    </row>
    <row r="307" spans="1:24" x14ac:dyDescent="0.25">
      <c r="A307" s="5" t="s">
        <v>384</v>
      </c>
      <c r="B307" s="28">
        <f>B302/B304</f>
        <v>0</v>
      </c>
      <c r="C307" s="28">
        <f t="shared" ref="C307:G307" si="210">C302/C304</f>
        <v>0</v>
      </c>
      <c r="D307" s="28">
        <f t="shared" si="210"/>
        <v>0</v>
      </c>
      <c r="E307" s="28">
        <f t="shared" si="210"/>
        <v>0</v>
      </c>
      <c r="F307" s="28">
        <f t="shared" si="210"/>
        <v>0</v>
      </c>
      <c r="G307" s="28">
        <f t="shared" si="210"/>
        <v>0</v>
      </c>
    </row>
    <row r="308" spans="1:24" x14ac:dyDescent="0.25">
      <c r="A308" s="5" t="s">
        <v>216</v>
      </c>
      <c r="B308" s="30">
        <f>B303/B304</f>
        <v>0.69945754107750535</v>
      </c>
      <c r="C308" s="30">
        <f t="shared" ref="C308:G308" si="211">C303/C304</f>
        <v>0.68755496254096948</v>
      </c>
      <c r="D308" s="30">
        <f t="shared" si="211"/>
        <v>0.61117458901074384</v>
      </c>
      <c r="E308" s="30">
        <f t="shared" si="211"/>
        <v>0.50840646131827549</v>
      </c>
      <c r="F308" s="30">
        <f t="shared" si="211"/>
        <v>0.56505600071448714</v>
      </c>
      <c r="G308" s="30">
        <f t="shared" si="211"/>
        <v>0.72206503482325812</v>
      </c>
    </row>
    <row r="309" spans="1:24" ht="15.75" thickBot="1" x14ac:dyDescent="0.3">
      <c r="A309" s="85" t="s">
        <v>389</v>
      </c>
      <c r="B309" s="86">
        <f>SUM(B306:B308)</f>
        <v>1</v>
      </c>
      <c r="C309" s="86">
        <f t="shared" ref="C309:G309" si="212">SUM(C306:C308)</f>
        <v>1</v>
      </c>
      <c r="D309" s="86">
        <f t="shared" si="212"/>
        <v>1</v>
      </c>
      <c r="E309" s="86">
        <f t="shared" si="212"/>
        <v>1</v>
      </c>
      <c r="F309" s="86">
        <f t="shared" si="212"/>
        <v>1.0000000000000002</v>
      </c>
      <c r="G309" s="86">
        <f t="shared" si="212"/>
        <v>1</v>
      </c>
    </row>
    <row r="310" spans="1:24" ht="15.75" thickTop="1" x14ac:dyDescent="0.25">
      <c r="A310" s="82"/>
      <c r="B310" s="34"/>
      <c r="C310" s="34"/>
      <c r="D310" s="34"/>
      <c r="E310" s="34"/>
      <c r="F310" s="34"/>
      <c r="G310" s="34"/>
    </row>
    <row r="311" spans="1:24" x14ac:dyDescent="0.25">
      <c r="A311" s="85" t="s">
        <v>391</v>
      </c>
      <c r="B311" s="34"/>
      <c r="C311" s="34"/>
      <c r="D311" s="34"/>
      <c r="E311" s="34"/>
      <c r="F311" s="34"/>
      <c r="G311" s="34"/>
    </row>
    <row r="312" spans="1:24" x14ac:dyDescent="0.25">
      <c r="A312" s="82" t="s">
        <v>392</v>
      </c>
      <c r="B312" s="57">
        <f>AVERAGE(B21:C21)/AVERAGE(B34:C34)</f>
        <v>1.8712936771200066</v>
      </c>
      <c r="C312" s="57">
        <f>AVERAGE(C21:D21)/AVERAGE(C34:D34)</f>
        <v>1.938229128005537</v>
      </c>
      <c r="D312" s="57">
        <f>AVERAGE(D21:E21)/AVERAGE(D34:E34)</f>
        <v>1.9734881167150364</v>
      </c>
      <c r="E312" s="57">
        <f>AVERAGE(E21:F21)/AVERAGE(E34:F34)</f>
        <v>1.9793574436845562</v>
      </c>
      <c r="F312" s="57">
        <f>AVERAGE(F21:G21)/AVERAGE(F34:G34)</f>
        <v>1.8970087827230684</v>
      </c>
      <c r="G312" s="57"/>
    </row>
    <row r="313" spans="1:24" x14ac:dyDescent="0.25">
      <c r="A313" s="85" t="s">
        <v>393</v>
      </c>
      <c r="G313" s="34"/>
    </row>
    <row r="314" spans="1:24" x14ac:dyDescent="0.25">
      <c r="A314" s="82" t="s">
        <v>394</v>
      </c>
      <c r="B314" s="57">
        <f t="shared" ref="B314:G314" si="213">B69/B70</f>
        <v>3.9457111834961998</v>
      </c>
      <c r="C314" s="57">
        <f t="shared" si="213"/>
        <v>1.6902784562774793</v>
      </c>
      <c r="D314" s="57">
        <f t="shared" si="213"/>
        <v>1.5265423242467719</v>
      </c>
      <c r="E314" s="57">
        <f t="shared" si="213"/>
        <v>2.2556943423952975</v>
      </c>
      <c r="F314" s="57">
        <f t="shared" si="213"/>
        <v>-7.9478193146417446</v>
      </c>
      <c r="G314" s="57">
        <f t="shared" si="213"/>
        <v>4.9084278768233389</v>
      </c>
    </row>
    <row r="315" spans="1:24" x14ac:dyDescent="0.25">
      <c r="A315" s="82" t="s">
        <v>395</v>
      </c>
      <c r="B315" s="57">
        <f t="shared" ref="B315:G315" si="214">(B69+B178)/(B70+B178)</f>
        <v>4.6270053475935828</v>
      </c>
      <c r="C315" s="57">
        <f t="shared" si="214"/>
        <v>1.755211117049706</v>
      </c>
      <c r="D315" s="57">
        <f t="shared" si="214"/>
        <v>1.6011466011466011</v>
      </c>
      <c r="E315" s="57">
        <f t="shared" si="214"/>
        <v>2.4606837606837608</v>
      </c>
      <c r="F315" s="57">
        <f t="shared" si="214"/>
        <v>-9.5987084870848705</v>
      </c>
      <c r="G315" s="57">
        <f t="shared" si="214"/>
        <v>5.8717171717171714</v>
      </c>
    </row>
    <row r="316" spans="1:24" x14ac:dyDescent="0.25">
      <c r="A316" s="82" t="s">
        <v>396</v>
      </c>
      <c r="B316" s="57">
        <f t="shared" ref="B316:G316" si="215">B286/B90</f>
        <v>4.1682242990654208</v>
      </c>
      <c r="C316" s="57">
        <f t="shared" si="215"/>
        <v>4.688373092628412</v>
      </c>
      <c r="D316" s="57">
        <f t="shared" si="215"/>
        <v>8.3547815820543097</v>
      </c>
      <c r="E316" s="57">
        <f t="shared" si="215"/>
        <v>5.8278198485452375</v>
      </c>
      <c r="F316" s="57">
        <f t="shared" si="215"/>
        <v>-3.4661921708185055</v>
      </c>
      <c r="G316" s="57">
        <f t="shared" si="215"/>
        <v>4.0785862247540132</v>
      </c>
    </row>
    <row r="317" spans="1:24" x14ac:dyDescent="0.25">
      <c r="A317" s="91"/>
      <c r="B317" s="34"/>
      <c r="C317" s="34"/>
      <c r="D317" s="34"/>
      <c r="E317" s="34"/>
      <c r="F317" s="34"/>
      <c r="G317" s="34"/>
    </row>
    <row r="318" spans="1:24" ht="15.75" thickBot="1" x14ac:dyDescent="0.3">
      <c r="A318" s="82" t="s">
        <v>397</v>
      </c>
      <c r="B318" s="61">
        <f t="shared" ref="B318:G318" si="216">-B38*B40</f>
        <v>686.34</v>
      </c>
      <c r="C318" s="61">
        <f t="shared" si="216"/>
        <v>431.41999999999996</v>
      </c>
      <c r="D318" s="61">
        <f t="shared" si="216"/>
        <v>181.9</v>
      </c>
      <c r="E318" s="61">
        <f t="shared" si="216"/>
        <v>74.31</v>
      </c>
      <c r="F318" s="61">
        <f t="shared" si="216"/>
        <v>132.76</v>
      </c>
      <c r="G318" s="61">
        <f t="shared" si="216"/>
        <v>134.28</v>
      </c>
    </row>
    <row r="319" spans="1:24" ht="15.75" thickTop="1" x14ac:dyDescent="0.25"/>
    <row r="320" spans="1:24" s="15" customFormat="1" x14ac:dyDescent="0.25">
      <c r="A320" s="15" t="s">
        <v>0</v>
      </c>
      <c r="B320" s="15" t="s">
        <v>139</v>
      </c>
      <c r="J320" s="78"/>
      <c r="K320" s="78"/>
      <c r="L320" s="78"/>
      <c r="M320" s="78"/>
      <c r="N320" s="78"/>
      <c r="O320" s="78"/>
      <c r="P320" s="78"/>
      <c r="Q320" s="78"/>
      <c r="R320" s="78"/>
      <c r="S320" s="78"/>
      <c r="T320" s="78"/>
      <c r="U320" s="78"/>
      <c r="V320" s="78"/>
      <c r="W320" s="78"/>
      <c r="X320" s="78"/>
    </row>
    <row r="321" spans="1:24" s="15" customFormat="1" x14ac:dyDescent="0.25">
      <c r="A321" s="15" t="s">
        <v>398</v>
      </c>
      <c r="J321" s="78"/>
      <c r="K321" s="78"/>
      <c r="L321" s="78"/>
      <c r="M321" s="78"/>
      <c r="N321" s="78"/>
      <c r="O321" s="78"/>
      <c r="P321" s="78"/>
      <c r="Q321" s="78"/>
      <c r="R321" s="78"/>
      <c r="S321" s="78"/>
      <c r="T321" s="78"/>
      <c r="U321" s="78"/>
      <c r="V321" s="78"/>
      <c r="W321" s="78"/>
      <c r="X321" s="78"/>
    </row>
    <row r="322" spans="1:24" s="15" customFormat="1" x14ac:dyDescent="0.25">
      <c r="A322" s="15" t="s">
        <v>2</v>
      </c>
      <c r="F322" s="15" t="s">
        <v>150</v>
      </c>
      <c r="G322" s="16" t="s">
        <v>125</v>
      </c>
      <c r="H322" s="16"/>
      <c r="J322" s="78"/>
      <c r="K322" s="78"/>
      <c r="L322" s="78"/>
      <c r="M322" s="78"/>
      <c r="N322" s="78"/>
      <c r="O322" s="79"/>
      <c r="P322" s="79"/>
      <c r="Q322" s="78"/>
      <c r="R322" s="78"/>
      <c r="S322" s="78"/>
      <c r="T322" s="78"/>
      <c r="U322" s="78"/>
      <c r="V322" s="78"/>
      <c r="W322" s="78"/>
      <c r="X322" s="78"/>
    </row>
    <row r="323" spans="1:24" s="15" customFormat="1" ht="15.75" thickBot="1" x14ac:dyDescent="0.3">
      <c r="A323" s="16" t="s">
        <v>3</v>
      </c>
      <c r="B323" s="17">
        <v>2022</v>
      </c>
      <c r="C323" s="17">
        <v>2021</v>
      </c>
      <c r="D323" s="17">
        <v>2020</v>
      </c>
      <c r="E323" s="17">
        <v>2019</v>
      </c>
      <c r="F323" s="17">
        <v>2018</v>
      </c>
      <c r="G323" s="17">
        <v>2017</v>
      </c>
      <c r="H323" s="22"/>
      <c r="J323" s="22"/>
      <c r="K323" s="22"/>
      <c r="L323" s="22"/>
      <c r="M323" s="22"/>
      <c r="N323" s="22"/>
      <c r="O323" s="22"/>
      <c r="P323" s="22"/>
      <c r="Q323" s="78"/>
      <c r="R323" s="78"/>
      <c r="S323" s="78"/>
      <c r="T323" s="22"/>
      <c r="U323" s="22"/>
      <c r="V323" s="22"/>
      <c r="W323" s="22"/>
      <c r="X323" s="22"/>
    </row>
    <row r="324" spans="1:24" x14ac:dyDescent="0.25">
      <c r="A324" s="5" t="s">
        <v>399</v>
      </c>
      <c r="B324" s="1">
        <f t="shared" ref="B324:G324" si="217">(SUM(B6:B8))/((B68+B61-B150)/360)</f>
        <v>51.90254585272379</v>
      </c>
      <c r="C324" s="1">
        <f t="shared" si="217"/>
        <v>89.734219269102979</v>
      </c>
      <c r="D324" s="1">
        <f t="shared" si="217"/>
        <v>85.446985446985437</v>
      </c>
      <c r="E324" s="1">
        <f t="shared" si="217"/>
        <v>73.194663606369247</v>
      </c>
      <c r="F324" s="1">
        <f t="shared" si="217"/>
        <v>33.058326289095518</v>
      </c>
      <c r="G324" s="1">
        <f t="shared" si="217"/>
        <v>48.346323994101539</v>
      </c>
    </row>
    <row r="325" spans="1:24" x14ac:dyDescent="0.25">
      <c r="A325" s="5" t="s">
        <v>400</v>
      </c>
      <c r="B325" s="1">
        <f t="shared" ref="B325:G325" si="218">(B60-B61-B63)/B286</f>
        <v>0.27997010463378175</v>
      </c>
      <c r="C325" s="1">
        <f t="shared" si="218"/>
        <v>0.28755443502177402</v>
      </c>
      <c r="D325" s="1">
        <f t="shared" si="218"/>
        <v>0.23726418427188581</v>
      </c>
      <c r="E325" s="1">
        <f t="shared" si="218"/>
        <v>0.21135959513062508</v>
      </c>
      <c r="F325" s="1">
        <f t="shared" si="218"/>
        <v>0.2239476386036961</v>
      </c>
      <c r="G325" s="1">
        <f t="shared" si="218"/>
        <v>0.23216836491762688</v>
      </c>
    </row>
    <row r="326" spans="1:24" x14ac:dyDescent="0.25">
      <c r="A326" s="5" t="s">
        <v>401</v>
      </c>
      <c r="B326" s="1">
        <f>-B180/B182</f>
        <v>2.695414847161572</v>
      </c>
      <c r="C326" s="1">
        <f t="shared" ref="C326:G326" si="219">-C180/C182</f>
        <v>5.9270718232044199</v>
      </c>
      <c r="D326" s="1">
        <f t="shared" si="219"/>
        <v>8.2701342281879189</v>
      </c>
      <c r="E326" s="1">
        <f t="shared" si="219"/>
        <v>4.625</v>
      </c>
      <c r="F326" s="1">
        <f t="shared" si="219"/>
        <v>3.1162227602905568</v>
      </c>
      <c r="G326" s="1">
        <f t="shared" si="219"/>
        <v>0.41959798994974873</v>
      </c>
    </row>
    <row r="327" spans="1:24" x14ac:dyDescent="0.25">
      <c r="A327" s="5" t="s">
        <v>402</v>
      </c>
      <c r="B327" s="1">
        <f>-B180/B190</f>
        <v>1.6853242320819113</v>
      </c>
      <c r="C327" s="1">
        <f t="shared" ref="C327:G327" si="220">-C180/C190</f>
        <v>0.86488229603353761</v>
      </c>
      <c r="D327" s="1">
        <f t="shared" si="220"/>
        <v>1.0493932297210986</v>
      </c>
      <c r="E327" s="1">
        <f t="shared" si="220"/>
        <v>0.74077163712200211</v>
      </c>
      <c r="F327" s="1">
        <f t="shared" si="220"/>
        <v>0.94876520457058611</v>
      </c>
      <c r="G327" s="1">
        <f t="shared" si="220"/>
        <v>0.18970087088224158</v>
      </c>
    </row>
    <row r="328" spans="1:24" x14ac:dyDescent="0.25">
      <c r="A328" s="5" t="s">
        <v>403</v>
      </c>
      <c r="B328" s="1">
        <f>-B180/B198</f>
        <v>1.2596938775510205</v>
      </c>
      <c r="C328" s="1">
        <f t="shared" ref="C328:G328" si="221">-C180/C198</f>
        <v>2.7381316998468606</v>
      </c>
      <c r="D328" s="1">
        <f t="shared" si="221"/>
        <v>2.5173646578140958</v>
      </c>
      <c r="E328" s="1">
        <f t="shared" si="221"/>
        <v>1.8187403993855606</v>
      </c>
      <c r="F328" s="1">
        <f t="shared" si="221"/>
        <v>0.8086710650329878</v>
      </c>
      <c r="G328" s="1">
        <f t="shared" si="221"/>
        <v>0.17347645429362882</v>
      </c>
    </row>
    <row r="329" spans="1:24" x14ac:dyDescent="0.25">
      <c r="A329" s="5" t="s">
        <v>404</v>
      </c>
      <c r="B329" s="1">
        <f>-B180/(SUM(B188,B200))</f>
        <v>0.51383975026014572</v>
      </c>
      <c r="C329" s="1">
        <f t="shared" ref="C329:G329" si="222">-C180/(SUM(C188,C200))</f>
        <v>1.0109310214851113</v>
      </c>
      <c r="D329" s="1">
        <f t="shared" si="222"/>
        <v>1.2792629120166104</v>
      </c>
      <c r="E329" s="1">
        <f t="shared" si="222"/>
        <v>1.4787676935886762</v>
      </c>
      <c r="F329" s="1">
        <f t="shared" si="222"/>
        <v>0.83707317073170728</v>
      </c>
      <c r="G329" s="1">
        <f t="shared" si="222"/>
        <v>0.16458607095926411</v>
      </c>
    </row>
    <row r="330" spans="1:24" x14ac:dyDescent="0.25">
      <c r="A330" s="5" t="s">
        <v>405</v>
      </c>
      <c r="B330" s="1">
        <f t="shared" ref="B330:G330" si="223">B180/B60</f>
        <v>9.3222578818198981E-2</v>
      </c>
      <c r="C330" s="1">
        <f t="shared" si="223"/>
        <v>0.20597496352046693</v>
      </c>
      <c r="D330" s="1">
        <f t="shared" si="223"/>
        <v>0.18823754057666603</v>
      </c>
      <c r="E330" s="1">
        <f t="shared" si="223"/>
        <v>0.14221083396724987</v>
      </c>
      <c r="F330" s="1">
        <f t="shared" si="223"/>
        <v>9.7989949748743713E-2</v>
      </c>
      <c r="G330" s="1">
        <f t="shared" si="223"/>
        <v>1.9213069489185459E-2</v>
      </c>
    </row>
    <row r="331" spans="1:24" x14ac:dyDescent="0.25">
      <c r="A331" s="5" t="s">
        <v>406</v>
      </c>
      <c r="B331" s="1">
        <f>B180/(AVERAGE(B21:C21))</f>
        <v>2.6850527712376365E-2</v>
      </c>
      <c r="C331" s="1">
        <f>C180/(AVERAGE(C21:D21))</f>
        <v>5.5521053285306175E-2</v>
      </c>
      <c r="D331" s="1">
        <f>D180/(AVERAGE(D21:E21))</f>
        <v>4.8976550079491254E-2</v>
      </c>
      <c r="E331" s="1">
        <f>E180/(AVERAGE(E21:F21))</f>
        <v>3.4668709830121366E-2</v>
      </c>
      <c r="F331" s="1">
        <f>F180/(AVERAGE(F21:G21))</f>
        <v>2.3028096245633026E-2</v>
      </c>
      <c r="G331" s="1"/>
    </row>
    <row r="332" spans="1:24" x14ac:dyDescent="0.25">
      <c r="A332" s="5" t="s">
        <v>407</v>
      </c>
      <c r="B332" s="1">
        <f>B169/(AVERAGE(B34:C34))</f>
        <v>5.0245222735505406E-2</v>
      </c>
      <c r="C332" s="1">
        <f>C169/(AVERAGE(C34:D34))</f>
        <v>0.10761252269512794</v>
      </c>
      <c r="D332" s="1">
        <f>D169/(AVERAGE(D34:E34))</f>
        <v>9.6654639579574875E-2</v>
      </c>
      <c r="E332" s="1">
        <f>E169/(AVERAGE(E34:F34))</f>
        <v>6.8621768865190683E-2</v>
      </c>
      <c r="F332" s="1">
        <f>F169/(AVERAGE(F34:G34))</f>
        <v>4.3684500827357968E-2</v>
      </c>
      <c r="G332" s="1"/>
    </row>
    <row r="333" spans="1:24" x14ac:dyDescent="0.25">
      <c r="A333" s="5" t="s">
        <v>408</v>
      </c>
      <c r="B333" s="1">
        <f t="shared" ref="B333:G333" si="224">B180/B69</f>
        <v>0.67941662080352228</v>
      </c>
      <c r="C333" s="1">
        <f t="shared" si="224"/>
        <v>1.5502890173410404</v>
      </c>
      <c r="D333" s="1">
        <f t="shared" si="224"/>
        <v>2.3162593984962405</v>
      </c>
      <c r="E333" s="1">
        <f t="shared" si="224"/>
        <v>1.1570032573289901</v>
      </c>
      <c r="F333" s="1">
        <f t="shared" si="224"/>
        <v>-0.25222929936305732</v>
      </c>
      <c r="G333" s="1">
        <f t="shared" si="224"/>
        <v>8.2714214957899948E-2</v>
      </c>
    </row>
    <row r="334" spans="1:24" x14ac:dyDescent="0.25">
      <c r="A334" s="5" t="s">
        <v>409</v>
      </c>
      <c r="B334" s="1">
        <f t="shared" ref="B334:G334" si="225">B169/B78</f>
        <v>1.9991902834008097</v>
      </c>
      <c r="C334" s="1">
        <f t="shared" si="225"/>
        <v>4.3398058252427187</v>
      </c>
      <c r="D334" s="1">
        <f t="shared" si="225"/>
        <v>4.0138436482084687</v>
      </c>
      <c r="E334" s="1">
        <f t="shared" si="225"/>
        <v>2.9019607843137254</v>
      </c>
      <c r="F334" s="1">
        <f t="shared" si="225"/>
        <v>2.1115668580803937</v>
      </c>
      <c r="G334" s="1">
        <f t="shared" si="225"/>
        <v>0.40798045602605865</v>
      </c>
    </row>
    <row r="335" spans="1:24" x14ac:dyDescent="0.25">
      <c r="A335" s="5" t="s">
        <v>394</v>
      </c>
      <c r="B335" s="1">
        <f>-(B180+B174+B175)/B174</f>
        <v>0.2902881536819637</v>
      </c>
      <c r="C335" s="1">
        <f t="shared" ref="C335:G335" si="226">-(C180+C174+C175)/C174</f>
        <v>2.402173913043478</v>
      </c>
      <c r="D335" s="1">
        <f t="shared" si="226"/>
        <v>2.0342146189735613</v>
      </c>
      <c r="E335" s="1">
        <f t="shared" si="226"/>
        <v>0.97396630934150075</v>
      </c>
      <c r="F335" s="1">
        <f t="shared" si="226"/>
        <v>0.5363086232980333</v>
      </c>
      <c r="G335" s="1">
        <f t="shared" si="226"/>
        <v>-1.5555555555555556</v>
      </c>
    </row>
    <row r="336" spans="1:24" x14ac:dyDescent="0.25">
      <c r="A336" s="5"/>
      <c r="B336" s="1"/>
      <c r="C336" s="1"/>
      <c r="D336" s="1"/>
      <c r="E336" s="1"/>
      <c r="F336" s="1"/>
      <c r="G336" s="1"/>
    </row>
    <row r="337" spans="1:24" x14ac:dyDescent="0.25">
      <c r="A337" s="5" t="s">
        <v>432</v>
      </c>
      <c r="B337" s="1">
        <f t="shared" ref="B337:G337" si="227">B88/B70</f>
        <v>4.214983713355049</v>
      </c>
      <c r="C337" s="1">
        <f t="shared" si="227"/>
        <v>1.8285295554469956</v>
      </c>
      <c r="D337" s="1">
        <f t="shared" si="227"/>
        <v>1.7352941176470589</v>
      </c>
      <c r="E337" s="1">
        <f t="shared" si="227"/>
        <v>2.9566495224099927</v>
      </c>
      <c r="F337" s="1">
        <f t="shared" si="227"/>
        <v>-7.768691588785047</v>
      </c>
      <c r="G337" s="1">
        <f t="shared" si="227"/>
        <v>5.4238249594813617</v>
      </c>
    </row>
    <row r="338" spans="1:24" x14ac:dyDescent="0.25">
      <c r="A338" s="5" t="s">
        <v>410</v>
      </c>
      <c r="B338" s="1">
        <f t="shared" ref="B338:G338" si="228">B90/B70</f>
        <v>5.228013029315961</v>
      </c>
      <c r="C338" s="1">
        <f t="shared" si="228"/>
        <v>2.2730825598436737</v>
      </c>
      <c r="D338" s="1">
        <f t="shared" si="228"/>
        <v>2.4304160688665708</v>
      </c>
      <c r="E338" s="1">
        <f t="shared" si="228"/>
        <v>3.6869948567229978</v>
      </c>
      <c r="F338" s="1">
        <f t="shared" si="228"/>
        <v>-7.0031152647975077</v>
      </c>
      <c r="G338" s="1">
        <f t="shared" si="228"/>
        <v>6.2593192868719614</v>
      </c>
    </row>
    <row r="339" spans="1:24" x14ac:dyDescent="0.25">
      <c r="A339" s="5" t="s">
        <v>411</v>
      </c>
      <c r="B339" s="8">
        <f>B162</f>
        <v>3952</v>
      </c>
      <c r="C339" s="8">
        <f t="shared" ref="C339:G339" si="229">C162</f>
        <v>4958</v>
      </c>
      <c r="D339" s="8">
        <f t="shared" si="229"/>
        <v>4471</v>
      </c>
      <c r="E339" s="8">
        <f t="shared" si="229"/>
        <v>3785</v>
      </c>
      <c r="F339" s="8">
        <f t="shared" si="229"/>
        <v>4637</v>
      </c>
      <c r="G339" s="8">
        <f t="shared" si="229"/>
        <v>3865</v>
      </c>
    </row>
    <row r="340" spans="1:24" x14ac:dyDescent="0.25">
      <c r="A340" s="5" t="s">
        <v>412</v>
      </c>
      <c r="B340" s="1">
        <f t="shared" ref="B340:G340" si="230">(B339+B174)/B70</f>
        <v>3.2736156351791532</v>
      </c>
      <c r="C340" s="1">
        <f t="shared" si="230"/>
        <v>1.8378114313629701</v>
      </c>
      <c r="D340" s="1">
        <f t="shared" si="230"/>
        <v>2.2847919655667144</v>
      </c>
      <c r="E340" s="1">
        <f t="shared" si="230"/>
        <v>1.8214548126377663</v>
      </c>
      <c r="F340" s="1">
        <f t="shared" si="230"/>
        <v>2.5817757009345796</v>
      </c>
      <c r="G340" s="1">
        <f t="shared" si="230"/>
        <v>2.1037277147487843</v>
      </c>
    </row>
    <row r="341" spans="1:24" x14ac:dyDescent="0.25">
      <c r="A341" s="5" t="s">
        <v>413</v>
      </c>
      <c r="B341" s="1">
        <f>B339/B286</f>
        <v>0.19691081215744893</v>
      </c>
      <c r="C341" s="1">
        <f t="shared" ref="C341:G341" si="231">C339/C286</f>
        <v>0.22727481090992435</v>
      </c>
      <c r="D341" s="1">
        <f t="shared" si="231"/>
        <v>0.15795237758779057</v>
      </c>
      <c r="E341" s="1">
        <f t="shared" si="231"/>
        <v>0.12942825878812747</v>
      </c>
      <c r="F341" s="1">
        <f t="shared" si="231"/>
        <v>0.1487743839835729</v>
      </c>
      <c r="G341" s="1">
        <f t="shared" si="231"/>
        <v>0.12268672824810335</v>
      </c>
    </row>
    <row r="342" spans="1:24" x14ac:dyDescent="0.25">
      <c r="A342" s="5" t="s">
        <v>414</v>
      </c>
      <c r="B342" s="1">
        <f>B95/(AVERAGE(B286:C286,B34:C34))</f>
        <v>0.11078529997217525</v>
      </c>
      <c r="C342" s="1">
        <f>C95/(AVERAGE(C286:D286,C34:D34))</f>
        <v>9.9938589699089531E-2</v>
      </c>
      <c r="D342" s="1">
        <f>D95/(AVERAGE(D286:E286,D34:E34))</f>
        <v>6.0648606636496974E-2</v>
      </c>
      <c r="E342" s="1">
        <f>E95/(AVERAGE(E286:F286,E34:F34))</f>
        <v>9.8184657427288699E-2</v>
      </c>
      <c r="F342" s="1">
        <f>F95/(AVERAGE(F286:G286,F34:G34))</f>
        <v>-0.22103303862261517</v>
      </c>
      <c r="G342" s="1"/>
    </row>
    <row r="343" spans="1:24" x14ac:dyDescent="0.25">
      <c r="A343" s="5" t="s">
        <v>415</v>
      </c>
      <c r="B343" s="1">
        <f>B228/B286</f>
        <v>7.7379172894867967E-2</v>
      </c>
      <c r="C343" s="1">
        <f t="shared" ref="C343:G343" si="232">C228/C286</f>
        <v>0.20440064176025671</v>
      </c>
      <c r="D343" s="1">
        <f t="shared" si="232"/>
        <v>0.15307708613014909</v>
      </c>
      <c r="E343" s="1">
        <f t="shared" si="232"/>
        <v>9.5199015182601557E-2</v>
      </c>
      <c r="F343" s="1">
        <f t="shared" si="232"/>
        <v>5.608316221765914E-2</v>
      </c>
      <c r="G343" s="1">
        <f t="shared" si="232"/>
        <v>-2.1997904961432245E-2</v>
      </c>
    </row>
    <row r="344" spans="1:24" x14ac:dyDescent="0.25">
      <c r="A344" s="5" t="s">
        <v>416</v>
      </c>
      <c r="B344" s="1">
        <f>(B228-B198)/B286</f>
        <v>0.1750373692077728</v>
      </c>
      <c r="C344" s="1">
        <f t="shared" ref="C344:G344" si="233">(C228-C198)/C286</f>
        <v>0.29420123768049505</v>
      </c>
      <c r="D344" s="1">
        <f t="shared" si="233"/>
        <v>0.22224969971030878</v>
      </c>
      <c r="E344" s="1">
        <f t="shared" si="233"/>
        <v>0.16198194501436192</v>
      </c>
      <c r="F344" s="1">
        <f t="shared" si="233"/>
        <v>0.15820713552361396</v>
      </c>
      <c r="G344" s="1">
        <f t="shared" si="233"/>
        <v>6.9675903882169946E-2</v>
      </c>
    </row>
    <row r="345" spans="1:24" x14ac:dyDescent="0.25">
      <c r="A345" s="5" t="s">
        <v>417</v>
      </c>
      <c r="B345" s="1">
        <f>-(B339-B198)/B182</f>
        <v>6.4541484716157207</v>
      </c>
      <c r="C345" s="1">
        <f t="shared" ref="C345:G345" si="234">-(C339-C198)/C182</f>
        <v>7.6430939226519339</v>
      </c>
      <c r="D345" s="1">
        <f t="shared" si="234"/>
        <v>10.786912751677852</v>
      </c>
      <c r="E345" s="1">
        <f t="shared" si="234"/>
        <v>7.471354166666667</v>
      </c>
      <c r="F345" s="1">
        <f t="shared" si="234"/>
        <v>9.4673123486682815</v>
      </c>
      <c r="G345" s="1">
        <f t="shared" si="234"/>
        <v>5.6557788944723617</v>
      </c>
    </row>
    <row r="346" spans="1:24" x14ac:dyDescent="0.25">
      <c r="A346" s="5" t="s">
        <v>396</v>
      </c>
      <c r="B346" s="1">
        <f t="shared" ref="B346:G346" si="235">B286/B90</f>
        <v>4.1682242990654208</v>
      </c>
      <c r="C346" s="1">
        <f t="shared" si="235"/>
        <v>4.688373092628412</v>
      </c>
      <c r="D346" s="1">
        <f t="shared" si="235"/>
        <v>8.3547815820543097</v>
      </c>
      <c r="E346" s="1">
        <f t="shared" si="235"/>
        <v>5.8278198485452375</v>
      </c>
      <c r="F346" s="1">
        <f t="shared" si="235"/>
        <v>-3.4661921708185055</v>
      </c>
      <c r="G346" s="1">
        <f t="shared" si="235"/>
        <v>4.0785862247540132</v>
      </c>
    </row>
    <row r="347" spans="1:24" ht="15.75" thickBot="1" x14ac:dyDescent="0.3">
      <c r="A347" s="5" t="s">
        <v>418</v>
      </c>
      <c r="B347" s="80">
        <f t="shared" ref="B347:G347" si="236">B286/B35</f>
        <v>0.22173610420602566</v>
      </c>
      <c r="C347" s="80">
        <f t="shared" si="236"/>
        <v>0.23358031565196907</v>
      </c>
      <c r="D347" s="80">
        <f t="shared" si="236"/>
        <v>0.28354202143644197</v>
      </c>
      <c r="E347" s="80">
        <f t="shared" si="236"/>
        <v>0.28826022671266632</v>
      </c>
      <c r="F347" s="80">
        <f t="shared" si="236"/>
        <v>0.30125361247233257</v>
      </c>
      <c r="G347" s="80">
        <f t="shared" si="236"/>
        <v>0.26232388502148352</v>
      </c>
    </row>
    <row r="348" spans="1:24" ht="15.75" thickTop="1" x14ac:dyDescent="0.25"/>
    <row r="349" spans="1:24" s="15" customFormat="1" x14ac:dyDescent="0.25">
      <c r="A349" s="15" t="s">
        <v>0</v>
      </c>
      <c r="B349" s="15" t="s">
        <v>139</v>
      </c>
      <c r="J349" s="78"/>
      <c r="K349" s="78"/>
      <c r="L349" s="78"/>
      <c r="M349" s="78"/>
      <c r="N349" s="78"/>
      <c r="O349" s="78"/>
      <c r="P349" s="78"/>
      <c r="Q349" s="78"/>
      <c r="R349" s="78"/>
      <c r="S349" s="78"/>
      <c r="T349" s="78"/>
      <c r="U349" s="78"/>
      <c r="V349" s="78"/>
      <c r="W349" s="78"/>
      <c r="X349" s="78"/>
    </row>
    <row r="350" spans="1:24" s="15" customFormat="1" x14ac:dyDescent="0.25">
      <c r="A350" s="15" t="s">
        <v>380</v>
      </c>
      <c r="J350" s="78"/>
      <c r="K350" s="78"/>
      <c r="L350" s="78"/>
      <c r="M350" s="78"/>
      <c r="N350" s="78"/>
      <c r="O350" s="78"/>
      <c r="P350" s="78"/>
      <c r="Q350" s="78"/>
      <c r="R350" s="78"/>
      <c r="S350" s="78"/>
      <c r="T350" s="78"/>
      <c r="U350" s="78"/>
      <c r="V350" s="78"/>
      <c r="W350" s="78"/>
      <c r="X350" s="78"/>
    </row>
    <row r="351" spans="1:24" s="15" customFormat="1" x14ac:dyDescent="0.25">
      <c r="A351" s="15" t="s">
        <v>2</v>
      </c>
      <c r="F351" s="15" t="s">
        <v>150</v>
      </c>
      <c r="G351" s="16" t="s">
        <v>125</v>
      </c>
      <c r="H351" s="16"/>
      <c r="J351" s="78"/>
      <c r="K351" s="78"/>
      <c r="L351" s="78"/>
      <c r="M351" s="78"/>
      <c r="N351" s="78"/>
      <c r="O351" s="79"/>
      <c r="P351" s="79"/>
      <c r="Q351" s="78"/>
      <c r="R351" s="78"/>
      <c r="S351" s="78"/>
      <c r="T351" s="78"/>
      <c r="U351" s="78"/>
      <c r="V351" s="78"/>
      <c r="W351" s="78"/>
      <c r="X351" s="78"/>
    </row>
    <row r="352" spans="1:24" s="15" customFormat="1" ht="15.75" thickBot="1" x14ac:dyDescent="0.3">
      <c r="A352" s="16" t="s">
        <v>3</v>
      </c>
      <c r="B352" s="17">
        <v>2022</v>
      </c>
      <c r="C352" s="17">
        <v>2021</v>
      </c>
      <c r="D352" s="17">
        <v>2020</v>
      </c>
      <c r="E352" s="17">
        <v>2019</v>
      </c>
      <c r="F352" s="17">
        <v>2018</v>
      </c>
      <c r="G352" s="17">
        <v>2017</v>
      </c>
      <c r="H352" s="22"/>
      <c r="J352" s="22"/>
      <c r="K352" s="22"/>
      <c r="L352" s="22"/>
      <c r="M352" s="22"/>
      <c r="N352" s="22"/>
      <c r="O352" s="22"/>
      <c r="P352" s="22"/>
      <c r="Q352" s="78"/>
      <c r="R352" s="78"/>
      <c r="S352" s="78"/>
      <c r="T352" s="22"/>
      <c r="U352" s="22"/>
      <c r="V352" s="22"/>
      <c r="W352" s="22"/>
      <c r="X352" s="22"/>
    </row>
    <row r="353" spans="1:7" x14ac:dyDescent="0.25">
      <c r="A353" s="5" t="s">
        <v>419</v>
      </c>
      <c r="B353" s="28">
        <f t="shared" ref="B353:G353" si="237">B69/B60</f>
        <v>0.13720974136303568</v>
      </c>
      <c r="C353" s="28">
        <f t="shared" si="237"/>
        <v>0.13286229936256816</v>
      </c>
      <c r="D353" s="28">
        <f t="shared" si="237"/>
        <v>8.1267901470307422E-2</v>
      </c>
      <c r="E353" s="28">
        <f t="shared" si="237"/>
        <v>0.12291308003363094</v>
      </c>
      <c r="F353" s="28">
        <f t="shared" si="237"/>
        <v>-0.38849550784224152</v>
      </c>
      <c r="G353" s="28">
        <f t="shared" si="237"/>
        <v>0.23228255867464334</v>
      </c>
    </row>
    <row r="354" spans="1:7" x14ac:dyDescent="0.25">
      <c r="A354" s="5" t="s">
        <v>420</v>
      </c>
      <c r="B354" s="28">
        <f t="shared" ref="B354:G354" si="238">B72/B95</f>
        <v>0.76403915507470377</v>
      </c>
      <c r="C354" s="28">
        <f t="shared" si="238"/>
        <v>0.4563184611274379</v>
      </c>
      <c r="D354" s="28">
        <f t="shared" si="238"/>
        <v>0.42579578338156265</v>
      </c>
      <c r="E354" s="28">
        <f t="shared" si="238"/>
        <v>0.66128230616302186</v>
      </c>
      <c r="F354" s="28">
        <f t="shared" si="238"/>
        <v>1.134937343358396</v>
      </c>
      <c r="G354" s="28">
        <f t="shared" si="238"/>
        <v>0.8142835798595548</v>
      </c>
    </row>
    <row r="355" spans="1:7" x14ac:dyDescent="0.25">
      <c r="A355" s="5" t="s">
        <v>421</v>
      </c>
      <c r="B355" s="28">
        <f t="shared" ref="B355:G355" si="239">B72/B60</f>
        <v>0.11198791768925807</v>
      </c>
      <c r="C355" s="28">
        <f t="shared" si="239"/>
        <v>6.5586360494585674E-2</v>
      </c>
      <c r="D355" s="28">
        <f t="shared" si="239"/>
        <v>3.9335497422188274E-2</v>
      </c>
      <c r="E355" s="28">
        <f t="shared" si="239"/>
        <v>0.10653801497377588</v>
      </c>
      <c r="F355" s="28">
        <f t="shared" si="239"/>
        <v>-0.43098066088015835</v>
      </c>
      <c r="G355" s="28">
        <f t="shared" si="239"/>
        <v>0.2090044485350514</v>
      </c>
    </row>
    <row r="356" spans="1:7" x14ac:dyDescent="0.25">
      <c r="A356" s="5" t="s">
        <v>422</v>
      </c>
      <c r="B356" s="28">
        <f t="shared" ref="B356:G356" si="240">B74/B72</f>
        <v>0.79838165879973033</v>
      </c>
      <c r="C356" s="28">
        <f t="shared" si="240"/>
        <v>0.59953161592505855</v>
      </c>
      <c r="D356" s="28">
        <f t="shared" si="240"/>
        <v>0.35048543689320388</v>
      </c>
      <c r="E356" s="28">
        <f t="shared" si="240"/>
        <v>0.72641863960916953</v>
      </c>
      <c r="F356" s="28">
        <f t="shared" si="240"/>
        <v>0.90575037540853276</v>
      </c>
      <c r="G356" s="28">
        <f t="shared" si="240"/>
        <v>2.0058715596330274</v>
      </c>
    </row>
    <row r="357" spans="1:7" x14ac:dyDescent="0.25">
      <c r="A357" s="5" t="s">
        <v>287</v>
      </c>
      <c r="B357" s="28">
        <f t="shared" ref="B357:G357" si="241">B74/B60</f>
        <v>8.9409099490277519E-2</v>
      </c>
      <c r="C357" s="28">
        <f t="shared" si="241"/>
        <v>3.9321096689962372E-2</v>
      </c>
      <c r="D357" s="28">
        <f t="shared" si="241"/>
        <v>1.3786518999427153E-2</v>
      </c>
      <c r="E357" s="28">
        <f t="shared" si="241"/>
        <v>7.7391199903911592E-2</v>
      </c>
      <c r="F357" s="28">
        <f t="shared" si="241"/>
        <v>-0.39036089538602103</v>
      </c>
      <c r="G357" s="28">
        <f t="shared" si="241"/>
        <v>0.41923607915324435</v>
      </c>
    </row>
    <row r="358" spans="1:7" x14ac:dyDescent="0.25">
      <c r="A358" s="5" t="s">
        <v>423</v>
      </c>
      <c r="B358" s="1">
        <f>B211/AVERAGE(B21:C21)</f>
        <v>0.28802601314794979</v>
      </c>
      <c r="C358" s="1">
        <f>C211/AVERAGE(C21:D21)</f>
        <v>0.26955243655032501</v>
      </c>
      <c r="D358" s="1">
        <f>D211/AVERAGE(D21:E21)</f>
        <v>0.26018481717011127</v>
      </c>
      <c r="E358" s="1">
        <f>E211/AVERAGE(E21:F21)</f>
        <v>0.24378388666299028</v>
      </c>
      <c r="F358" s="1">
        <f>F211/AVERAGE(F21:G21)</f>
        <v>0.23500467450671653</v>
      </c>
      <c r="G358" s="1"/>
    </row>
    <row r="359" spans="1:7" x14ac:dyDescent="0.25">
      <c r="A359" s="5" t="s">
        <v>424</v>
      </c>
      <c r="B359" s="28">
        <f>B74/AVERAGE(B21:C21)</f>
        <v>2.5752146465333022E-2</v>
      </c>
      <c r="C359" s="28">
        <f>C74/AVERAGE(C21:D21)</f>
        <v>1.0599097420610276E-2</v>
      </c>
      <c r="D359" s="28">
        <f>D74/AVERAGE(D21:E21)</f>
        <v>3.5870429252782194E-3</v>
      </c>
      <c r="E359" s="28">
        <f>E74/AVERAGE(E21:F21)</f>
        <v>1.8866727506088008E-2</v>
      </c>
      <c r="F359" s="28">
        <f>F74/AVERAGE(F21:G21)</f>
        <v>-9.1736635160342292E-2</v>
      </c>
      <c r="G359" s="28"/>
    </row>
    <row r="360" spans="1:7" x14ac:dyDescent="0.25">
      <c r="A360" s="5" t="s">
        <v>392</v>
      </c>
      <c r="B360" s="1">
        <f>B312</f>
        <v>1.8712936771200066</v>
      </c>
      <c r="C360" s="1">
        <f t="shared" ref="C360:F360" si="242">C312</f>
        <v>1.938229128005537</v>
      </c>
      <c r="D360" s="1">
        <f t="shared" si="242"/>
        <v>1.9734881167150364</v>
      </c>
      <c r="E360" s="1">
        <f t="shared" si="242"/>
        <v>1.9793574436845562</v>
      </c>
      <c r="F360" s="1">
        <f t="shared" si="242"/>
        <v>1.8970087827230684</v>
      </c>
      <c r="G360" s="1"/>
    </row>
    <row r="361" spans="1:7" x14ac:dyDescent="0.25">
      <c r="A361" s="5" t="s">
        <v>425</v>
      </c>
      <c r="B361" s="28">
        <f>B74/AVERAGE(B34:C34)</f>
        <v>4.8189828852846006E-2</v>
      </c>
      <c r="C361" s="28">
        <f>C74/AVERAGE(C34:D34)</f>
        <v>2.0543479351195194E-2</v>
      </c>
      <c r="D361" s="28">
        <f>D74/AVERAGE(D34:E34)</f>
        <v>7.0789865871833087E-3</v>
      </c>
      <c r="E361" s="28">
        <f>E74/AVERAGE(E34:F34)</f>
        <v>3.7343997527143465E-2</v>
      </c>
      <c r="F361" s="28">
        <f>F74/AVERAGE(F34:G34)</f>
        <v>-0.17402520259663118</v>
      </c>
      <c r="G361" s="28"/>
    </row>
    <row r="362" spans="1:7" x14ac:dyDescent="0.25">
      <c r="A362" s="5"/>
    </row>
    <row r="363" spans="1:7" x14ac:dyDescent="0.25">
      <c r="A363" s="5" t="s">
        <v>426</v>
      </c>
      <c r="B363" s="28">
        <f t="shared" ref="B363:G363" si="243">B62/B60</f>
        <v>0.30666414951859544</v>
      </c>
      <c r="C363" s="28">
        <f t="shared" si="243"/>
        <v>0.33338453267798174</v>
      </c>
      <c r="D363" s="28">
        <f t="shared" si="243"/>
        <v>0.35046782509070079</v>
      </c>
      <c r="E363" s="28">
        <f t="shared" si="243"/>
        <v>0.32618008567882451</v>
      </c>
      <c r="F363" s="28">
        <f t="shared" si="243"/>
        <v>0.33961474036850919</v>
      </c>
      <c r="G363" s="28">
        <f t="shared" si="243"/>
        <v>0.34641049240681088</v>
      </c>
    </row>
    <row r="364" spans="1:7" x14ac:dyDescent="0.25">
      <c r="A364" s="5" t="s">
        <v>427</v>
      </c>
      <c r="B364" s="30">
        <f t="shared" ref="B364:G364" si="244">B69/B62</f>
        <v>0.44742674218172862</v>
      </c>
      <c r="C364" s="30">
        <f t="shared" si="244"/>
        <v>0.39852568532596178</v>
      </c>
      <c r="D364" s="30">
        <f t="shared" si="244"/>
        <v>0.2318840579710145</v>
      </c>
      <c r="E364" s="30">
        <f t="shared" si="244"/>
        <v>0.37682582545722354</v>
      </c>
      <c r="F364" s="30">
        <f t="shared" si="244"/>
        <v>-1.1439300526846765</v>
      </c>
      <c r="G364" s="30">
        <f t="shared" si="244"/>
        <v>0.6705413483892394</v>
      </c>
    </row>
    <row r="365" spans="1:7" x14ac:dyDescent="0.25">
      <c r="A365" s="72" t="s">
        <v>419</v>
      </c>
      <c r="B365" s="83">
        <f>B363*B364</f>
        <v>0.13720974136303568</v>
      </c>
      <c r="C365" s="83">
        <f t="shared" ref="C365:G365" si="245">C363*C364</f>
        <v>0.13286229936256816</v>
      </c>
      <c r="D365" s="83">
        <f t="shared" si="245"/>
        <v>8.1267901470307435E-2</v>
      </c>
      <c r="E365" s="83">
        <f t="shared" si="245"/>
        <v>0.12291308003363094</v>
      </c>
      <c r="F365" s="83">
        <f t="shared" si="245"/>
        <v>-0.38849550784224146</v>
      </c>
      <c r="G365" s="83">
        <f t="shared" si="245"/>
        <v>0.23228255867464334</v>
      </c>
    </row>
    <row r="366" spans="1:7" x14ac:dyDescent="0.25">
      <c r="A366" s="5" t="s">
        <v>428</v>
      </c>
      <c r="B366" s="30">
        <f t="shared" ref="B366:G366" si="246">B74/B69</f>
        <v>0.65162355531095217</v>
      </c>
      <c r="C366" s="30">
        <f t="shared" si="246"/>
        <v>0.29595375722543354</v>
      </c>
      <c r="D366" s="30">
        <f t="shared" si="246"/>
        <v>0.16964285714285715</v>
      </c>
      <c r="E366" s="30">
        <f t="shared" si="246"/>
        <v>0.62964169381107493</v>
      </c>
      <c r="F366" s="30">
        <f t="shared" si="246"/>
        <v>1.0048015678588926</v>
      </c>
      <c r="G366" s="30">
        <f t="shared" si="246"/>
        <v>1.8048538880633977</v>
      </c>
    </row>
    <row r="367" spans="1:7" x14ac:dyDescent="0.25">
      <c r="A367" s="72" t="s">
        <v>287</v>
      </c>
      <c r="B367" s="83">
        <f>B365*B366</f>
        <v>8.9409099490277519E-2</v>
      </c>
      <c r="C367" s="83">
        <f t="shared" ref="C367:G367" si="247">C365*C366</f>
        <v>3.9321096689962372E-2</v>
      </c>
      <c r="D367" s="83">
        <f t="shared" si="247"/>
        <v>1.3786518999427155E-2</v>
      </c>
      <c r="E367" s="83">
        <f t="shared" si="247"/>
        <v>7.7391199903911606E-2</v>
      </c>
      <c r="F367" s="83">
        <f t="shared" si="247"/>
        <v>-0.39036089538602092</v>
      </c>
      <c r="G367" s="83">
        <f t="shared" si="247"/>
        <v>0.41923607915324435</v>
      </c>
    </row>
    <row r="368" spans="1:7" x14ac:dyDescent="0.25">
      <c r="A368" s="5"/>
      <c r="B368" s="2">
        <f>B367-B357</f>
        <v>0</v>
      </c>
      <c r="C368" s="2">
        <f t="shared" ref="C368:G368" si="248">C367-C357</f>
        <v>0</v>
      </c>
      <c r="D368" s="2">
        <f t="shared" si="248"/>
        <v>0</v>
      </c>
      <c r="E368" s="2">
        <f t="shared" si="248"/>
        <v>0</v>
      </c>
      <c r="F368" s="2">
        <f t="shared" si="248"/>
        <v>0</v>
      </c>
      <c r="G368" s="2">
        <f t="shared" si="248"/>
        <v>0</v>
      </c>
    </row>
    <row r="369" spans="1:8" x14ac:dyDescent="0.25">
      <c r="A369" s="5" t="s">
        <v>191</v>
      </c>
      <c r="B369" s="28">
        <f t="shared" ref="B369:G369" si="249">B73/B72</f>
        <v>0.20161834120026972</v>
      </c>
      <c r="C369" s="28">
        <f t="shared" si="249"/>
        <v>0.40046838407494145</v>
      </c>
      <c r="D369" s="28">
        <f t="shared" si="249"/>
        <v>0.64951456310679612</v>
      </c>
      <c r="E369" s="28">
        <f t="shared" si="249"/>
        <v>0.27358136039083053</v>
      </c>
      <c r="F369" s="28">
        <f t="shared" si="249"/>
        <v>9.4249624591467185E-2</v>
      </c>
      <c r="G369" s="28">
        <f t="shared" si="249"/>
        <v>-1.0058715596330274</v>
      </c>
    </row>
    <row r="370" spans="1:8" x14ac:dyDescent="0.25">
      <c r="A370" s="5"/>
    </row>
    <row r="371" spans="1:8" x14ac:dyDescent="0.25">
      <c r="A371" s="5" t="s">
        <v>429</v>
      </c>
      <c r="B371" s="1">
        <f t="shared" ref="B371:G371" si="250">B60/AVERAGE(B246:C246)</f>
        <v>-44.104912572855952</v>
      </c>
      <c r="C371" s="1">
        <f t="shared" si="250"/>
        <v>19.354886659234484</v>
      </c>
      <c r="D371" s="1">
        <f t="shared" si="250"/>
        <v>17.556151525310092</v>
      </c>
      <c r="E371" s="1">
        <f t="shared" si="250"/>
        <v>27.845039018952061</v>
      </c>
      <c r="F371" s="1">
        <f t="shared" si="250"/>
        <v>-38.041998551774078</v>
      </c>
      <c r="G371" s="1">
        <f t="shared" si="250"/>
        <v>-8.8303420250592612</v>
      </c>
    </row>
    <row r="372" spans="1:8" x14ac:dyDescent="0.25">
      <c r="A372" s="5" t="s">
        <v>430</v>
      </c>
      <c r="B372" s="1">
        <f t="shared" ref="B372:G372" si="251">B60/AVERAGE(B17:C17)</f>
        <v>3.9103794478074709</v>
      </c>
      <c r="C372" s="1">
        <f t="shared" si="251"/>
        <v>3.8067533986259319</v>
      </c>
      <c r="D372" s="1">
        <f t="shared" si="251"/>
        <v>3.7592419783217284</v>
      </c>
      <c r="E372" s="1">
        <f t="shared" si="251"/>
        <v>3.5345644944456236</v>
      </c>
      <c r="F372" s="1">
        <f t="shared" si="251"/>
        <v>3.7156800339486526</v>
      </c>
      <c r="G372" s="1">
        <f t="shared" si="251"/>
        <v>3.6929613369211158</v>
      </c>
    </row>
    <row r="373" spans="1:8" x14ac:dyDescent="0.25">
      <c r="A373" s="5"/>
    </row>
    <row r="374" spans="1:8" x14ac:dyDescent="0.25">
      <c r="A374" s="5" t="s">
        <v>177</v>
      </c>
      <c r="B374" s="2">
        <f t="shared" ref="B374:G374" si="252">B69+B150</f>
        <v>4567</v>
      </c>
      <c r="C374" s="2">
        <f t="shared" si="252"/>
        <v>4370</v>
      </c>
      <c r="D374" s="2">
        <f t="shared" si="252"/>
        <v>3097</v>
      </c>
      <c r="E374" s="2">
        <f t="shared" si="252"/>
        <v>4064</v>
      </c>
      <c r="F374" s="2">
        <f t="shared" si="252"/>
        <v>-9222</v>
      </c>
      <c r="G374" s="2">
        <f t="shared" si="252"/>
        <v>7088</v>
      </c>
    </row>
    <row r="375" spans="1:8" ht="15.75" thickBot="1" x14ac:dyDescent="0.3">
      <c r="A375" s="82" t="s">
        <v>431</v>
      </c>
      <c r="B375" s="81">
        <f t="shared" ref="B375:G375" si="253">B90</f>
        <v>4815</v>
      </c>
      <c r="C375" s="81">
        <f t="shared" si="253"/>
        <v>4653</v>
      </c>
      <c r="D375" s="81">
        <f t="shared" si="253"/>
        <v>3388</v>
      </c>
      <c r="E375" s="81">
        <f t="shared" si="253"/>
        <v>5018</v>
      </c>
      <c r="F375" s="81">
        <f t="shared" si="253"/>
        <v>-8992</v>
      </c>
      <c r="G375" s="81">
        <f t="shared" si="253"/>
        <v>7724</v>
      </c>
    </row>
    <row r="376" spans="1:8" ht="15.75" thickTop="1" x14ac:dyDescent="0.25"/>
    <row r="377" spans="1:8" s="15" customFormat="1" x14ac:dyDescent="0.25">
      <c r="A377" s="15" t="str">
        <f>+A1</f>
        <v>Kraft Heinz Company</v>
      </c>
      <c r="B377" s="15" t="str">
        <f>+B1</f>
        <v>Reclassified</v>
      </c>
    </row>
    <row r="378" spans="1:8" s="15" customFormat="1" x14ac:dyDescent="0.25">
      <c r="A378" s="15" t="s">
        <v>106</v>
      </c>
    </row>
    <row r="379" spans="1:8" s="15" customFormat="1" x14ac:dyDescent="0.25">
      <c r="A379" s="15" t="str">
        <f>+A3</f>
        <v>in millions except per share data</v>
      </c>
      <c r="F379" s="15" t="s">
        <v>150</v>
      </c>
      <c r="G379" s="16" t="s">
        <v>125</v>
      </c>
      <c r="H379" s="16"/>
    </row>
    <row r="380" spans="1:8" s="15" customFormat="1" ht="15.75" thickBot="1" x14ac:dyDescent="0.3">
      <c r="A380" s="16" t="str">
        <f>+A4</f>
        <v>Year ended near 12/31:</v>
      </c>
      <c r="B380" s="17">
        <v>2022</v>
      </c>
      <c r="C380" s="17">
        <v>2021</v>
      </c>
      <c r="D380" s="17">
        <v>2020</v>
      </c>
      <c r="E380" s="17">
        <v>2019</v>
      </c>
      <c r="F380" s="17">
        <v>2018</v>
      </c>
      <c r="G380" s="17">
        <v>2017</v>
      </c>
      <c r="H380" s="22"/>
    </row>
    <row r="381" spans="1:8" s="23" customFormat="1" x14ac:dyDescent="0.25">
      <c r="A381" s="23" t="s">
        <v>122</v>
      </c>
      <c r="B381" s="26">
        <v>945</v>
      </c>
      <c r="C381" s="26">
        <v>1039</v>
      </c>
      <c r="D381" s="26">
        <v>1070</v>
      </c>
      <c r="E381" s="26">
        <v>1100</v>
      </c>
      <c r="F381" s="26">
        <v>1140</v>
      </c>
      <c r="G381" s="26">
        <v>1115</v>
      </c>
      <c r="H381" s="26"/>
    </row>
    <row r="382" spans="1:8" s="23" customFormat="1" x14ac:dyDescent="0.25">
      <c r="A382" s="23" t="s">
        <v>123</v>
      </c>
      <c r="B382" s="25">
        <v>127</v>
      </c>
      <c r="C382" s="25">
        <v>140</v>
      </c>
      <c r="D382" s="25">
        <v>119</v>
      </c>
      <c r="E382" s="25">
        <v>112</v>
      </c>
      <c r="F382" s="25">
        <v>109</v>
      </c>
      <c r="G382" s="25">
        <v>93</v>
      </c>
      <c r="H382" s="25"/>
    </row>
    <row r="383" spans="1:8" s="23" customFormat="1" x14ac:dyDescent="0.25">
      <c r="B383" s="24"/>
      <c r="C383" s="24"/>
      <c r="D383" s="24"/>
      <c r="E383" s="24"/>
      <c r="F383" s="24"/>
      <c r="G383" s="24"/>
      <c r="H383" s="24"/>
    </row>
    <row r="384" spans="1:8" x14ac:dyDescent="0.25">
      <c r="A384" s="2" t="s">
        <v>108</v>
      </c>
      <c r="B384" s="8">
        <v>200</v>
      </c>
      <c r="C384" s="8">
        <v>207</v>
      </c>
      <c r="D384" s="8">
        <v>219</v>
      </c>
      <c r="E384" s="8">
        <v>210</v>
      </c>
      <c r="F384" s="8">
        <v>218</v>
      </c>
      <c r="G384" s="8">
        <v>250</v>
      </c>
      <c r="H384" s="8"/>
    </row>
    <row r="385" spans="1:8" x14ac:dyDescent="0.25">
      <c r="A385" s="2" t="s">
        <v>109</v>
      </c>
      <c r="B385" s="2">
        <v>1161</v>
      </c>
      <c r="C385" s="2">
        <v>1002</v>
      </c>
      <c r="D385" s="2">
        <v>792</v>
      </c>
      <c r="E385" s="2">
        <v>1033</v>
      </c>
      <c r="F385" s="2">
        <v>1165</v>
      </c>
      <c r="G385" s="2">
        <v>1345</v>
      </c>
    </row>
    <row r="386" spans="1:8" x14ac:dyDescent="0.25">
      <c r="A386" s="2" t="s">
        <v>110</v>
      </c>
      <c r="B386" s="2">
        <f>+B387-B385-B384</f>
        <v>9591</v>
      </c>
      <c r="C386" s="2">
        <f t="shared" ref="C386:G386" si="254">+C387-C385-C384</f>
        <v>9465</v>
      </c>
      <c r="D386" s="2">
        <f t="shared" si="254"/>
        <v>9428</v>
      </c>
      <c r="E386" s="2">
        <f t="shared" si="254"/>
        <v>8999</v>
      </c>
      <c r="F386" s="2">
        <f t="shared" si="254"/>
        <v>8279</v>
      </c>
      <c r="G386" s="2">
        <f t="shared" si="254"/>
        <v>7555</v>
      </c>
    </row>
    <row r="387" spans="1:8" x14ac:dyDescent="0.25">
      <c r="A387" s="2" t="s">
        <v>111</v>
      </c>
      <c r="B387" s="6">
        <f>+B389-B388</f>
        <v>10952</v>
      </c>
      <c r="C387" s="6">
        <f t="shared" ref="C387:G387" si="255">+C389-C388</f>
        <v>10674</v>
      </c>
      <c r="D387" s="6">
        <f t="shared" si="255"/>
        <v>10439</v>
      </c>
      <c r="E387" s="6">
        <f t="shared" si="255"/>
        <v>10242</v>
      </c>
      <c r="F387" s="6">
        <f t="shared" si="255"/>
        <v>9662</v>
      </c>
      <c r="G387" s="6">
        <f t="shared" si="255"/>
        <v>9150</v>
      </c>
      <c r="H387" s="34"/>
    </row>
    <row r="388" spans="1:8" x14ac:dyDescent="0.25">
      <c r="A388" s="2" t="s">
        <v>112</v>
      </c>
      <c r="B388" s="2">
        <v>-4212</v>
      </c>
      <c r="C388" s="2">
        <v>-3868</v>
      </c>
      <c r="D388" s="2">
        <v>-3563</v>
      </c>
      <c r="E388" s="2">
        <v>-3187</v>
      </c>
      <c r="F388" s="2">
        <v>-2584</v>
      </c>
      <c r="G388" s="2">
        <v>-2089</v>
      </c>
    </row>
    <row r="389" spans="1:8" ht="15.75" thickBot="1" x14ac:dyDescent="0.3">
      <c r="A389" s="2" t="s">
        <v>113</v>
      </c>
      <c r="B389" s="9">
        <f t="shared" ref="B389:G389" si="256">+B17</f>
        <v>6740</v>
      </c>
      <c r="C389" s="9">
        <f t="shared" si="256"/>
        <v>6806</v>
      </c>
      <c r="D389" s="9">
        <f t="shared" si="256"/>
        <v>6876</v>
      </c>
      <c r="E389" s="9">
        <f t="shared" si="256"/>
        <v>7055</v>
      </c>
      <c r="F389" s="9">
        <f t="shared" si="256"/>
        <v>7078</v>
      </c>
      <c r="G389" s="9">
        <f t="shared" si="256"/>
        <v>7061</v>
      </c>
      <c r="H389" s="36"/>
    </row>
    <row r="390" spans="1:8" ht="15.75" thickTop="1" x14ac:dyDescent="0.25"/>
    <row r="391" spans="1:8" x14ac:dyDescent="0.25">
      <c r="A391" s="2" t="s">
        <v>114</v>
      </c>
      <c r="B391" s="8">
        <v>672</v>
      </c>
      <c r="C391" s="8">
        <v>671</v>
      </c>
      <c r="D391" s="8">
        <v>705</v>
      </c>
      <c r="E391" s="8">
        <v>708</v>
      </c>
      <c r="F391" s="8">
        <v>693</v>
      </c>
      <c r="G391" s="8">
        <v>680</v>
      </c>
      <c r="H391" s="8"/>
    </row>
    <row r="393" spans="1:8" x14ac:dyDescent="0.25">
      <c r="A393" s="2" t="s">
        <v>115</v>
      </c>
      <c r="B393" s="8">
        <v>668</v>
      </c>
      <c r="C393" s="8">
        <v>569</v>
      </c>
      <c r="D393" s="8">
        <v>562</v>
      </c>
      <c r="E393" s="8">
        <v>542</v>
      </c>
      <c r="F393" s="8">
        <v>0</v>
      </c>
      <c r="G393" s="8">
        <v>0</v>
      </c>
      <c r="H393" s="8"/>
    </row>
    <row r="394" spans="1:8" x14ac:dyDescent="0.25">
      <c r="A394" s="2" t="s">
        <v>116</v>
      </c>
      <c r="B394" s="2">
        <v>125</v>
      </c>
      <c r="C394" s="2">
        <v>133</v>
      </c>
      <c r="D394" s="2">
        <v>135</v>
      </c>
      <c r="E394" s="2">
        <v>147</v>
      </c>
      <c r="F394" s="2">
        <v>0</v>
      </c>
      <c r="G394" s="2">
        <v>0</v>
      </c>
    </row>
    <row r="395" spans="1:8" x14ac:dyDescent="0.25">
      <c r="A395" s="2" t="s">
        <v>117</v>
      </c>
      <c r="B395" s="8">
        <v>585</v>
      </c>
      <c r="C395" s="8">
        <v>484</v>
      </c>
      <c r="D395" s="8">
        <v>475</v>
      </c>
      <c r="E395" s="8">
        <v>454</v>
      </c>
      <c r="F395" s="8">
        <v>0</v>
      </c>
      <c r="G395" s="8">
        <v>0</v>
      </c>
      <c r="H395" s="8"/>
    </row>
    <row r="397" spans="1:8" s="13" customFormat="1" x14ac:dyDescent="0.25">
      <c r="A397" s="13" t="str">
        <f>+A1</f>
        <v>Kraft Heinz Company</v>
      </c>
      <c r="B397" s="15" t="str">
        <f>+B1</f>
        <v>Reclassified</v>
      </c>
      <c r="C397" s="15"/>
      <c r="D397" s="15"/>
      <c r="E397" s="15"/>
      <c r="F397" s="15"/>
      <c r="G397" s="15"/>
      <c r="H397" s="15"/>
    </row>
    <row r="398" spans="1:8" s="13" customFormat="1" x14ac:dyDescent="0.25">
      <c r="A398" s="13" t="s">
        <v>146</v>
      </c>
      <c r="B398" s="15"/>
      <c r="C398" s="15"/>
      <c r="D398" s="15"/>
      <c r="E398" s="15"/>
      <c r="F398" s="15"/>
      <c r="G398" s="15"/>
      <c r="H398" s="15"/>
    </row>
    <row r="399" spans="1:8" s="13" customFormat="1" x14ac:dyDescent="0.25">
      <c r="A399" s="13" t="str">
        <f>+A3</f>
        <v>in millions except per share data</v>
      </c>
      <c r="B399" s="15"/>
      <c r="C399" s="15"/>
      <c r="D399" s="15"/>
      <c r="E399" s="15"/>
      <c r="F399" s="15" t="s">
        <v>150</v>
      </c>
      <c r="G399" s="16" t="s">
        <v>125</v>
      </c>
      <c r="H399" s="16"/>
    </row>
    <row r="400" spans="1:8" s="13" customFormat="1" ht="15.75" thickBot="1" x14ac:dyDescent="0.3">
      <c r="A400" s="14" t="str">
        <f>+A4</f>
        <v>Year ended near 12/31:</v>
      </c>
      <c r="B400" s="17">
        <v>2022</v>
      </c>
      <c r="C400" s="17">
        <v>2021</v>
      </c>
      <c r="D400" s="17">
        <v>2020</v>
      </c>
      <c r="E400" s="17">
        <v>2019</v>
      </c>
      <c r="F400" s="17">
        <v>2018</v>
      </c>
      <c r="G400" s="17">
        <v>2017</v>
      </c>
      <c r="H400" s="22"/>
    </row>
    <row r="401" spans="1:24" x14ac:dyDescent="0.25">
      <c r="A401" s="5" t="s">
        <v>124</v>
      </c>
      <c r="B401" s="8">
        <v>0</v>
      </c>
      <c r="C401" s="8">
        <v>0</v>
      </c>
      <c r="D401" s="8">
        <v>0</v>
      </c>
      <c r="E401" s="8">
        <v>0</v>
      </c>
      <c r="F401" s="8">
        <v>152</v>
      </c>
      <c r="G401" s="8">
        <v>538</v>
      </c>
      <c r="H401" s="8"/>
      <c r="J401" s="28">
        <f t="shared" ref="J401:O404" si="257">+B401/B$21</f>
        <v>0</v>
      </c>
      <c r="K401" s="28">
        <f t="shared" si="257"/>
        <v>0</v>
      </c>
      <c r="L401" s="28">
        <f t="shared" si="257"/>
        <v>0</v>
      </c>
      <c r="M401" s="28">
        <f t="shared" si="257"/>
        <v>0</v>
      </c>
      <c r="N401" s="28">
        <f t="shared" si="257"/>
        <v>1.4691526275601434E-3</v>
      </c>
      <c r="O401" s="28">
        <f t="shared" si="257"/>
        <v>4.4798987442960401E-3</v>
      </c>
      <c r="P401" s="28"/>
      <c r="R401" s="28">
        <f>RATE(5,0,-G401,B401)</f>
        <v>-0.99999940914518248</v>
      </c>
      <c r="S401" s="28" t="e">
        <f t="shared" ref="S401:S404" si="258">AVERAGE(T401:X401)</f>
        <v>#DIV/0!</v>
      </c>
      <c r="T401" s="28" t="e">
        <f t="shared" ref="T401:X404" si="259">(+B401-C401)/C401</f>
        <v>#DIV/0!</v>
      </c>
      <c r="U401" s="28" t="e">
        <f t="shared" si="259"/>
        <v>#DIV/0!</v>
      </c>
      <c r="V401" s="28" t="e">
        <f t="shared" si="259"/>
        <v>#DIV/0!</v>
      </c>
      <c r="W401" s="28">
        <f t="shared" si="259"/>
        <v>-1</v>
      </c>
      <c r="X401" s="28">
        <f t="shared" si="259"/>
        <v>-0.71747211895910779</v>
      </c>
    </row>
    <row r="402" spans="1:24" x14ac:dyDescent="0.25">
      <c r="A402" s="5" t="s">
        <v>9</v>
      </c>
      <c r="B402" s="2">
        <v>240</v>
      </c>
      <c r="C402" s="2">
        <v>136</v>
      </c>
      <c r="D402" s="2">
        <v>351</v>
      </c>
      <c r="E402" s="2">
        <v>384</v>
      </c>
      <c r="F402" s="2">
        <v>400</v>
      </c>
      <c r="G402" s="2">
        <v>345</v>
      </c>
      <c r="J402" s="28">
        <f t="shared" si="257"/>
        <v>2.6515528156176461E-3</v>
      </c>
      <c r="K402" s="28">
        <f t="shared" si="257"/>
        <v>1.4561963295286636E-3</v>
      </c>
      <c r="L402" s="28">
        <f t="shared" si="257"/>
        <v>3.5159771611739956E-3</v>
      </c>
      <c r="M402" s="28">
        <f t="shared" si="257"/>
        <v>3.7851158206012813E-3</v>
      </c>
      <c r="N402" s="28">
        <f t="shared" si="257"/>
        <v>3.8661911251582724E-3</v>
      </c>
      <c r="O402" s="28">
        <f t="shared" si="257"/>
        <v>2.8727975218998769E-3</v>
      </c>
      <c r="P402" s="28"/>
      <c r="R402" s="28">
        <f>RATE(5,0,-G402,B402)</f>
        <v>-7.0009677432707695E-2</v>
      </c>
      <c r="S402" s="28">
        <f t="shared" si="258"/>
        <v>3.7130611934480209E-2</v>
      </c>
      <c r="T402" s="28">
        <f t="shared" si="259"/>
        <v>0.76470588235294112</v>
      </c>
      <c r="U402" s="28">
        <f t="shared" si="259"/>
        <v>-0.61253561253561251</v>
      </c>
      <c r="V402" s="28">
        <f t="shared" si="259"/>
        <v>-8.59375E-2</v>
      </c>
      <c r="W402" s="28">
        <f t="shared" si="259"/>
        <v>-0.04</v>
      </c>
      <c r="X402" s="28">
        <f t="shared" si="259"/>
        <v>0.15942028985507245</v>
      </c>
    </row>
    <row r="403" spans="1:24" x14ac:dyDescent="0.25">
      <c r="A403" s="5" t="s">
        <v>10</v>
      </c>
      <c r="B403" s="2">
        <v>842</v>
      </c>
      <c r="C403" s="2">
        <v>716</v>
      </c>
      <c r="D403" s="2">
        <v>574</v>
      </c>
      <c r="E403" s="2">
        <v>618</v>
      </c>
      <c r="F403" s="2">
        <v>1221</v>
      </c>
      <c r="G403" s="2">
        <v>655</v>
      </c>
      <c r="J403" s="28">
        <f t="shared" si="257"/>
        <v>9.3025311281252424E-3</v>
      </c>
      <c r="K403" s="28">
        <f t="shared" si="257"/>
        <v>7.6664453819303164E-3</v>
      </c>
      <c r="L403" s="28">
        <f t="shared" si="257"/>
        <v>5.7497746168486425E-3</v>
      </c>
      <c r="M403" s="28">
        <f t="shared" si="257"/>
        <v>6.091670773780187E-3</v>
      </c>
      <c r="N403" s="28">
        <f t="shared" si="257"/>
        <v>1.1801548409545625E-2</v>
      </c>
      <c r="O403" s="28">
        <f t="shared" si="257"/>
        <v>5.4541518169403461E-3</v>
      </c>
      <c r="P403" s="28"/>
      <c r="R403" s="28">
        <f>RATE(5,0,-G403,B403)</f>
        <v>5.1511818464607374E-2</v>
      </c>
      <c r="S403" s="28">
        <f t="shared" si="258"/>
        <v>0.1444863291514033</v>
      </c>
      <c r="T403" s="28">
        <f t="shared" si="259"/>
        <v>0.17597765363128492</v>
      </c>
      <c r="U403" s="28">
        <f t="shared" si="259"/>
        <v>0.24738675958188153</v>
      </c>
      <c r="V403" s="28">
        <f t="shared" si="259"/>
        <v>-7.1197411003236247E-2</v>
      </c>
      <c r="W403" s="28">
        <f t="shared" si="259"/>
        <v>-0.49385749385749383</v>
      </c>
      <c r="X403" s="28">
        <f t="shared" si="259"/>
        <v>0.8641221374045801</v>
      </c>
    </row>
    <row r="404" spans="1:24" x14ac:dyDescent="0.25">
      <c r="A404" s="5" t="s">
        <v>11</v>
      </c>
      <c r="B404" s="2">
        <v>4</v>
      </c>
      <c r="C404" s="2">
        <v>11</v>
      </c>
      <c r="D404" s="2">
        <v>1863</v>
      </c>
      <c r="E404" s="2">
        <v>122</v>
      </c>
      <c r="F404" s="2">
        <v>1376</v>
      </c>
      <c r="G404" s="2">
        <v>353</v>
      </c>
      <c r="J404" s="30">
        <f t="shared" si="257"/>
        <v>4.4192546926960765E-5</v>
      </c>
      <c r="K404" s="30">
        <f t="shared" si="257"/>
        <v>1.1778058547658308E-4</v>
      </c>
      <c r="L404" s="30">
        <f t="shared" si="257"/>
        <v>1.8661724932385056E-2</v>
      </c>
      <c r="M404" s="30">
        <f t="shared" si="257"/>
        <v>1.2025628388368655E-3</v>
      </c>
      <c r="N404" s="30">
        <f t="shared" si="257"/>
        <v>1.3299697470544457E-2</v>
      </c>
      <c r="O404" s="30">
        <f t="shared" si="257"/>
        <v>2.9394131166105984E-3</v>
      </c>
      <c r="P404" s="30"/>
      <c r="Q404" s="31"/>
      <c r="R404" s="30">
        <f>RATE(5,0,-G404,B404)</f>
        <v>-0.59181498497391294</v>
      </c>
      <c r="S404" s="30">
        <f t="shared" si="258"/>
        <v>2.9253424819919362</v>
      </c>
      <c r="T404" s="30">
        <f t="shared" si="259"/>
        <v>-0.63636363636363635</v>
      </c>
      <c r="U404" s="30">
        <f t="shared" si="259"/>
        <v>-0.99409554482018248</v>
      </c>
      <c r="V404" s="30">
        <f t="shared" si="259"/>
        <v>14.270491803278688</v>
      </c>
      <c r="W404" s="30">
        <f t="shared" si="259"/>
        <v>-0.91133720930232553</v>
      </c>
      <c r="X404" s="30">
        <f t="shared" si="259"/>
        <v>2.8980169971671388</v>
      </c>
    </row>
    <row r="405" spans="1:24" ht="15.75" thickBot="1" x14ac:dyDescent="0.3">
      <c r="A405" s="2" t="s">
        <v>10</v>
      </c>
      <c r="B405" s="9">
        <f>SUM(B401:B404)</f>
        <v>1086</v>
      </c>
      <c r="C405" s="9">
        <f t="shared" ref="C405:G405" si="260">SUM(C401:C404)</f>
        <v>863</v>
      </c>
      <c r="D405" s="9">
        <f t="shared" si="260"/>
        <v>2788</v>
      </c>
      <c r="E405" s="9">
        <f t="shared" si="260"/>
        <v>1124</v>
      </c>
      <c r="F405" s="9">
        <f t="shared" si="260"/>
        <v>3149</v>
      </c>
      <c r="G405" s="9">
        <f t="shared" si="260"/>
        <v>1891</v>
      </c>
      <c r="H405" s="36"/>
    </row>
    <row r="406" spans="1:24" ht="15.75" thickTop="1" x14ac:dyDescent="0.25"/>
    <row r="407" spans="1:24" x14ac:dyDescent="0.25">
      <c r="A407" s="5" t="s">
        <v>14</v>
      </c>
      <c r="B407" s="8">
        <v>30833</v>
      </c>
      <c r="C407" s="8">
        <v>31296</v>
      </c>
      <c r="D407" s="8">
        <v>33089</v>
      </c>
      <c r="E407" s="8">
        <v>35546</v>
      </c>
      <c r="F407" s="8">
        <v>36503</v>
      </c>
      <c r="G407" s="8">
        <v>44825</v>
      </c>
      <c r="H407" s="8"/>
      <c r="J407" s="28">
        <f t="shared" ref="J407:O408" si="261">+B407/B$21</f>
        <v>0.34064719984974534</v>
      </c>
      <c r="K407" s="28">
        <f t="shared" si="261"/>
        <v>0.33509647300683126</v>
      </c>
      <c r="L407" s="28">
        <f t="shared" si="261"/>
        <v>0.3314534709005309</v>
      </c>
      <c r="M407" s="28">
        <f t="shared" si="261"/>
        <v>0.35037949728930506</v>
      </c>
      <c r="N407" s="28">
        <f t="shared" si="261"/>
        <v>0.35281893660413105</v>
      </c>
      <c r="O407" s="28">
        <f t="shared" si="261"/>
        <v>0.37325550411351299</v>
      </c>
      <c r="P407" s="28"/>
      <c r="R407" s="28">
        <f>RATE(5,0,-G407,B407)</f>
        <v>-7.2104439321893851E-2</v>
      </c>
      <c r="S407" s="28">
        <f t="shared" ref="S407:S408" si="262">AVERAGE(T407:X407)</f>
        <v>-6.999509320131285E-2</v>
      </c>
      <c r="T407" s="28">
        <f t="shared" ref="T407:X408" si="263">(+B407-C407)/C407</f>
        <v>-1.4794222903885481E-2</v>
      </c>
      <c r="U407" s="28">
        <f t="shared" si="263"/>
        <v>-5.4187192118226604E-2</v>
      </c>
      <c r="V407" s="28">
        <f t="shared" si="263"/>
        <v>-6.9121701457266635E-2</v>
      </c>
      <c r="W407" s="28">
        <f t="shared" si="263"/>
        <v>-2.6217023258362327E-2</v>
      </c>
      <c r="X407" s="28">
        <f t="shared" si="263"/>
        <v>-0.1856553262688232</v>
      </c>
    </row>
    <row r="408" spans="1:24" x14ac:dyDescent="0.25">
      <c r="A408" s="5" t="s">
        <v>15</v>
      </c>
      <c r="B408" s="2">
        <v>42649</v>
      </c>
      <c r="C408" s="2">
        <v>43542</v>
      </c>
      <c r="D408" s="2">
        <v>46667</v>
      </c>
      <c r="E408" s="2">
        <v>48652</v>
      </c>
      <c r="F408" s="2">
        <v>49468</v>
      </c>
      <c r="G408" s="2">
        <v>59432</v>
      </c>
      <c r="J408" s="28">
        <f t="shared" si="261"/>
        <v>0.47119198347198743</v>
      </c>
      <c r="K408" s="28">
        <f t="shared" si="261"/>
        <v>0.46621838662012549</v>
      </c>
      <c r="L408" s="28">
        <f t="shared" si="261"/>
        <v>0.46746468997295404</v>
      </c>
      <c r="M408" s="28">
        <f t="shared" si="261"/>
        <v>0.4795662888122228</v>
      </c>
      <c r="N408" s="28">
        <f t="shared" si="261"/>
        <v>0.47813185644832351</v>
      </c>
      <c r="O408" s="28">
        <f t="shared" si="261"/>
        <v>0.49488725310595211</v>
      </c>
      <c r="P408" s="28"/>
      <c r="R408" s="28">
        <f>RATE(5,0,-G408,B408)</f>
        <v>-6.4211505046658401E-2</v>
      </c>
      <c r="S408" s="28">
        <f t="shared" si="262"/>
        <v>-6.2484401974492662E-2</v>
      </c>
      <c r="T408" s="28">
        <f t="shared" si="263"/>
        <v>-2.050893390289835E-2</v>
      </c>
      <c r="U408" s="28">
        <f t="shared" si="263"/>
        <v>-6.6963807401375711E-2</v>
      </c>
      <c r="V408" s="28">
        <f t="shared" si="263"/>
        <v>-4.0799967113376634E-2</v>
      </c>
      <c r="W408" s="28">
        <f t="shared" si="263"/>
        <v>-1.6495512250343656E-2</v>
      </c>
      <c r="X408" s="28">
        <f t="shared" si="263"/>
        <v>-0.16765378920446897</v>
      </c>
    </row>
    <row r="409" spans="1:24" ht="15.75" thickBot="1" x14ac:dyDescent="0.3">
      <c r="A409" s="2" t="s">
        <v>142</v>
      </c>
      <c r="B409" s="9">
        <f>SUM(B407:B408)</f>
        <v>73482</v>
      </c>
      <c r="C409" s="9">
        <f t="shared" ref="C409:G409" si="264">SUM(C407:C408)</f>
        <v>74838</v>
      </c>
      <c r="D409" s="9">
        <f t="shared" si="264"/>
        <v>79756</v>
      </c>
      <c r="E409" s="9">
        <f t="shared" si="264"/>
        <v>84198</v>
      </c>
      <c r="F409" s="9">
        <f t="shared" si="264"/>
        <v>85971</v>
      </c>
      <c r="G409" s="9">
        <f t="shared" si="264"/>
        <v>104257</v>
      </c>
      <c r="H409" s="36"/>
    </row>
    <row r="410" spans="1:24" ht="15.75" thickTop="1" x14ac:dyDescent="0.25"/>
    <row r="411" spans="1:24" x14ac:dyDescent="0.25">
      <c r="A411" s="5" t="s">
        <v>197</v>
      </c>
      <c r="B411" s="2">
        <v>2394</v>
      </c>
      <c r="C411" s="2">
        <v>2756</v>
      </c>
      <c r="D411" s="2">
        <v>2376</v>
      </c>
      <c r="E411" s="2">
        <v>2100</v>
      </c>
      <c r="F411" s="2">
        <v>1337</v>
      </c>
      <c r="G411" s="2">
        <v>1573</v>
      </c>
    </row>
    <row r="412" spans="1:24" x14ac:dyDescent="0.25">
      <c r="A412" s="5" t="s">
        <v>198</v>
      </c>
      <c r="B412" s="2">
        <f t="shared" ref="B412:G412" si="265">-B393</f>
        <v>-668</v>
      </c>
      <c r="C412" s="2">
        <f t="shared" si="265"/>
        <v>-569</v>
      </c>
      <c r="D412" s="2">
        <f t="shared" si="265"/>
        <v>-562</v>
      </c>
      <c r="E412" s="2">
        <f t="shared" si="265"/>
        <v>-542</v>
      </c>
      <c r="F412" s="2">
        <f t="shared" si="265"/>
        <v>0</v>
      </c>
      <c r="G412" s="2">
        <f t="shared" si="265"/>
        <v>0</v>
      </c>
    </row>
    <row r="413" spans="1:24" ht="15.75" thickBot="1" x14ac:dyDescent="0.3">
      <c r="A413" s="2" t="s">
        <v>199</v>
      </c>
      <c r="B413" s="9">
        <f>SUM(B411:B412)</f>
        <v>1726</v>
      </c>
      <c r="C413" s="9">
        <f t="shared" ref="C413:G413" si="266">SUM(C411:C412)</f>
        <v>2187</v>
      </c>
      <c r="D413" s="9">
        <f t="shared" si="266"/>
        <v>1814</v>
      </c>
      <c r="E413" s="9">
        <f t="shared" si="266"/>
        <v>1558</v>
      </c>
      <c r="F413" s="9">
        <f t="shared" si="266"/>
        <v>1337</v>
      </c>
      <c r="G413" s="9">
        <f t="shared" si="266"/>
        <v>1573</v>
      </c>
    </row>
    <row r="414" spans="1:24" ht="15.75" thickTop="1" x14ac:dyDescent="0.25"/>
    <row r="415" spans="1:24" x14ac:dyDescent="0.25">
      <c r="A415" s="5" t="s">
        <v>19</v>
      </c>
      <c r="B415" s="8">
        <v>6</v>
      </c>
      <c r="C415" s="8">
        <v>14</v>
      </c>
      <c r="D415" s="8">
        <v>6</v>
      </c>
      <c r="E415" s="8">
        <v>6</v>
      </c>
      <c r="F415" s="8">
        <v>21</v>
      </c>
      <c r="G415" s="8">
        <v>462</v>
      </c>
      <c r="H415" s="8"/>
      <c r="J415" s="28">
        <f t="shared" ref="J415:O416" si="267">+B415/B$21</f>
        <v>6.6288820390441154E-5</v>
      </c>
      <c r="K415" s="28">
        <f t="shared" si="267"/>
        <v>1.4990256333383302E-4</v>
      </c>
      <c r="L415" s="28">
        <f t="shared" si="267"/>
        <v>6.0102173695281982E-5</v>
      </c>
      <c r="M415" s="28">
        <f t="shared" si="267"/>
        <v>5.914243469689502E-5</v>
      </c>
      <c r="N415" s="28">
        <f t="shared" si="267"/>
        <v>2.0297503407080928E-4</v>
      </c>
      <c r="O415" s="28">
        <f t="shared" si="267"/>
        <v>3.8470505945441828E-3</v>
      </c>
      <c r="P415" s="28"/>
      <c r="R415" s="28">
        <f>RATE(5,0,-G415,B415)</f>
        <v>-0.58052908347039545</v>
      </c>
      <c r="S415" s="28">
        <f t="shared" ref="S415:S430" si="268">AVERAGE(T415:X415)</f>
        <v>-0.1813852813852814</v>
      </c>
      <c r="T415" s="28">
        <f t="shared" ref="T415:X416" si="269">(+B415-C415)/C415</f>
        <v>-0.5714285714285714</v>
      </c>
      <c r="U415" s="28">
        <f t="shared" si="269"/>
        <v>1.3333333333333333</v>
      </c>
      <c r="V415" s="28">
        <f t="shared" si="269"/>
        <v>0</v>
      </c>
      <c r="W415" s="28">
        <f t="shared" si="269"/>
        <v>-0.7142857142857143</v>
      </c>
      <c r="X415" s="28">
        <f t="shared" si="269"/>
        <v>-0.95454545454545459</v>
      </c>
    </row>
    <row r="416" spans="1:24" x14ac:dyDescent="0.25">
      <c r="A416" s="5" t="s">
        <v>20</v>
      </c>
      <c r="B416" s="2">
        <v>831</v>
      </c>
      <c r="C416" s="2">
        <v>740</v>
      </c>
      <c r="D416" s="2">
        <v>230</v>
      </c>
      <c r="E416" s="2">
        <v>1022</v>
      </c>
      <c r="F416" s="2">
        <v>377</v>
      </c>
      <c r="G416" s="2">
        <v>2733</v>
      </c>
      <c r="J416" s="28">
        <f t="shared" si="267"/>
        <v>9.1810016240760992E-3</v>
      </c>
      <c r="K416" s="28">
        <f t="shared" si="267"/>
        <v>7.9234212047883164E-3</v>
      </c>
      <c r="L416" s="28">
        <f t="shared" si="267"/>
        <v>2.3039166583191427E-3</v>
      </c>
      <c r="M416" s="28">
        <f t="shared" si="267"/>
        <v>1.0073928043371119E-2</v>
      </c>
      <c r="N416" s="28">
        <f t="shared" si="267"/>
        <v>3.6438851354616717E-3</v>
      </c>
      <c r="O416" s="28">
        <f t="shared" si="267"/>
        <v>2.2757552543050327E-2</v>
      </c>
      <c r="P416" s="28"/>
      <c r="R416" s="28">
        <f>RATE(5,0,-G416,B416)</f>
        <v>-0.21188012748640178</v>
      </c>
      <c r="S416" s="28">
        <f t="shared" si="268"/>
        <v>0.48284643684593676</v>
      </c>
      <c r="T416" s="28">
        <f t="shared" si="269"/>
        <v>0.12297297297297298</v>
      </c>
      <c r="U416" s="28">
        <f t="shared" si="269"/>
        <v>2.2173913043478262</v>
      </c>
      <c r="V416" s="28">
        <f t="shared" si="269"/>
        <v>-0.77495107632093929</v>
      </c>
      <c r="W416" s="28">
        <f t="shared" si="269"/>
        <v>1.7108753315649867</v>
      </c>
      <c r="X416" s="28">
        <f t="shared" si="269"/>
        <v>-0.86205634833516287</v>
      </c>
    </row>
    <row r="417" spans="1:24" ht="15.75" thickBot="1" x14ac:dyDescent="0.3">
      <c r="A417" s="12" t="s">
        <v>144</v>
      </c>
      <c r="B417" s="9">
        <f>SUM(B415:B416)</f>
        <v>837</v>
      </c>
      <c r="C417" s="9">
        <f t="shared" ref="C417:G417" si="270">SUM(C415:C416)</f>
        <v>754</v>
      </c>
      <c r="D417" s="9">
        <f t="shared" si="270"/>
        <v>236</v>
      </c>
      <c r="E417" s="9">
        <f t="shared" si="270"/>
        <v>1028</v>
      </c>
      <c r="F417" s="9">
        <f t="shared" si="270"/>
        <v>398</v>
      </c>
      <c r="G417" s="9">
        <f t="shared" si="270"/>
        <v>3195</v>
      </c>
      <c r="H417" s="36"/>
      <c r="J417" s="28"/>
      <c r="K417" s="28"/>
      <c r="L417" s="28"/>
      <c r="M417" s="28"/>
      <c r="N417" s="28"/>
      <c r="O417" s="28"/>
      <c r="P417" s="28"/>
      <c r="R417" s="28"/>
      <c r="S417" s="28"/>
      <c r="T417" s="28"/>
      <c r="U417" s="28"/>
      <c r="V417" s="28"/>
      <c r="W417" s="28"/>
      <c r="X417" s="28"/>
    </row>
    <row r="418" spans="1:24" ht="15.75" thickTop="1" x14ac:dyDescent="0.25">
      <c r="A418" s="5"/>
      <c r="J418" s="28"/>
      <c r="K418" s="28"/>
      <c r="L418" s="28"/>
      <c r="M418" s="28"/>
      <c r="N418" s="28"/>
      <c r="O418" s="28"/>
      <c r="P418" s="28"/>
      <c r="R418" s="28"/>
      <c r="S418" s="28"/>
      <c r="T418" s="28"/>
      <c r="U418" s="28"/>
      <c r="V418" s="28"/>
      <c r="W418" s="28"/>
      <c r="X418" s="28"/>
    </row>
    <row r="419" spans="1:24" x14ac:dyDescent="0.25">
      <c r="A419" s="5" t="s">
        <v>26</v>
      </c>
      <c r="B419" s="8">
        <v>749</v>
      </c>
      <c r="C419" s="8">
        <v>804</v>
      </c>
      <c r="D419" s="8">
        <v>946</v>
      </c>
      <c r="E419" s="8">
        <v>647</v>
      </c>
      <c r="F419" s="8">
        <v>722</v>
      </c>
      <c r="G419" s="8">
        <v>689</v>
      </c>
      <c r="H419" s="8"/>
      <c r="J419" s="28">
        <f t="shared" ref="J419:O423" si="271">+B419/B$21</f>
        <v>8.2750544120734036E-3</v>
      </c>
      <c r="K419" s="28">
        <f t="shared" si="271"/>
        <v>8.6086900657429809E-3</v>
      </c>
      <c r="L419" s="28">
        <f t="shared" si="271"/>
        <v>9.4761093859561246E-3</v>
      </c>
      <c r="M419" s="28">
        <f t="shared" si="271"/>
        <v>6.3775258748151797E-3</v>
      </c>
      <c r="N419" s="28">
        <f t="shared" si="271"/>
        <v>6.9784749809106809E-3</v>
      </c>
      <c r="O419" s="28">
        <f t="shared" si="271"/>
        <v>5.7372680944609133E-3</v>
      </c>
      <c r="P419" s="28"/>
      <c r="R419" s="28">
        <f>RATE(5,0,-G419,B419)</f>
        <v>1.6839759291933765E-2</v>
      </c>
      <c r="S419" s="28">
        <f t="shared" si="268"/>
        <v>3.7527327422520657E-2</v>
      </c>
      <c r="T419" s="28">
        <f t="shared" ref="T419:X423" si="272">(+B419-C419)/C419</f>
        <v>-6.8407960199004969E-2</v>
      </c>
      <c r="U419" s="28">
        <f t="shared" si="272"/>
        <v>-0.15010570824524314</v>
      </c>
      <c r="V419" s="28">
        <f t="shared" si="272"/>
        <v>0.46213292117465227</v>
      </c>
      <c r="W419" s="28">
        <f t="shared" si="272"/>
        <v>-0.1038781163434903</v>
      </c>
      <c r="X419" s="28">
        <f t="shared" si="272"/>
        <v>4.7895500725689405E-2</v>
      </c>
    </row>
    <row r="420" spans="1:24" x14ac:dyDescent="0.25">
      <c r="A420" s="5" t="s">
        <v>22</v>
      </c>
      <c r="B420" s="2">
        <v>264</v>
      </c>
      <c r="C420" s="2">
        <v>268</v>
      </c>
      <c r="D420" s="2">
        <v>358</v>
      </c>
      <c r="E420" s="2">
        <v>384</v>
      </c>
      <c r="F420" s="2">
        <v>408</v>
      </c>
      <c r="G420" s="2">
        <v>419</v>
      </c>
      <c r="J420" s="28">
        <f t="shared" si="271"/>
        <v>2.9167080971794108E-3</v>
      </c>
      <c r="K420" s="28">
        <f t="shared" si="271"/>
        <v>2.8695633552476606E-3</v>
      </c>
      <c r="L420" s="28">
        <f t="shared" si="271"/>
        <v>3.5860963638184914E-3</v>
      </c>
      <c r="M420" s="28">
        <f t="shared" si="271"/>
        <v>3.7851158206012813E-3</v>
      </c>
      <c r="N420" s="28">
        <f t="shared" si="271"/>
        <v>3.9435149476614376E-3</v>
      </c>
      <c r="O420" s="28">
        <f t="shared" si="271"/>
        <v>3.4889917729740531E-3</v>
      </c>
      <c r="P420" s="28"/>
      <c r="R420" s="28">
        <f>RATE(5,0,-G420,B420)</f>
        <v>-8.8245362884069409E-2</v>
      </c>
      <c r="S420" s="28">
        <f t="shared" si="268"/>
        <v>-8.3821373443535047E-2</v>
      </c>
      <c r="T420" s="28">
        <f t="shared" si="272"/>
        <v>-1.4925373134328358E-2</v>
      </c>
      <c r="U420" s="28">
        <f t="shared" si="272"/>
        <v>-0.25139664804469275</v>
      </c>
      <c r="V420" s="28">
        <f t="shared" si="272"/>
        <v>-6.7708333333333329E-2</v>
      </c>
      <c r="W420" s="28">
        <f t="shared" si="272"/>
        <v>-5.8823529411764705E-2</v>
      </c>
      <c r="X420" s="28">
        <f t="shared" si="272"/>
        <v>-2.6252983293556086E-2</v>
      </c>
    </row>
    <row r="421" spans="1:24" x14ac:dyDescent="0.25">
      <c r="A421" s="5" t="s">
        <v>23</v>
      </c>
      <c r="B421" s="2">
        <v>136</v>
      </c>
      <c r="C421" s="2">
        <v>541</v>
      </c>
      <c r="D421" s="2">
        <v>0</v>
      </c>
      <c r="E421" s="2">
        <v>0</v>
      </c>
      <c r="F421" s="2">
        <v>0</v>
      </c>
      <c r="G421" s="2">
        <v>0</v>
      </c>
      <c r="J421" s="28">
        <f t="shared" si="271"/>
        <v>1.5025465955166661E-3</v>
      </c>
      <c r="K421" s="28">
        <f t="shared" si="271"/>
        <v>5.7926633402574038E-3</v>
      </c>
      <c r="L421" s="28">
        <f t="shared" si="271"/>
        <v>0</v>
      </c>
      <c r="M421" s="28">
        <f t="shared" si="271"/>
        <v>0</v>
      </c>
      <c r="N421" s="28">
        <f t="shared" si="271"/>
        <v>0</v>
      </c>
      <c r="O421" s="28">
        <f t="shared" si="271"/>
        <v>0</v>
      </c>
      <c r="P421" s="28"/>
      <c r="R421" s="28" t="e">
        <f>RATE(5,0,-G421,B421)</f>
        <v>#NUM!</v>
      </c>
      <c r="S421" s="28" t="e">
        <f t="shared" si="268"/>
        <v>#DIV/0!</v>
      </c>
      <c r="T421" s="28">
        <f t="shared" si="272"/>
        <v>-0.74861367837338266</v>
      </c>
      <c r="U421" s="28" t="e">
        <f t="shared" si="272"/>
        <v>#DIV/0!</v>
      </c>
      <c r="V421" s="28" t="e">
        <f t="shared" si="272"/>
        <v>#DIV/0!</v>
      </c>
      <c r="W421" s="28" t="e">
        <f t="shared" si="272"/>
        <v>#DIV/0!</v>
      </c>
      <c r="X421" s="28" t="e">
        <f t="shared" si="272"/>
        <v>#DIV/0!</v>
      </c>
    </row>
    <row r="422" spans="1:24" x14ac:dyDescent="0.25">
      <c r="A422" s="5" t="s">
        <v>118</v>
      </c>
      <c r="B422" s="2">
        <v>0</v>
      </c>
      <c r="C422" s="2">
        <v>0</v>
      </c>
      <c r="D422" s="2">
        <v>17</v>
      </c>
      <c r="E422" s="2">
        <v>9</v>
      </c>
      <c r="F422" s="2">
        <v>55</v>
      </c>
      <c r="G422" s="2">
        <v>0</v>
      </c>
      <c r="J422" s="28">
        <f t="shared" si="271"/>
        <v>0</v>
      </c>
      <c r="K422" s="28">
        <f t="shared" si="271"/>
        <v>0</v>
      </c>
      <c r="L422" s="28">
        <f t="shared" si="271"/>
        <v>1.7028949213663226E-4</v>
      </c>
      <c r="M422" s="28">
        <f t="shared" si="271"/>
        <v>8.8713652045342527E-5</v>
      </c>
      <c r="N422" s="28">
        <f t="shared" si="271"/>
        <v>5.3160127970926241E-4</v>
      </c>
      <c r="O422" s="28">
        <f t="shared" si="271"/>
        <v>0</v>
      </c>
      <c r="P422" s="28"/>
      <c r="R422" s="28" t="e">
        <f>RATE(5,0,-G422,B422)</f>
        <v>#NUM!</v>
      </c>
      <c r="S422" s="28" t="e">
        <f t="shared" si="268"/>
        <v>#DIV/0!</v>
      </c>
      <c r="T422" s="28" t="e">
        <f t="shared" si="272"/>
        <v>#DIV/0!</v>
      </c>
      <c r="U422" s="28">
        <f t="shared" si="272"/>
        <v>-1</v>
      </c>
      <c r="V422" s="28">
        <f t="shared" si="272"/>
        <v>0.88888888888888884</v>
      </c>
      <c r="W422" s="28">
        <f t="shared" si="272"/>
        <v>-0.83636363636363631</v>
      </c>
      <c r="X422" s="28" t="e">
        <f t="shared" si="272"/>
        <v>#DIV/0!</v>
      </c>
    </row>
    <row r="423" spans="1:24" x14ac:dyDescent="0.25">
      <c r="A423" s="5" t="s">
        <v>24</v>
      </c>
      <c r="B423" s="34">
        <v>2194</v>
      </c>
      <c r="C423" s="34">
        <v>1944</v>
      </c>
      <c r="D423" s="34">
        <v>2200</v>
      </c>
      <c r="E423" s="34">
        <v>1804</v>
      </c>
      <c r="F423" s="34">
        <v>1767</v>
      </c>
      <c r="G423" s="34">
        <v>1489</v>
      </c>
      <c r="H423" s="34"/>
      <c r="J423" s="30">
        <f t="shared" si="271"/>
        <v>2.4239611989437981E-2</v>
      </c>
      <c r="K423" s="30">
        <f t="shared" si="271"/>
        <v>2.0815041651497956E-2</v>
      </c>
      <c r="L423" s="30">
        <f t="shared" si="271"/>
        <v>2.2037463688270059E-2</v>
      </c>
      <c r="M423" s="30">
        <f t="shared" si="271"/>
        <v>1.7782158698866436E-2</v>
      </c>
      <c r="N423" s="30">
        <f t="shared" si="271"/>
        <v>1.7078899295386668E-2</v>
      </c>
      <c r="O423" s="30">
        <f t="shared" si="271"/>
        <v>1.2398827565533092E-2</v>
      </c>
      <c r="P423" s="30"/>
      <c r="Q423" s="31"/>
      <c r="R423" s="30">
        <f>RATE(5,0,-G423,B423)</f>
        <v>8.0608514301309969E-2</v>
      </c>
      <c r="S423" s="30">
        <f t="shared" si="268"/>
        <v>8.7878262416086469E-2</v>
      </c>
      <c r="T423" s="30">
        <f t="shared" si="272"/>
        <v>0.12860082304526749</v>
      </c>
      <c r="U423" s="30">
        <f t="shared" si="272"/>
        <v>-0.11636363636363636</v>
      </c>
      <c r="V423" s="30">
        <f t="shared" si="272"/>
        <v>0.21951219512195122</v>
      </c>
      <c r="W423" s="30">
        <f t="shared" si="272"/>
        <v>2.0939445387662705E-2</v>
      </c>
      <c r="X423" s="30">
        <f t="shared" si="272"/>
        <v>0.18670248488918736</v>
      </c>
    </row>
    <row r="424" spans="1:24" x14ac:dyDescent="0.25">
      <c r="A424" s="5" t="s">
        <v>201</v>
      </c>
      <c r="B424" s="34">
        <f t="shared" ref="B424:G424" si="273">-B394</f>
        <v>-125</v>
      </c>
      <c r="C424" s="34">
        <f t="shared" si="273"/>
        <v>-133</v>
      </c>
      <c r="D424" s="34">
        <f t="shared" si="273"/>
        <v>-135</v>
      </c>
      <c r="E424" s="34">
        <f t="shared" si="273"/>
        <v>-147</v>
      </c>
      <c r="F424" s="34">
        <f t="shared" si="273"/>
        <v>0</v>
      </c>
      <c r="G424" s="34">
        <f t="shared" si="273"/>
        <v>0</v>
      </c>
      <c r="H424" s="34"/>
      <c r="J424" s="37"/>
      <c r="K424" s="37"/>
      <c r="L424" s="37"/>
      <c r="M424" s="37"/>
      <c r="N424" s="37"/>
      <c r="O424" s="37"/>
      <c r="P424" s="37"/>
      <c r="Q424" s="34"/>
      <c r="R424" s="37"/>
      <c r="S424" s="37"/>
      <c r="T424" s="37"/>
      <c r="U424" s="37"/>
      <c r="V424" s="37"/>
      <c r="W424" s="37"/>
      <c r="X424" s="37"/>
    </row>
    <row r="425" spans="1:24" ht="15.75" thickBot="1" x14ac:dyDescent="0.3">
      <c r="A425" s="2" t="s">
        <v>24</v>
      </c>
      <c r="B425" s="9">
        <f>SUM(B419:B424)</f>
        <v>3218</v>
      </c>
      <c r="C425" s="9">
        <f t="shared" ref="C425:G425" si="274">SUM(C419:C424)</f>
        <v>3424</v>
      </c>
      <c r="D425" s="9">
        <f t="shared" si="274"/>
        <v>3386</v>
      </c>
      <c r="E425" s="9">
        <f t="shared" si="274"/>
        <v>2697</v>
      </c>
      <c r="F425" s="9">
        <f t="shared" si="274"/>
        <v>2952</v>
      </c>
      <c r="G425" s="9">
        <f t="shared" si="274"/>
        <v>2597</v>
      </c>
      <c r="H425" s="36"/>
      <c r="J425" s="28">
        <f>+B425/B$21</f>
        <v>3.5552904002739937E-2</v>
      </c>
      <c r="K425" s="28"/>
      <c r="L425" s="28"/>
      <c r="M425" s="28"/>
      <c r="N425" s="28"/>
      <c r="O425" s="28"/>
      <c r="P425" s="28"/>
      <c r="R425" s="28"/>
      <c r="S425" s="28"/>
      <c r="T425" s="28"/>
      <c r="U425" s="28"/>
      <c r="V425" s="28"/>
      <c r="W425" s="28"/>
      <c r="X425" s="28"/>
    </row>
    <row r="426" spans="1:24" ht="15.75" thickTop="1" x14ac:dyDescent="0.25">
      <c r="B426" s="34"/>
      <c r="C426" s="34"/>
      <c r="D426" s="34"/>
      <c r="E426" s="34"/>
      <c r="F426" s="34"/>
      <c r="G426" s="34"/>
      <c r="H426" s="34"/>
      <c r="J426" s="28"/>
      <c r="K426" s="28"/>
      <c r="L426" s="28"/>
      <c r="M426" s="28"/>
      <c r="N426" s="28"/>
      <c r="O426" s="28"/>
      <c r="P426" s="28"/>
      <c r="R426" s="28"/>
      <c r="S426" s="28"/>
      <c r="T426" s="28"/>
      <c r="U426" s="28"/>
      <c r="V426" s="28"/>
      <c r="W426" s="28"/>
      <c r="X426" s="28"/>
    </row>
    <row r="427" spans="1:24" x14ac:dyDescent="0.25">
      <c r="A427" s="5" t="s">
        <v>28</v>
      </c>
      <c r="B427" s="8">
        <v>10152</v>
      </c>
      <c r="C427" s="8">
        <v>10536</v>
      </c>
      <c r="D427" s="8">
        <v>11462</v>
      </c>
      <c r="E427" s="8">
        <v>11878</v>
      </c>
      <c r="F427" s="8">
        <v>12202</v>
      </c>
      <c r="G427" s="8">
        <v>14039</v>
      </c>
      <c r="H427" s="8"/>
      <c r="J427" s="28">
        <f t="shared" ref="J427:O430" si="275">+B427/B$21</f>
        <v>0.11216068410062643</v>
      </c>
      <c r="K427" s="28">
        <f t="shared" si="275"/>
        <v>0.11281238623466175</v>
      </c>
      <c r="L427" s="28">
        <f t="shared" si="275"/>
        <v>0.11481518581588701</v>
      </c>
      <c r="M427" s="28">
        <f t="shared" si="275"/>
        <v>0.11708230655495318</v>
      </c>
      <c r="N427" s="28">
        <f t="shared" si="275"/>
        <v>0.11793816027295309</v>
      </c>
      <c r="O427" s="28">
        <f t="shared" si="275"/>
        <v>0.11690204176797789</v>
      </c>
      <c r="P427" s="28"/>
      <c r="R427" s="28">
        <f>RATE(5,0,-G427,B427)</f>
        <v>-6.2776678206707098E-2</v>
      </c>
      <c r="S427" s="28">
        <f t="shared" si="268"/>
        <v>-6.1932138628004139E-2</v>
      </c>
      <c r="T427" s="28">
        <f t="shared" ref="T427:X430" si="276">(+B427-C427)/C427</f>
        <v>-3.644646924829157E-2</v>
      </c>
      <c r="U427" s="28">
        <f t="shared" si="276"/>
        <v>-8.0788693072762166E-2</v>
      </c>
      <c r="V427" s="28">
        <f t="shared" si="276"/>
        <v>-3.5022731099511699E-2</v>
      </c>
      <c r="W427" s="28">
        <f t="shared" si="276"/>
        <v>-2.6553024094410752E-2</v>
      </c>
      <c r="X427" s="28">
        <f t="shared" si="276"/>
        <v>-0.13084977562504452</v>
      </c>
    </row>
    <row r="428" spans="1:24" x14ac:dyDescent="0.25">
      <c r="A428" s="5" t="s">
        <v>119</v>
      </c>
      <c r="B428" s="2">
        <v>144</v>
      </c>
      <c r="C428" s="2">
        <v>205</v>
      </c>
      <c r="D428" s="2">
        <v>243</v>
      </c>
      <c r="E428" s="2">
        <v>273</v>
      </c>
      <c r="F428" s="2">
        <v>306</v>
      </c>
      <c r="G428" s="2">
        <v>427</v>
      </c>
      <c r="J428" s="28">
        <f t="shared" si="275"/>
        <v>1.5909316893705876E-3</v>
      </c>
      <c r="K428" s="28">
        <f t="shared" si="275"/>
        <v>2.1950018202454118E-3</v>
      </c>
      <c r="L428" s="28">
        <f t="shared" si="275"/>
        <v>2.43413803465892E-3</v>
      </c>
      <c r="M428" s="28">
        <f t="shared" si="275"/>
        <v>2.6909807787087233E-3</v>
      </c>
      <c r="N428" s="28">
        <f t="shared" si="275"/>
        <v>2.9576362107460782E-3</v>
      </c>
      <c r="O428" s="28">
        <f t="shared" si="275"/>
        <v>3.5556073676847751E-3</v>
      </c>
      <c r="P428" s="28"/>
      <c r="R428" s="28">
        <f>RATE(5,0,-G428,B428)</f>
        <v>-0.19538722547686657</v>
      </c>
      <c r="S428" s="28">
        <f t="shared" si="268"/>
        <v>-0.19100903778347836</v>
      </c>
      <c r="T428" s="28">
        <f t="shared" si="276"/>
        <v>-0.29756097560975608</v>
      </c>
      <c r="U428" s="28">
        <f t="shared" si="276"/>
        <v>-0.15637860082304528</v>
      </c>
      <c r="V428" s="28">
        <f t="shared" si="276"/>
        <v>-0.10989010989010989</v>
      </c>
      <c r="W428" s="28">
        <f t="shared" si="276"/>
        <v>-0.10784313725490197</v>
      </c>
      <c r="X428" s="28">
        <f t="shared" si="276"/>
        <v>-0.28337236533957844</v>
      </c>
    </row>
    <row r="429" spans="1:24" x14ac:dyDescent="0.25">
      <c r="A429" s="5" t="s">
        <v>29</v>
      </c>
      <c r="B429" s="2">
        <v>1477</v>
      </c>
      <c r="C429" s="2">
        <v>1534</v>
      </c>
      <c r="D429" s="2">
        <v>0</v>
      </c>
      <c r="E429" s="2">
        <v>0</v>
      </c>
      <c r="F429" s="2">
        <v>0</v>
      </c>
      <c r="G429" s="2">
        <v>0</v>
      </c>
      <c r="J429" s="28">
        <f t="shared" si="275"/>
        <v>1.6318097952780265E-2</v>
      </c>
      <c r="K429" s="28">
        <f t="shared" si="275"/>
        <v>1.6425038011007132E-2</v>
      </c>
      <c r="L429" s="28">
        <f t="shared" si="275"/>
        <v>0</v>
      </c>
      <c r="M429" s="28">
        <f t="shared" si="275"/>
        <v>0</v>
      </c>
      <c r="N429" s="28">
        <f t="shared" si="275"/>
        <v>0</v>
      </c>
      <c r="O429" s="28">
        <f t="shared" si="275"/>
        <v>0</v>
      </c>
      <c r="P429" s="28"/>
      <c r="R429" s="28" t="e">
        <f>RATE(5,0,-G429,B429)</f>
        <v>#NUM!</v>
      </c>
      <c r="S429" s="28" t="e">
        <f t="shared" si="268"/>
        <v>#DIV/0!</v>
      </c>
      <c r="T429" s="28">
        <f t="shared" si="276"/>
        <v>-3.7157757496740544E-2</v>
      </c>
      <c r="U429" s="28" t="e">
        <f t="shared" si="276"/>
        <v>#DIV/0!</v>
      </c>
      <c r="V429" s="28" t="e">
        <f t="shared" si="276"/>
        <v>#DIV/0!</v>
      </c>
      <c r="W429" s="28" t="e">
        <f t="shared" si="276"/>
        <v>#DIV/0!</v>
      </c>
      <c r="X429" s="28" t="e">
        <f t="shared" si="276"/>
        <v>#DIV/0!</v>
      </c>
    </row>
    <row r="430" spans="1:24" x14ac:dyDescent="0.25">
      <c r="A430" s="5" t="s">
        <v>30</v>
      </c>
      <c r="B430" s="2">
        <v>1609</v>
      </c>
      <c r="C430" s="2">
        <v>1542</v>
      </c>
      <c r="D430" s="2">
        <v>1751</v>
      </c>
      <c r="E430" s="2">
        <v>1459</v>
      </c>
      <c r="F430" s="2">
        <v>902</v>
      </c>
      <c r="G430" s="2">
        <v>1088</v>
      </c>
      <c r="J430" s="30">
        <f t="shared" si="275"/>
        <v>1.7776452001369968E-2</v>
      </c>
      <c r="K430" s="30">
        <f t="shared" si="275"/>
        <v>1.6510696618626464E-2</v>
      </c>
      <c r="L430" s="30">
        <f t="shared" si="275"/>
        <v>1.7539817690073123E-2</v>
      </c>
      <c r="M430" s="30">
        <f t="shared" si="275"/>
        <v>1.4381468703794973E-2</v>
      </c>
      <c r="N430" s="30">
        <f t="shared" si="275"/>
        <v>8.7182609872319041E-3</v>
      </c>
      <c r="O430" s="30">
        <f t="shared" si="275"/>
        <v>9.0597208806581613E-3</v>
      </c>
      <c r="P430" s="30"/>
      <c r="Q430" s="31"/>
      <c r="R430" s="30">
        <f>RATE(5,0,-G430,B430)</f>
        <v>8.1397670613528067E-2</v>
      </c>
      <c r="S430" s="30">
        <f t="shared" si="268"/>
        <v>0.11415750537922809</v>
      </c>
      <c r="T430" s="30">
        <f t="shared" si="276"/>
        <v>4.3450064850843059E-2</v>
      </c>
      <c r="U430" s="30">
        <f t="shared" si="276"/>
        <v>-0.11936036550542548</v>
      </c>
      <c r="V430" s="30">
        <f t="shared" si="276"/>
        <v>0.20013708019191226</v>
      </c>
      <c r="W430" s="30">
        <f t="shared" si="276"/>
        <v>0.6175166297117517</v>
      </c>
      <c r="X430" s="30">
        <f t="shared" si="276"/>
        <v>-0.17095588235294118</v>
      </c>
    </row>
    <row r="431" spans="1:24" x14ac:dyDescent="0.25">
      <c r="A431" s="5" t="s">
        <v>203</v>
      </c>
      <c r="B431" s="2">
        <f t="shared" ref="B431:G431" si="277">-B395</f>
        <v>-585</v>
      </c>
      <c r="C431" s="2">
        <f t="shared" si="277"/>
        <v>-484</v>
      </c>
      <c r="D431" s="2">
        <f t="shared" si="277"/>
        <v>-475</v>
      </c>
      <c r="E431" s="2">
        <f t="shared" si="277"/>
        <v>-454</v>
      </c>
      <c r="F431" s="2">
        <f t="shared" si="277"/>
        <v>0</v>
      </c>
      <c r="G431" s="2">
        <f t="shared" si="277"/>
        <v>0</v>
      </c>
      <c r="J431" s="37"/>
      <c r="K431" s="37"/>
      <c r="L431" s="37"/>
      <c r="M431" s="37"/>
      <c r="N431" s="37"/>
      <c r="O431" s="37"/>
      <c r="P431" s="37"/>
      <c r="Q431" s="34"/>
      <c r="R431" s="37"/>
      <c r="S431" s="37"/>
      <c r="T431" s="37"/>
      <c r="U431" s="37"/>
      <c r="V431" s="37"/>
      <c r="W431" s="37"/>
      <c r="X431" s="37"/>
    </row>
    <row r="432" spans="1:24" ht="15.75" thickBot="1" x14ac:dyDescent="0.3">
      <c r="A432" s="2" t="s">
        <v>145</v>
      </c>
      <c r="B432" s="9">
        <f>SUM(B427:B431)</f>
        <v>12797</v>
      </c>
      <c r="C432" s="9">
        <f t="shared" ref="C432:G432" si="278">SUM(C427:C431)</f>
        <v>13333</v>
      </c>
      <c r="D432" s="9">
        <f t="shared" si="278"/>
        <v>12981</v>
      </c>
      <c r="E432" s="9">
        <f t="shared" si="278"/>
        <v>13156</v>
      </c>
      <c r="F432" s="9">
        <f t="shared" si="278"/>
        <v>13410</v>
      </c>
      <c r="G432" s="9">
        <f t="shared" si="278"/>
        <v>15554</v>
      </c>
      <c r="H432" s="36"/>
    </row>
    <row r="433" spans="1:24" ht="15.75" thickTop="1" x14ac:dyDescent="0.25"/>
    <row r="434" spans="1:24" x14ac:dyDescent="0.25">
      <c r="A434" s="5" t="s">
        <v>33</v>
      </c>
      <c r="B434" s="8">
        <v>12</v>
      </c>
      <c r="C434" s="8">
        <v>12</v>
      </c>
      <c r="D434" s="8">
        <v>12</v>
      </c>
      <c r="E434" s="8">
        <v>12</v>
      </c>
      <c r="F434" s="8">
        <v>12</v>
      </c>
      <c r="G434" s="8">
        <v>12</v>
      </c>
      <c r="H434" s="8"/>
      <c r="J434" s="28">
        <f t="shared" ref="J434:O440" si="279">+B434/B$21</f>
        <v>1.3257764078088231E-4</v>
      </c>
      <c r="K434" s="28">
        <f t="shared" si="279"/>
        <v>1.2848791142899973E-4</v>
      </c>
      <c r="L434" s="28">
        <f t="shared" si="279"/>
        <v>1.2020434739056396E-4</v>
      </c>
      <c r="M434" s="28">
        <f t="shared" si="279"/>
        <v>1.1828486939379004E-4</v>
      </c>
      <c r="N434" s="28">
        <f t="shared" si="279"/>
        <v>1.1598573375474817E-4</v>
      </c>
      <c r="O434" s="28">
        <f t="shared" si="279"/>
        <v>9.9923392066082669E-5</v>
      </c>
      <c r="P434" s="28"/>
      <c r="R434" s="28">
        <f t="shared" ref="R434:R440" si="280">RATE(5,0,-G434,B434)</f>
        <v>1.1505115232739206E-16</v>
      </c>
      <c r="S434" s="28">
        <f t="shared" ref="S434:S440" si="281">AVERAGE(T434:X434)</f>
        <v>0</v>
      </c>
      <c r="T434" s="28">
        <f t="shared" ref="T434:X440" si="282">(+B434-C434)/C434</f>
        <v>0</v>
      </c>
      <c r="U434" s="28">
        <f t="shared" si="282"/>
        <v>0</v>
      </c>
      <c r="V434" s="28">
        <f t="shared" si="282"/>
        <v>0</v>
      </c>
      <c r="W434" s="28">
        <f t="shared" si="282"/>
        <v>0</v>
      </c>
      <c r="X434" s="28">
        <f t="shared" si="282"/>
        <v>0</v>
      </c>
    </row>
    <row r="435" spans="1:24" x14ac:dyDescent="0.25">
      <c r="A435" s="5" t="s">
        <v>34</v>
      </c>
      <c r="B435" s="2">
        <v>51834</v>
      </c>
      <c r="C435" s="2">
        <v>53379</v>
      </c>
      <c r="D435" s="2">
        <v>55096</v>
      </c>
      <c r="E435" s="2">
        <v>56828</v>
      </c>
      <c r="F435" s="2">
        <v>58723</v>
      </c>
      <c r="G435" s="2">
        <v>58634</v>
      </c>
      <c r="J435" s="28">
        <f t="shared" si="279"/>
        <v>0.57266911935302112</v>
      </c>
      <c r="K435" s="28">
        <f t="shared" si="279"/>
        <v>0.57154635201404802</v>
      </c>
      <c r="L435" s="28">
        <f t="shared" si="279"/>
        <v>0.55189822698587598</v>
      </c>
      <c r="M435" s="28">
        <f t="shared" si="279"/>
        <v>0.56015771315919172</v>
      </c>
      <c r="N435" s="28">
        <f t="shared" si="279"/>
        <v>0.56758585360667302</v>
      </c>
      <c r="O435" s="28">
        <f t="shared" si="279"/>
        <v>0.48824234753355761</v>
      </c>
      <c r="P435" s="28"/>
      <c r="R435" s="28">
        <f t="shared" si="280"/>
        <v>-2.4352265709732968E-2</v>
      </c>
      <c r="S435" s="28">
        <f t="shared" si="281"/>
        <v>-2.4267589205706836E-2</v>
      </c>
      <c r="T435" s="28">
        <f t="shared" si="282"/>
        <v>-2.8943966728488733E-2</v>
      </c>
      <c r="U435" s="28">
        <f t="shared" si="282"/>
        <v>-3.1163786844780019E-2</v>
      </c>
      <c r="V435" s="28">
        <f t="shared" si="282"/>
        <v>-3.0477933413106215E-2</v>
      </c>
      <c r="W435" s="28">
        <f t="shared" si="282"/>
        <v>-3.2270149685813057E-2</v>
      </c>
      <c r="X435" s="28">
        <f t="shared" si="282"/>
        <v>1.5178906436538527E-3</v>
      </c>
    </row>
    <row r="436" spans="1:24" x14ac:dyDescent="0.25">
      <c r="A436" s="5" t="s">
        <v>35</v>
      </c>
      <c r="B436" s="2">
        <v>489</v>
      </c>
      <c r="C436" s="2">
        <v>-1682</v>
      </c>
      <c r="D436" s="2">
        <v>-2694</v>
      </c>
      <c r="E436" s="2">
        <v>-3060</v>
      </c>
      <c r="F436" s="2">
        <v>-4853</v>
      </c>
      <c r="G436" s="2">
        <v>8495</v>
      </c>
      <c r="J436" s="28">
        <f t="shared" si="279"/>
        <v>5.4025388618209541E-3</v>
      </c>
      <c r="K436" s="28">
        <f t="shared" si="279"/>
        <v>-1.8009722251964795E-2</v>
      </c>
      <c r="L436" s="28">
        <f t="shared" si="279"/>
        <v>-2.6985875989181608E-2</v>
      </c>
      <c r="M436" s="28">
        <f t="shared" si="279"/>
        <v>-3.0162641695416461E-2</v>
      </c>
      <c r="N436" s="28">
        <f t="shared" si="279"/>
        <v>-4.6906563825982739E-2</v>
      </c>
      <c r="O436" s="28">
        <f t="shared" si="279"/>
        <v>7.0737434633447685E-2</v>
      </c>
      <c r="P436" s="28"/>
      <c r="R436" s="28">
        <f t="shared" si="280"/>
        <v>-0.43502517645517697</v>
      </c>
      <c r="S436" s="28">
        <f t="shared" si="281"/>
        <v>-0.7453444344093002</v>
      </c>
      <c r="T436" s="28">
        <f t="shared" si="282"/>
        <v>-1.2907253269916765</v>
      </c>
      <c r="U436" s="28">
        <f t="shared" si="282"/>
        <v>-0.37564959168522644</v>
      </c>
      <c r="V436" s="28">
        <f t="shared" si="282"/>
        <v>-0.11960784313725491</v>
      </c>
      <c r="W436" s="28">
        <f t="shared" si="282"/>
        <v>-0.36946218833711109</v>
      </c>
      <c r="X436" s="28">
        <f t="shared" si="282"/>
        <v>-1.5712772218952324</v>
      </c>
    </row>
    <row r="437" spans="1:24" x14ac:dyDescent="0.25">
      <c r="A437" s="5" t="s">
        <v>36</v>
      </c>
      <c r="B437" s="2">
        <v>-2810</v>
      </c>
      <c r="C437" s="2">
        <v>-1824</v>
      </c>
      <c r="D437" s="2">
        <v>-1967</v>
      </c>
      <c r="E437" s="2">
        <v>-1886</v>
      </c>
      <c r="F437" s="2">
        <v>-1943</v>
      </c>
      <c r="G437" s="2">
        <v>-1054</v>
      </c>
      <c r="J437" s="28">
        <f t="shared" si="279"/>
        <v>-3.104526421618994E-2</v>
      </c>
      <c r="K437" s="28">
        <f t="shared" si="279"/>
        <v>-1.9530162537207959E-2</v>
      </c>
      <c r="L437" s="28">
        <f t="shared" si="279"/>
        <v>-1.9703495943103274E-2</v>
      </c>
      <c r="M437" s="28">
        <f t="shared" si="279"/>
        <v>-1.8590438639724E-2</v>
      </c>
      <c r="N437" s="28">
        <f t="shared" si="279"/>
        <v>-1.8780023390456306E-2</v>
      </c>
      <c r="O437" s="28">
        <f t="shared" si="279"/>
        <v>-8.776604603137594E-3</v>
      </c>
      <c r="P437" s="28"/>
      <c r="R437" s="28">
        <f t="shared" si="280"/>
        <v>0.21667095873235825</v>
      </c>
      <c r="S437" s="28">
        <f t="shared" si="281"/>
        <v>0.26498722067421782</v>
      </c>
      <c r="T437" s="28">
        <f t="shared" si="282"/>
        <v>0.54057017543859653</v>
      </c>
      <c r="U437" s="28">
        <f t="shared" si="282"/>
        <v>-7.2699542450432128E-2</v>
      </c>
      <c r="V437" s="28">
        <f t="shared" si="282"/>
        <v>4.2948038176033931E-2</v>
      </c>
      <c r="W437" s="28">
        <f t="shared" si="282"/>
        <v>-2.9336078229541946E-2</v>
      </c>
      <c r="X437" s="28">
        <f t="shared" si="282"/>
        <v>0.84345351043643269</v>
      </c>
    </row>
    <row r="438" spans="1:24" x14ac:dyDescent="0.25">
      <c r="A438" s="5" t="s">
        <v>37</v>
      </c>
      <c r="B438" s="2">
        <v>-847</v>
      </c>
      <c r="C438" s="2">
        <v>-587</v>
      </c>
      <c r="D438" s="2">
        <v>-344</v>
      </c>
      <c r="E438" s="2">
        <v>-271</v>
      </c>
      <c r="F438" s="2">
        <v>-282</v>
      </c>
      <c r="G438" s="2">
        <v>-224</v>
      </c>
      <c r="J438" s="28">
        <f t="shared" si="279"/>
        <v>-9.357771811783943E-3</v>
      </c>
      <c r="K438" s="28">
        <f t="shared" si="279"/>
        <v>-6.28520033406857E-3</v>
      </c>
      <c r="L438" s="28">
        <f t="shared" si="279"/>
        <v>-3.4458579585295002E-3</v>
      </c>
      <c r="M438" s="28">
        <f t="shared" si="279"/>
        <v>-2.6712666338097584E-3</v>
      </c>
      <c r="N438" s="28">
        <f t="shared" si="279"/>
        <v>-2.7256647432365817E-3</v>
      </c>
      <c r="O438" s="28">
        <f t="shared" si="279"/>
        <v>-1.8652366519002097E-3</v>
      </c>
      <c r="P438" s="28"/>
      <c r="R438" s="28">
        <f t="shared" si="280"/>
        <v>0.30474931763943724</v>
      </c>
      <c r="S438" s="28">
        <f t="shared" si="281"/>
        <v>0.32772393502322256</v>
      </c>
      <c r="T438" s="28">
        <f t="shared" si="282"/>
        <v>0.44293015332197616</v>
      </c>
      <c r="U438" s="28">
        <f t="shared" si="282"/>
        <v>0.70639534883720934</v>
      </c>
      <c r="V438" s="28">
        <f t="shared" si="282"/>
        <v>0.26937269372693728</v>
      </c>
      <c r="W438" s="28">
        <f t="shared" si="282"/>
        <v>-3.9007092198581561E-2</v>
      </c>
      <c r="X438" s="28">
        <f t="shared" si="282"/>
        <v>0.25892857142857145</v>
      </c>
    </row>
    <row r="439" spans="1:24" x14ac:dyDescent="0.25">
      <c r="A439" s="5" t="s">
        <v>38</v>
      </c>
      <c r="B439" s="2">
        <v>152</v>
      </c>
      <c r="C439" s="2">
        <v>150</v>
      </c>
      <c r="D439" s="2">
        <v>140</v>
      </c>
      <c r="E439" s="2">
        <v>126</v>
      </c>
      <c r="F439" s="2">
        <v>118</v>
      </c>
      <c r="G439" s="2">
        <v>207</v>
      </c>
      <c r="J439" s="30">
        <f t="shared" si="279"/>
        <v>1.6793167832245093E-3</v>
      </c>
      <c r="K439" s="30">
        <f t="shared" si="279"/>
        <v>1.6060988928624964E-3</v>
      </c>
      <c r="L439" s="30">
        <f t="shared" si="279"/>
        <v>1.4023840528899129E-3</v>
      </c>
      <c r="M439" s="30">
        <f t="shared" si="279"/>
        <v>1.2419911286347955E-3</v>
      </c>
      <c r="N439" s="30">
        <f t="shared" si="279"/>
        <v>1.1405263819216902E-3</v>
      </c>
      <c r="O439" s="30">
        <f t="shared" si="279"/>
        <v>1.7236785131399261E-3</v>
      </c>
      <c r="P439" s="30"/>
      <c r="Q439" s="31"/>
      <c r="R439" s="30">
        <f t="shared" si="280"/>
        <v>-5.9898710260960809E-2</v>
      </c>
      <c r="S439" s="30">
        <f t="shared" si="281"/>
        <v>-3.3256412955749735E-2</v>
      </c>
      <c r="T439" s="30">
        <f t="shared" si="282"/>
        <v>1.3333333333333334E-2</v>
      </c>
      <c r="U439" s="30">
        <f t="shared" si="282"/>
        <v>7.1428571428571425E-2</v>
      </c>
      <c r="V439" s="30">
        <f t="shared" si="282"/>
        <v>0.1111111111111111</v>
      </c>
      <c r="W439" s="30">
        <f t="shared" si="282"/>
        <v>6.7796610169491525E-2</v>
      </c>
      <c r="X439" s="30">
        <f t="shared" si="282"/>
        <v>-0.42995169082125606</v>
      </c>
    </row>
    <row r="440" spans="1:24" ht="15.75" thickBot="1" x14ac:dyDescent="0.3">
      <c r="A440" s="2" t="s">
        <v>40</v>
      </c>
      <c r="B440" s="9">
        <f>SUM(B434:B439)</f>
        <v>48830</v>
      </c>
      <c r="C440" s="9">
        <f t="shared" ref="C440:G440" si="283">SUM(C434:C439)</f>
        <v>49448</v>
      </c>
      <c r="D440" s="9">
        <f t="shared" si="283"/>
        <v>50243</v>
      </c>
      <c r="E440" s="9">
        <f t="shared" si="283"/>
        <v>51749</v>
      </c>
      <c r="F440" s="9">
        <f t="shared" si="283"/>
        <v>51775</v>
      </c>
      <c r="G440" s="9">
        <f t="shared" si="283"/>
        <v>66070</v>
      </c>
      <c r="H440" s="36"/>
      <c r="J440" s="28">
        <f t="shared" si="279"/>
        <v>0.53948051661087359</v>
      </c>
      <c r="K440" s="28">
        <f t="shared" si="279"/>
        <v>0.52945585369509818</v>
      </c>
      <c r="L440" s="28">
        <f t="shared" si="279"/>
        <v>0.50328558549534208</v>
      </c>
      <c r="M440" s="28">
        <f t="shared" si="279"/>
        <v>0.51009364218827014</v>
      </c>
      <c r="N440" s="28">
        <f t="shared" si="279"/>
        <v>0.50043011376267388</v>
      </c>
      <c r="O440" s="28">
        <f t="shared" si="279"/>
        <v>0.55016154281717355</v>
      </c>
      <c r="P440" s="28"/>
      <c r="R440" s="28">
        <f t="shared" si="280"/>
        <v>-5.8681739699202047E-2</v>
      </c>
      <c r="S440" s="28">
        <f t="shared" si="281"/>
        <v>-5.4857339349412525E-2</v>
      </c>
      <c r="T440" s="28">
        <f t="shared" si="282"/>
        <v>-1.2497977673515612E-2</v>
      </c>
      <c r="U440" s="28">
        <f t="shared" si="282"/>
        <v>-1.5823099735286509E-2</v>
      </c>
      <c r="V440" s="28">
        <f t="shared" si="282"/>
        <v>-2.9102011633075034E-2</v>
      </c>
      <c r="W440" s="28">
        <f t="shared" si="282"/>
        <v>-5.0217286335103818E-4</v>
      </c>
      <c r="X440" s="28">
        <f t="shared" si="282"/>
        <v>-0.21636143484183443</v>
      </c>
    </row>
    <row r="441" spans="1:24" ht="15.75" thickTop="1" x14ac:dyDescent="0.25"/>
    <row r="442" spans="1:24" x14ac:dyDescent="0.25">
      <c r="A442" s="5" t="s">
        <v>165</v>
      </c>
      <c r="B442" s="8">
        <v>3575</v>
      </c>
      <c r="C442" s="8">
        <v>3588</v>
      </c>
      <c r="D442" s="8">
        <v>3650</v>
      </c>
      <c r="E442" s="8">
        <v>3178</v>
      </c>
      <c r="F442" s="8">
        <v>3190</v>
      </c>
      <c r="G442" s="8">
        <v>2927</v>
      </c>
      <c r="J442" s="28">
        <f t="shared" ref="J442:O445" si="284">+B442/B$60</f>
        <v>0.13498206531999246</v>
      </c>
      <c r="K442" s="28">
        <f t="shared" si="284"/>
        <v>0.13777743644881346</v>
      </c>
      <c r="L442" s="28">
        <f t="shared" si="284"/>
        <v>0.13939278212717204</v>
      </c>
      <c r="M442" s="28">
        <f t="shared" si="284"/>
        <v>0.12723705809344596</v>
      </c>
      <c r="N442" s="28">
        <f t="shared" si="284"/>
        <v>0.12144053601340034</v>
      </c>
      <c r="O442" s="28">
        <f t="shared" si="284"/>
        <v>0.11224881116735695</v>
      </c>
      <c r="P442" s="28"/>
      <c r="R442" s="28">
        <f>RATE(5,0,-G442,B442)</f>
        <v>4.080810314999915E-2</v>
      </c>
      <c r="S442" s="28">
        <f t="shared" ref="S442:S445" si="285">AVERAGE(T442:X442)</f>
        <v>4.2800585816641215E-2</v>
      </c>
      <c r="T442" s="28">
        <f t="shared" ref="T442:X445" si="286">(+B442-C442)/C442</f>
        <v>-3.6231884057971015E-3</v>
      </c>
      <c r="U442" s="28">
        <f t="shared" si="286"/>
        <v>-1.6986301369863014E-2</v>
      </c>
      <c r="V442" s="28">
        <f t="shared" si="286"/>
        <v>0.1485210824417873</v>
      </c>
      <c r="W442" s="28">
        <f t="shared" si="286"/>
        <v>-3.761755485893417E-3</v>
      </c>
      <c r="X442" s="28">
        <f t="shared" si="286"/>
        <v>8.9853091902972332E-2</v>
      </c>
    </row>
    <row r="443" spans="1:24" x14ac:dyDescent="0.25">
      <c r="A443" s="5" t="s">
        <v>166</v>
      </c>
      <c r="B443" s="2">
        <f t="shared" ref="B443:G443" si="287">-B382</f>
        <v>-127</v>
      </c>
      <c r="C443" s="2">
        <f t="shared" si="287"/>
        <v>-140</v>
      </c>
      <c r="D443" s="2">
        <f t="shared" si="287"/>
        <v>-119</v>
      </c>
      <c r="E443" s="2">
        <f t="shared" si="287"/>
        <v>-112</v>
      </c>
      <c r="F443" s="2">
        <f t="shared" si="287"/>
        <v>-109</v>
      </c>
      <c r="G443" s="2">
        <f t="shared" si="287"/>
        <v>-93</v>
      </c>
      <c r="J443" s="28">
        <f t="shared" si="284"/>
        <v>-4.7951670757032279E-3</v>
      </c>
      <c r="K443" s="28">
        <f t="shared" si="284"/>
        <v>-5.3759311880807927E-3</v>
      </c>
      <c r="L443" s="28">
        <f t="shared" si="284"/>
        <v>-4.544586595379034E-3</v>
      </c>
      <c r="M443" s="28">
        <f t="shared" si="284"/>
        <v>-4.4841253953637342E-3</v>
      </c>
      <c r="N443" s="28">
        <f t="shared" si="284"/>
        <v>-4.1495355565707324E-3</v>
      </c>
      <c r="O443" s="28">
        <f t="shared" si="284"/>
        <v>-3.5664979291302346E-3</v>
      </c>
      <c r="P443" s="28"/>
      <c r="R443" s="28">
        <f>RATE(5,0,-G443,B443)</f>
        <v>6.4300226266165716E-2</v>
      </c>
      <c r="S443" s="28">
        <f t="shared" si="285"/>
        <v>6.91358783821312E-2</v>
      </c>
      <c r="T443" s="28">
        <f t="shared" si="286"/>
        <v>-9.285714285714286E-2</v>
      </c>
      <c r="U443" s="28">
        <f t="shared" si="286"/>
        <v>0.17647058823529413</v>
      </c>
      <c r="V443" s="28">
        <f t="shared" si="286"/>
        <v>6.25E-2</v>
      </c>
      <c r="W443" s="28">
        <f t="shared" si="286"/>
        <v>2.7522935779816515E-2</v>
      </c>
      <c r="X443" s="28">
        <f t="shared" si="286"/>
        <v>0.17204301075268819</v>
      </c>
    </row>
    <row r="444" spans="1:24" x14ac:dyDescent="0.25">
      <c r="A444" s="5" t="s">
        <v>167</v>
      </c>
      <c r="B444" s="2">
        <f t="shared" ref="B444:G444" si="288">-B381</f>
        <v>-945</v>
      </c>
      <c r="C444" s="2">
        <f t="shared" si="288"/>
        <v>-1039</v>
      </c>
      <c r="D444" s="2">
        <f t="shared" si="288"/>
        <v>-1070</v>
      </c>
      <c r="E444" s="2">
        <f t="shared" si="288"/>
        <v>-1100</v>
      </c>
      <c r="F444" s="2">
        <f t="shared" si="288"/>
        <v>-1140</v>
      </c>
      <c r="G444" s="2">
        <f t="shared" si="288"/>
        <v>-1115</v>
      </c>
      <c r="J444" s="28">
        <f t="shared" si="284"/>
        <v>-3.568057390976024E-2</v>
      </c>
      <c r="K444" s="28">
        <f t="shared" si="284"/>
        <v>-3.9897089317256738E-2</v>
      </c>
      <c r="L444" s="28">
        <f t="shared" si="284"/>
        <v>-4.0863089555088793E-2</v>
      </c>
      <c r="M444" s="28">
        <f t="shared" si="284"/>
        <v>-4.4040517275893823E-2</v>
      </c>
      <c r="N444" s="28">
        <f t="shared" si="284"/>
        <v>-4.3398812243033345E-2</v>
      </c>
      <c r="O444" s="28">
        <f t="shared" si="284"/>
        <v>-4.2759625709464642E-2</v>
      </c>
      <c r="P444" s="28"/>
      <c r="R444" s="28">
        <f>RATE(5,0,-G444,B444)</f>
        <v>-3.254363055898047E-2</v>
      </c>
      <c r="S444" s="28">
        <f t="shared" si="285"/>
        <v>-3.1876498367768777E-2</v>
      </c>
      <c r="T444" s="28">
        <f t="shared" si="286"/>
        <v>-9.0471607314725699E-2</v>
      </c>
      <c r="U444" s="28">
        <f t="shared" si="286"/>
        <v>-2.897196261682243E-2</v>
      </c>
      <c r="V444" s="28">
        <f t="shared" si="286"/>
        <v>-2.7272727272727271E-2</v>
      </c>
      <c r="W444" s="28">
        <f t="shared" si="286"/>
        <v>-3.5087719298245612E-2</v>
      </c>
      <c r="X444" s="28">
        <f t="shared" si="286"/>
        <v>2.2421524663677129E-2</v>
      </c>
    </row>
    <row r="445" spans="1:24" ht="15.75" thickBot="1" x14ac:dyDescent="0.3">
      <c r="A445" s="2" t="s">
        <v>168</v>
      </c>
      <c r="B445" s="9">
        <f>SUM(B442:B444)</f>
        <v>2503</v>
      </c>
      <c r="C445" s="9">
        <f t="shared" ref="C445:G445" si="289">SUM(C442:C444)</f>
        <v>2409</v>
      </c>
      <c r="D445" s="39">
        <f t="shared" si="289"/>
        <v>2461</v>
      </c>
      <c r="E445" s="39">
        <f t="shared" si="289"/>
        <v>1966</v>
      </c>
      <c r="F445" s="9">
        <f t="shared" si="289"/>
        <v>1941</v>
      </c>
      <c r="G445" s="9">
        <f t="shared" si="289"/>
        <v>1719</v>
      </c>
      <c r="J445" s="28">
        <f t="shared" si="284"/>
        <v>9.4506324334528977E-2</v>
      </c>
      <c r="K445" s="28">
        <f t="shared" si="284"/>
        <v>9.2504415943475929E-2</v>
      </c>
      <c r="L445" s="28">
        <f t="shared" si="284"/>
        <v>9.3985105976704217E-2</v>
      </c>
      <c r="M445" s="28">
        <f t="shared" si="284"/>
        <v>7.8712415422188417E-2</v>
      </c>
      <c r="N445" s="28">
        <f t="shared" si="284"/>
        <v>7.3892188213796256E-2</v>
      </c>
      <c r="O445" s="28">
        <f t="shared" si="284"/>
        <v>6.5922687528762083E-2</v>
      </c>
      <c r="P445" s="28"/>
      <c r="R445" s="28">
        <f>RATE(5,0,-G445,B445)</f>
        <v>7.8045260485801612E-2</v>
      </c>
      <c r="S445" s="28">
        <f t="shared" si="285"/>
        <v>8.2339158644776006E-2</v>
      </c>
      <c r="T445" s="28">
        <f t="shared" si="286"/>
        <v>3.9020340390203405E-2</v>
      </c>
      <c r="U445" s="28">
        <f t="shared" si="286"/>
        <v>-2.1129622104835433E-2</v>
      </c>
      <c r="V445" s="40">
        <f t="shared" si="286"/>
        <v>0.25178026449643948</v>
      </c>
      <c r="W445" s="28">
        <f t="shared" si="286"/>
        <v>1.287995878413189E-2</v>
      </c>
      <c r="X445" s="28">
        <f t="shared" si="286"/>
        <v>0.12914485165794065</v>
      </c>
    </row>
    <row r="446" spans="1:24" ht="15.75" thickTop="1" x14ac:dyDescent="0.25"/>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E216E-04C4-4AEB-8867-90F7F3A01F6B}">
  <dimension ref="A1:Y522"/>
  <sheetViews>
    <sheetView topLeftCell="A367" workbookViewId="0">
      <selection activeCell="A202" sqref="A202"/>
    </sheetView>
  </sheetViews>
  <sheetFormatPr defaultRowHeight="15" x14ac:dyDescent="0.25"/>
  <cols>
    <col min="1" max="1" width="40.7109375" style="2" customWidth="1"/>
    <col min="2" max="5" width="10.7109375" style="2" customWidth="1"/>
    <col min="6" max="6" width="11" style="2" customWidth="1"/>
    <col min="7" max="8" width="10.7109375" style="2" customWidth="1"/>
    <col min="9" max="9" width="8.85546875" style="2" bestFit="1" customWidth="1"/>
    <col min="10" max="10" width="10.42578125" style="2" customWidth="1"/>
    <col min="11" max="24" width="8.7109375" style="2" customWidth="1"/>
    <col min="25" max="16384" width="9.140625" style="2"/>
  </cols>
  <sheetData>
    <row r="1" spans="1:24" s="15" customFormat="1" x14ac:dyDescent="0.25">
      <c r="A1" s="15" t="s">
        <v>0</v>
      </c>
      <c r="B1" s="15" t="s">
        <v>460</v>
      </c>
      <c r="J1" s="15" t="str">
        <f>+B1</f>
        <v>Recurring</v>
      </c>
      <c r="R1" s="15" t="str">
        <f>+B1</f>
        <v>Recurring</v>
      </c>
    </row>
    <row r="2" spans="1:24" s="15" customFormat="1" x14ac:dyDescent="0.25">
      <c r="A2" s="15" t="s">
        <v>1</v>
      </c>
      <c r="J2" s="15" t="s">
        <v>126</v>
      </c>
      <c r="R2" s="15" t="s">
        <v>131</v>
      </c>
    </row>
    <row r="3" spans="1:24" s="15" customFormat="1" x14ac:dyDescent="0.25">
      <c r="A3" s="15" t="s">
        <v>2</v>
      </c>
      <c r="F3" s="15" t="s">
        <v>150</v>
      </c>
      <c r="G3" s="16" t="s">
        <v>125</v>
      </c>
      <c r="H3" s="16"/>
      <c r="O3" s="16" t="s">
        <v>125</v>
      </c>
      <c r="P3" s="16"/>
      <c r="R3" s="15" t="s">
        <v>127</v>
      </c>
      <c r="S3" s="15" t="s">
        <v>129</v>
      </c>
      <c r="T3" s="15" t="s">
        <v>132</v>
      </c>
      <c r="U3" s="15" t="s">
        <v>133</v>
      </c>
      <c r="V3" s="15" t="s">
        <v>134</v>
      </c>
      <c r="W3" s="15" t="s">
        <v>135</v>
      </c>
      <c r="X3" s="15" t="s">
        <v>136</v>
      </c>
    </row>
    <row r="4" spans="1:24" s="15" customFormat="1" ht="15.75" thickBot="1" x14ac:dyDescent="0.3">
      <c r="A4" s="16" t="s">
        <v>3</v>
      </c>
      <c r="B4" s="17">
        <v>2022</v>
      </c>
      <c r="C4" s="17">
        <v>2021</v>
      </c>
      <c r="D4" s="17">
        <v>2020</v>
      </c>
      <c r="E4" s="17">
        <v>2019</v>
      </c>
      <c r="F4" s="17">
        <v>2018</v>
      </c>
      <c r="G4" s="17">
        <v>2017</v>
      </c>
      <c r="H4" s="22"/>
      <c r="J4" s="17">
        <v>2022</v>
      </c>
      <c r="K4" s="17">
        <v>2021</v>
      </c>
      <c r="L4" s="17">
        <v>2020</v>
      </c>
      <c r="M4" s="17">
        <v>2019</v>
      </c>
      <c r="N4" s="17">
        <v>2018</v>
      </c>
      <c r="O4" s="17">
        <v>2017</v>
      </c>
      <c r="P4" s="22"/>
      <c r="R4" s="29" t="s">
        <v>128</v>
      </c>
      <c r="S4" s="29" t="s">
        <v>130</v>
      </c>
      <c r="T4" s="17">
        <v>2022</v>
      </c>
      <c r="U4" s="17">
        <v>2021</v>
      </c>
      <c r="V4" s="17">
        <v>2020</v>
      </c>
      <c r="W4" s="17">
        <v>2019</v>
      </c>
      <c r="X4" s="17">
        <v>2018</v>
      </c>
    </row>
    <row r="5" spans="1:24" x14ac:dyDescent="0.25">
      <c r="A5" s="2" t="s">
        <v>5</v>
      </c>
    </row>
    <row r="6" spans="1:24" x14ac:dyDescent="0.25">
      <c r="A6" s="5" t="s">
        <v>6</v>
      </c>
      <c r="B6" s="8">
        <v>1040</v>
      </c>
      <c r="C6" s="8">
        <v>3445</v>
      </c>
      <c r="D6" s="8">
        <v>3417</v>
      </c>
      <c r="E6" s="8">
        <v>2279</v>
      </c>
      <c r="F6" s="8">
        <v>1130</v>
      </c>
      <c r="G6" s="8">
        <v>1629</v>
      </c>
      <c r="H6" s="8"/>
      <c r="J6" s="28">
        <f t="shared" ref="J6:O6" si="0">+B6/B$21</f>
        <v>1.14900622010098E-2</v>
      </c>
      <c r="K6" s="28">
        <f t="shared" si="0"/>
        <v>3.6886737906075336E-2</v>
      </c>
      <c r="L6" s="28">
        <f t="shared" si="0"/>
        <v>3.4228187919463089E-2</v>
      </c>
      <c r="M6" s="28">
        <f t="shared" si="0"/>
        <v>2.2464268112370626E-2</v>
      </c>
      <c r="N6" s="28">
        <f t="shared" si="0"/>
        <v>1.0921989928572119E-2</v>
      </c>
      <c r="O6" s="28">
        <f t="shared" si="0"/>
        <v>1.3564600472970723E-2</v>
      </c>
      <c r="P6" s="28"/>
      <c r="R6" s="28">
        <f>RATE(5,0,-G6,B6)</f>
        <v>-8.5839501919465239E-2</v>
      </c>
      <c r="S6" s="28">
        <f>AVERAGE(T6:X6)</f>
        <v>0.10398283867061812</v>
      </c>
      <c r="T6" s="28">
        <f>(+B6-C6)/C6</f>
        <v>-0.69811320754716977</v>
      </c>
      <c r="U6" s="28">
        <f>(+C6-D6)/D6</f>
        <v>8.194322505121452E-3</v>
      </c>
      <c r="V6" s="28">
        <f>(+D6-E6)/E6</f>
        <v>0.49934181658622201</v>
      </c>
      <c r="W6" s="28">
        <f>(+E6-F6)/F6</f>
        <v>1.0168141592920354</v>
      </c>
      <c r="X6" s="28">
        <f>(+F6-G6)/G6</f>
        <v>-0.30632289748311847</v>
      </c>
    </row>
    <row r="7" spans="1:24" x14ac:dyDescent="0.25">
      <c r="A7" s="5" t="s">
        <v>140</v>
      </c>
      <c r="B7" s="2">
        <v>0</v>
      </c>
      <c r="C7" s="2">
        <v>0</v>
      </c>
      <c r="D7" s="2">
        <v>0</v>
      </c>
      <c r="E7" s="2">
        <v>0</v>
      </c>
      <c r="F7" s="2">
        <v>0</v>
      </c>
      <c r="G7" s="2">
        <v>0</v>
      </c>
      <c r="J7" s="28"/>
      <c r="K7" s="28"/>
      <c r="L7" s="28"/>
      <c r="M7" s="28"/>
      <c r="N7" s="28"/>
      <c r="O7" s="28"/>
      <c r="P7" s="28"/>
      <c r="R7" s="28"/>
      <c r="S7" s="28"/>
      <c r="T7" s="28"/>
      <c r="U7" s="28"/>
      <c r="V7" s="28"/>
      <c r="W7" s="28"/>
      <c r="X7" s="28"/>
    </row>
    <row r="8" spans="1:24" x14ac:dyDescent="0.25">
      <c r="A8" s="5" t="s">
        <v>7</v>
      </c>
      <c r="B8" s="2">
        <v>2120</v>
      </c>
      <c r="C8" s="2">
        <v>1957</v>
      </c>
      <c r="D8" s="2">
        <v>2063</v>
      </c>
      <c r="E8" s="2">
        <v>1973</v>
      </c>
      <c r="F8" s="2">
        <v>2129</v>
      </c>
      <c r="G8" s="2">
        <v>921</v>
      </c>
      <c r="J8" s="28">
        <f t="shared" ref="J8:O17" si="1">+B8/B$21</f>
        <v>2.3422049871289208E-2</v>
      </c>
      <c r="K8" s="28">
        <f t="shared" si="1"/>
        <v>2.095423688887937E-2</v>
      </c>
      <c r="L8" s="28">
        <f t="shared" si="1"/>
        <v>2.0665130722227788E-2</v>
      </c>
      <c r="M8" s="28">
        <f t="shared" si="1"/>
        <v>1.944800394282898E-2</v>
      </c>
      <c r="N8" s="28">
        <f t="shared" si="1"/>
        <v>2.0577802263654903E-2</v>
      </c>
      <c r="O8" s="28">
        <f t="shared" si="1"/>
        <v>7.669120341071845E-3</v>
      </c>
      <c r="P8" s="28"/>
      <c r="R8" s="28">
        <f t="shared" ref="R8:R17" si="2">RATE(5,0,-G8,B8)</f>
        <v>0.18144972663460698</v>
      </c>
      <c r="S8" s="28">
        <f t="shared" ref="S8:S21" si="3">AVERAGE(T8:X8)</f>
        <v>0.26317381012087437</v>
      </c>
      <c r="T8" s="28">
        <f t="shared" ref="T8:X17" si="4">(+B8-C8)/C8</f>
        <v>8.3290751149718956E-2</v>
      </c>
      <c r="U8" s="28">
        <f t="shared" si="4"/>
        <v>-5.1381483276781388E-2</v>
      </c>
      <c r="V8" s="28">
        <f t="shared" si="4"/>
        <v>4.5615813482007099E-2</v>
      </c>
      <c r="W8" s="28">
        <f t="shared" si="4"/>
        <v>-7.3273837482386098E-2</v>
      </c>
      <c r="X8" s="28">
        <f t="shared" si="4"/>
        <v>1.3116178067318132</v>
      </c>
    </row>
    <row r="9" spans="1:24" x14ac:dyDescent="0.25">
      <c r="A9" s="5" t="s">
        <v>8</v>
      </c>
      <c r="B9" s="2">
        <v>3651</v>
      </c>
      <c r="C9" s="2">
        <v>2729</v>
      </c>
      <c r="D9" s="2">
        <v>2554</v>
      </c>
      <c r="E9" s="2">
        <v>2721</v>
      </c>
      <c r="F9" s="2">
        <v>2667</v>
      </c>
      <c r="G9" s="2">
        <v>2760</v>
      </c>
      <c r="J9" s="28">
        <f t="shared" si="1"/>
        <v>4.0336747207583443E-2</v>
      </c>
      <c r="K9" s="28">
        <f t="shared" si="1"/>
        <v>2.9220292524145021E-2</v>
      </c>
      <c r="L9" s="28">
        <f t="shared" si="1"/>
        <v>2.5583491936291697E-2</v>
      </c>
      <c r="M9" s="28">
        <f t="shared" si="1"/>
        <v>2.6821094135041891E-2</v>
      </c>
      <c r="N9" s="28">
        <f t="shared" si="1"/>
        <v>2.5777829326992779E-2</v>
      </c>
      <c r="O9" s="28">
        <f t="shared" si="1"/>
        <v>2.2982380175199015E-2</v>
      </c>
      <c r="P9" s="28"/>
      <c r="R9" s="28">
        <f t="shared" si="2"/>
        <v>5.7549124818983735E-2</v>
      </c>
      <c r="S9" s="28">
        <f t="shared" si="3"/>
        <v>6.6309996838441923E-2</v>
      </c>
      <c r="T9" s="28">
        <f t="shared" si="4"/>
        <v>0.337852693294247</v>
      </c>
      <c r="U9" s="28">
        <f t="shared" si="4"/>
        <v>6.8519968676585746E-2</v>
      </c>
      <c r="V9" s="28">
        <f t="shared" si="4"/>
        <v>-6.1374494671076807E-2</v>
      </c>
      <c r="W9" s="28">
        <f t="shared" si="4"/>
        <v>2.0247469066366704E-2</v>
      </c>
      <c r="X9" s="28">
        <f t="shared" si="4"/>
        <v>-3.3695652173913043E-2</v>
      </c>
    </row>
    <row r="10" spans="1:24" x14ac:dyDescent="0.25">
      <c r="A10" s="5" t="s">
        <v>10</v>
      </c>
      <c r="B10" s="2">
        <f t="shared" ref="B10:G10" si="5">+B481</f>
        <v>1086</v>
      </c>
      <c r="C10" s="2">
        <f t="shared" si="5"/>
        <v>863</v>
      </c>
      <c r="D10" s="2">
        <f t="shared" si="5"/>
        <v>2788</v>
      </c>
      <c r="E10" s="2">
        <f t="shared" si="5"/>
        <v>1124</v>
      </c>
      <c r="F10" s="2">
        <f t="shared" si="5"/>
        <v>3149</v>
      </c>
      <c r="G10" s="2">
        <f t="shared" si="5"/>
        <v>1891</v>
      </c>
      <c r="J10" s="30">
        <f t="shared" si="1"/>
        <v>1.1998276490669849E-2</v>
      </c>
      <c r="K10" s="30">
        <f t="shared" si="1"/>
        <v>9.2404222969355628E-3</v>
      </c>
      <c r="L10" s="30">
        <f t="shared" si="1"/>
        <v>2.7927476710407694E-2</v>
      </c>
      <c r="M10" s="30">
        <f t="shared" si="1"/>
        <v>1.1079349433218335E-2</v>
      </c>
      <c r="N10" s="30">
        <f t="shared" si="1"/>
        <v>3.0436589632808497E-2</v>
      </c>
      <c r="O10" s="30">
        <f t="shared" si="1"/>
        <v>1.5746261199746862E-2</v>
      </c>
      <c r="P10" s="30"/>
      <c r="Q10" s="31"/>
      <c r="R10" s="30">
        <f t="shared" si="2"/>
        <v>-0.10499047081771275</v>
      </c>
      <c r="S10" s="30">
        <f t="shared" si="3"/>
        <v>0.2141128103088957</v>
      </c>
      <c r="T10" s="30">
        <f t="shared" si="4"/>
        <v>0.25840092699884126</v>
      </c>
      <c r="U10" s="30">
        <f t="shared" si="4"/>
        <v>-0.69045911047345765</v>
      </c>
      <c r="V10" s="30">
        <f t="shared" si="4"/>
        <v>1.4804270462633451</v>
      </c>
      <c r="W10" s="30">
        <f t="shared" si="4"/>
        <v>-0.64306128929818995</v>
      </c>
      <c r="X10" s="30">
        <f t="shared" si="4"/>
        <v>0.66525647805393973</v>
      </c>
    </row>
    <row r="11" spans="1:24" x14ac:dyDescent="0.25">
      <c r="A11" s="2" t="s">
        <v>12</v>
      </c>
      <c r="B11" s="6">
        <f t="shared" ref="B11:G11" si="6">SUM(B6:B10)</f>
        <v>7897</v>
      </c>
      <c r="C11" s="6">
        <f t="shared" si="6"/>
        <v>8994</v>
      </c>
      <c r="D11" s="6">
        <f t="shared" si="6"/>
        <v>10822</v>
      </c>
      <c r="E11" s="6">
        <f t="shared" si="6"/>
        <v>8097</v>
      </c>
      <c r="F11" s="6">
        <f t="shared" si="6"/>
        <v>9075</v>
      </c>
      <c r="G11" s="6">
        <f t="shared" si="6"/>
        <v>7201</v>
      </c>
      <c r="H11" s="34"/>
      <c r="J11" s="28">
        <f t="shared" si="1"/>
        <v>8.7247135770552292E-2</v>
      </c>
      <c r="K11" s="28">
        <f t="shared" si="1"/>
        <v>9.6301689616035288E-2</v>
      </c>
      <c r="L11" s="28">
        <f t="shared" si="1"/>
        <v>0.10840428728839026</v>
      </c>
      <c r="M11" s="28">
        <f t="shared" si="1"/>
        <v>7.9812715623459832E-2</v>
      </c>
      <c r="N11" s="28">
        <f t="shared" si="1"/>
        <v>8.7714211152028307E-2</v>
      </c>
      <c r="O11" s="28">
        <f t="shared" si="1"/>
        <v>5.9962362188988441E-2</v>
      </c>
      <c r="P11" s="28"/>
      <c r="R11" s="28">
        <f t="shared" si="2"/>
        <v>1.8623908433372451E-2</v>
      </c>
      <c r="S11" s="28">
        <f t="shared" si="3"/>
        <v>3.9626412414418111E-2</v>
      </c>
      <c r="T11" s="28">
        <f t="shared" si="4"/>
        <v>-0.12197020235712697</v>
      </c>
      <c r="U11" s="28">
        <f t="shared" si="4"/>
        <v>-0.16891517279615598</v>
      </c>
      <c r="V11" s="28">
        <f t="shared" si="4"/>
        <v>0.33654439916018281</v>
      </c>
      <c r="W11" s="28">
        <f t="shared" si="4"/>
        <v>-0.10776859504132232</v>
      </c>
      <c r="X11" s="28">
        <f t="shared" si="4"/>
        <v>0.26024163310651299</v>
      </c>
    </row>
    <row r="12" spans="1:24" x14ac:dyDescent="0.25">
      <c r="A12" s="35" t="s">
        <v>108</v>
      </c>
      <c r="B12" s="34">
        <f t="shared" ref="B12:G16" si="7">+B460</f>
        <v>200</v>
      </c>
      <c r="C12" s="34">
        <f t="shared" si="7"/>
        <v>207</v>
      </c>
      <c r="D12" s="34">
        <f t="shared" si="7"/>
        <v>219</v>
      </c>
      <c r="E12" s="34">
        <f t="shared" si="7"/>
        <v>210</v>
      </c>
      <c r="F12" s="34">
        <f t="shared" si="7"/>
        <v>218</v>
      </c>
      <c r="G12" s="34">
        <f t="shared" si="7"/>
        <v>250</v>
      </c>
      <c r="H12" s="34"/>
      <c r="J12" s="28">
        <f t="shared" si="1"/>
        <v>2.2096273463480384E-3</v>
      </c>
      <c r="K12" s="28">
        <f t="shared" si="1"/>
        <v>2.2164164721502452E-3</v>
      </c>
      <c r="L12" s="28">
        <f t="shared" si="1"/>
        <v>2.1937293398777923E-3</v>
      </c>
      <c r="M12" s="28">
        <f t="shared" si="1"/>
        <v>2.0699852143913258E-3</v>
      </c>
      <c r="N12" s="28">
        <f t="shared" si="1"/>
        <v>2.1070741632112583E-3</v>
      </c>
      <c r="O12" s="28">
        <f t="shared" si="1"/>
        <v>2.0817373347100554E-3</v>
      </c>
      <c r="P12" s="28"/>
      <c r="R12" s="28">
        <f t="shared" si="2"/>
        <v>-4.3647500209735325E-2</v>
      </c>
      <c r="S12" s="28">
        <f t="shared" si="3"/>
        <v>-4.2090210103599465E-2</v>
      </c>
      <c r="T12" s="28">
        <f t="shared" si="4"/>
        <v>-3.3816425120772944E-2</v>
      </c>
      <c r="U12" s="28">
        <f t="shared" si="4"/>
        <v>-5.4794520547945202E-2</v>
      </c>
      <c r="V12" s="28">
        <f t="shared" si="4"/>
        <v>4.2857142857142858E-2</v>
      </c>
      <c r="W12" s="28">
        <f t="shared" si="4"/>
        <v>-3.669724770642202E-2</v>
      </c>
      <c r="X12" s="28">
        <f t="shared" si="4"/>
        <v>-0.128</v>
      </c>
    </row>
    <row r="13" spans="1:24" x14ac:dyDescent="0.25">
      <c r="A13" s="35" t="s">
        <v>109</v>
      </c>
      <c r="B13" s="34">
        <f t="shared" si="7"/>
        <v>1161</v>
      </c>
      <c r="C13" s="34">
        <f t="shared" si="7"/>
        <v>1002</v>
      </c>
      <c r="D13" s="34">
        <f t="shared" si="7"/>
        <v>792</v>
      </c>
      <c r="E13" s="34">
        <f t="shared" si="7"/>
        <v>1033</v>
      </c>
      <c r="F13" s="34">
        <f t="shared" si="7"/>
        <v>1165</v>
      </c>
      <c r="G13" s="34">
        <f t="shared" si="7"/>
        <v>1345</v>
      </c>
      <c r="H13" s="34"/>
      <c r="J13" s="28">
        <f t="shared" si="1"/>
        <v>1.2826886745550364E-2</v>
      </c>
      <c r="K13" s="28">
        <f t="shared" si="1"/>
        <v>1.0728740604321477E-2</v>
      </c>
      <c r="L13" s="28">
        <f t="shared" si="1"/>
        <v>7.9334869277772214E-3</v>
      </c>
      <c r="M13" s="28">
        <f t="shared" si="1"/>
        <v>1.0182355840315425E-2</v>
      </c>
      <c r="N13" s="28">
        <f t="shared" si="1"/>
        <v>1.1260281652023467E-2</v>
      </c>
      <c r="O13" s="28">
        <f t="shared" si="1"/>
        <v>1.1199746860740099E-2</v>
      </c>
      <c r="P13" s="28"/>
      <c r="R13" s="28">
        <f t="shared" si="2"/>
        <v>-2.8993835467276595E-2</v>
      </c>
      <c r="S13" s="28">
        <f t="shared" si="3"/>
        <v>-1.1320126458029781E-2</v>
      </c>
      <c r="T13" s="28">
        <f t="shared" si="4"/>
        <v>0.15868263473053892</v>
      </c>
      <c r="U13" s="28">
        <f t="shared" si="4"/>
        <v>0.26515151515151514</v>
      </c>
      <c r="V13" s="28">
        <f t="shared" si="4"/>
        <v>-0.23330106485963215</v>
      </c>
      <c r="W13" s="28">
        <f t="shared" si="4"/>
        <v>-0.11330472103004292</v>
      </c>
      <c r="X13" s="28">
        <f t="shared" si="4"/>
        <v>-0.13382899628252787</v>
      </c>
    </row>
    <row r="14" spans="1:24" x14ac:dyDescent="0.25">
      <c r="A14" s="35" t="s">
        <v>110</v>
      </c>
      <c r="B14" s="31">
        <f t="shared" si="7"/>
        <v>9591</v>
      </c>
      <c r="C14" s="31">
        <f t="shared" si="7"/>
        <v>9465</v>
      </c>
      <c r="D14" s="31">
        <f t="shared" si="7"/>
        <v>2552</v>
      </c>
      <c r="E14" s="31">
        <f t="shared" si="7"/>
        <v>8999</v>
      </c>
      <c r="F14" s="31">
        <f t="shared" si="7"/>
        <v>8279</v>
      </c>
      <c r="G14" s="31">
        <f t="shared" si="7"/>
        <v>7555</v>
      </c>
      <c r="H14" s="34"/>
      <c r="J14" s="30">
        <f t="shared" si="1"/>
        <v>0.10596267939412018</v>
      </c>
      <c r="K14" s="30">
        <f t="shared" si="1"/>
        <v>0.10134484013962353</v>
      </c>
      <c r="L14" s="30">
        <f t="shared" si="1"/>
        <v>2.5563457878393269E-2</v>
      </c>
      <c r="M14" s="30">
        <f t="shared" si="1"/>
        <v>8.8703794972893046E-2</v>
      </c>
      <c r="N14" s="30">
        <f t="shared" si="1"/>
        <v>8.0020490812963335E-2</v>
      </c>
      <c r="O14" s="30">
        <f t="shared" si="1"/>
        <v>6.2910102254937886E-2</v>
      </c>
      <c r="P14" s="30"/>
      <c r="Q14" s="31"/>
      <c r="R14" s="30">
        <f t="shared" si="2"/>
        <v>4.8880193408491791E-2</v>
      </c>
      <c r="S14" s="30">
        <f t="shared" si="3"/>
        <v>0.43771053364715523</v>
      </c>
      <c r="T14" s="30">
        <f t="shared" si="4"/>
        <v>1.3312202852614897E-2</v>
      </c>
      <c r="U14" s="30">
        <f t="shared" si="4"/>
        <v>2.7088557993730409</v>
      </c>
      <c r="V14" s="30">
        <f t="shared" si="4"/>
        <v>-0.71641293477053003</v>
      </c>
      <c r="W14" s="30">
        <f t="shared" si="4"/>
        <v>8.6967025003019685E-2</v>
      </c>
      <c r="X14" s="30">
        <f t="shared" si="4"/>
        <v>9.5830575777630711E-2</v>
      </c>
    </row>
    <row r="15" spans="1:24" x14ac:dyDescent="0.25">
      <c r="A15" s="35" t="s">
        <v>141</v>
      </c>
      <c r="B15" s="34">
        <f t="shared" si="7"/>
        <v>10952</v>
      </c>
      <c r="C15" s="34">
        <f t="shared" si="7"/>
        <v>10674</v>
      </c>
      <c r="D15" s="34">
        <f>+D463</f>
        <v>3563</v>
      </c>
      <c r="E15" s="34">
        <f t="shared" si="7"/>
        <v>10242</v>
      </c>
      <c r="F15" s="34">
        <f t="shared" si="7"/>
        <v>9662</v>
      </c>
      <c r="G15" s="34">
        <f t="shared" si="7"/>
        <v>9150</v>
      </c>
      <c r="H15" s="34"/>
      <c r="J15" s="28">
        <f t="shared" si="1"/>
        <v>0.12099919348601858</v>
      </c>
      <c r="K15" s="28">
        <f t="shared" si="1"/>
        <v>0.11428999721609526</v>
      </c>
      <c r="L15" s="28">
        <f t="shared" si="1"/>
        <v>3.5690674146048283E-2</v>
      </c>
      <c r="M15" s="28">
        <f t="shared" si="1"/>
        <v>0.1009561360275998</v>
      </c>
      <c r="N15" s="28">
        <f t="shared" si="1"/>
        <v>9.338784662819806E-2</v>
      </c>
      <c r="O15" s="28">
        <f t="shared" si="1"/>
        <v>7.6191586450388038E-2</v>
      </c>
      <c r="P15" s="28"/>
      <c r="R15" s="28">
        <f t="shared" si="2"/>
        <v>3.6607790043669146E-2</v>
      </c>
      <c r="S15" s="28">
        <f t="shared" si="3"/>
        <v>0.29714023914858362</v>
      </c>
      <c r="T15" s="28">
        <f t="shared" si="4"/>
        <v>2.6044594341390295E-2</v>
      </c>
      <c r="U15" s="28">
        <f t="shared" si="4"/>
        <v>1.9957900645523434</v>
      </c>
      <c r="V15" s="28">
        <f t="shared" si="4"/>
        <v>-0.65211872681116967</v>
      </c>
      <c r="W15" s="28">
        <f t="shared" si="4"/>
        <v>6.0028979507348375E-2</v>
      </c>
      <c r="X15" s="28">
        <f t="shared" si="4"/>
        <v>5.5956284153005464E-2</v>
      </c>
    </row>
    <row r="16" spans="1:24" x14ac:dyDescent="0.25">
      <c r="A16" s="35" t="s">
        <v>112</v>
      </c>
      <c r="B16" s="31">
        <f t="shared" si="7"/>
        <v>-4212</v>
      </c>
      <c r="C16" s="31">
        <f t="shared" si="7"/>
        <v>-3868</v>
      </c>
      <c r="D16" s="31">
        <f t="shared" si="7"/>
        <v>-3563</v>
      </c>
      <c r="E16" s="31">
        <f t="shared" si="7"/>
        <v>-3187</v>
      </c>
      <c r="F16" s="31">
        <f t="shared" si="7"/>
        <v>-2584</v>
      </c>
      <c r="G16" s="31">
        <f t="shared" si="7"/>
        <v>-2089</v>
      </c>
      <c r="H16" s="34"/>
      <c r="J16" s="30">
        <f t="shared" si="1"/>
        <v>-4.6534751914089692E-2</v>
      </c>
      <c r="K16" s="30">
        <f t="shared" si="1"/>
        <v>-4.1415936783947574E-2</v>
      </c>
      <c r="L16" s="30">
        <f t="shared" si="1"/>
        <v>-3.5690674146048283E-2</v>
      </c>
      <c r="M16" s="30">
        <f t="shared" si="1"/>
        <v>-3.1414489896500739E-2</v>
      </c>
      <c r="N16" s="30">
        <f t="shared" si="1"/>
        <v>-2.4975594668522439E-2</v>
      </c>
      <c r="O16" s="30">
        <f t="shared" si="1"/>
        <v>-1.7394997168837224E-2</v>
      </c>
      <c r="P16" s="30"/>
      <c r="Q16" s="31"/>
      <c r="R16" s="30">
        <f t="shared" si="2"/>
        <v>0.15056188918356203</v>
      </c>
      <c r="S16" s="30">
        <f t="shared" si="3"/>
        <v>0.15256615518164868</v>
      </c>
      <c r="T16" s="30">
        <f t="shared" si="4"/>
        <v>8.8934850051706302E-2</v>
      </c>
      <c r="U16" s="30">
        <f t="shared" si="4"/>
        <v>8.560202076901488E-2</v>
      </c>
      <c r="V16" s="30">
        <f t="shared" si="4"/>
        <v>0.11797929086915594</v>
      </c>
      <c r="W16" s="30">
        <f t="shared" si="4"/>
        <v>0.23335913312693499</v>
      </c>
      <c r="X16" s="30">
        <f t="shared" si="4"/>
        <v>0.2369554810914313</v>
      </c>
    </row>
    <row r="17" spans="1:24" x14ac:dyDescent="0.25">
      <c r="A17" s="5" t="s">
        <v>13</v>
      </c>
      <c r="B17" s="2">
        <v>6740</v>
      </c>
      <c r="C17" s="2">
        <v>6806</v>
      </c>
      <c r="D17" s="2">
        <v>6876</v>
      </c>
      <c r="E17" s="2">
        <v>7055</v>
      </c>
      <c r="F17" s="2">
        <v>7078</v>
      </c>
      <c r="G17" s="2">
        <v>7061</v>
      </c>
      <c r="J17" s="28">
        <f t="shared" si="1"/>
        <v>7.4464441571928899E-2</v>
      </c>
      <c r="K17" s="28">
        <f t="shared" si="1"/>
        <v>7.2874060432147669E-2</v>
      </c>
      <c r="L17" s="28">
        <f t="shared" si="1"/>
        <v>6.8877091054793144E-2</v>
      </c>
      <c r="M17" s="28">
        <f t="shared" si="1"/>
        <v>6.9541646131099061E-2</v>
      </c>
      <c r="N17" s="28">
        <f t="shared" si="1"/>
        <v>6.8412251959675624E-2</v>
      </c>
      <c r="O17" s="28">
        <f t="shared" si="1"/>
        <v>5.8796589281550814E-2</v>
      </c>
      <c r="P17" s="28"/>
      <c r="R17" s="28">
        <f t="shared" si="2"/>
        <v>-9.2621911140529506E-3</v>
      </c>
      <c r="S17" s="28">
        <f t="shared" si="3"/>
        <v>-9.2183308706207286E-3</v>
      </c>
      <c r="T17" s="28">
        <f t="shared" si="4"/>
        <v>-9.6973258889215402E-3</v>
      </c>
      <c r="U17" s="28">
        <f t="shared" si="4"/>
        <v>-1.0180337405468295E-2</v>
      </c>
      <c r="V17" s="28">
        <f t="shared" si="4"/>
        <v>-2.5372076541459957E-2</v>
      </c>
      <c r="W17" s="28">
        <f t="shared" si="4"/>
        <v>-3.2495055100310822E-3</v>
      </c>
      <c r="X17" s="28">
        <f t="shared" si="4"/>
        <v>2.407590992777227E-3</v>
      </c>
    </row>
    <row r="18" spans="1:24" x14ac:dyDescent="0.25">
      <c r="A18" s="5" t="s">
        <v>196</v>
      </c>
      <c r="B18" s="2">
        <f t="shared" ref="B18:G18" si="8">+B469</f>
        <v>668</v>
      </c>
      <c r="C18" s="2">
        <f t="shared" si="8"/>
        <v>569</v>
      </c>
      <c r="D18" s="2">
        <f t="shared" si="8"/>
        <v>562</v>
      </c>
      <c r="E18" s="2">
        <f t="shared" si="8"/>
        <v>542</v>
      </c>
      <c r="F18" s="2">
        <f t="shared" si="8"/>
        <v>0</v>
      </c>
      <c r="G18" s="2">
        <f t="shared" si="8"/>
        <v>0</v>
      </c>
      <c r="J18" s="28"/>
      <c r="K18" s="28"/>
      <c r="L18" s="28"/>
      <c r="M18" s="28"/>
      <c r="N18" s="28"/>
      <c r="O18" s="28"/>
      <c r="P18" s="28"/>
      <c r="R18" s="28"/>
      <c r="S18" s="28"/>
      <c r="T18" s="28"/>
      <c r="U18" s="28"/>
      <c r="V18" s="28"/>
      <c r="W18" s="28"/>
      <c r="X18" s="28"/>
    </row>
    <row r="19" spans="1:24" x14ac:dyDescent="0.25">
      <c r="A19" s="5" t="s">
        <v>143</v>
      </c>
      <c r="B19" s="2">
        <f t="shared" ref="B19:G19" si="9">+B485</f>
        <v>73482</v>
      </c>
      <c r="C19" s="2">
        <f t="shared" si="9"/>
        <v>74838</v>
      </c>
      <c r="D19" s="2">
        <f t="shared" si="9"/>
        <v>79756</v>
      </c>
      <c r="E19" s="2">
        <f t="shared" si="9"/>
        <v>84198</v>
      </c>
      <c r="F19" s="2">
        <f t="shared" si="9"/>
        <v>85971</v>
      </c>
      <c r="G19" s="2">
        <f t="shared" si="9"/>
        <v>104257</v>
      </c>
      <c r="J19" s="28">
        <f t="shared" ref="J19:O21" si="10">+B19/B$21</f>
        <v>0.81183918332173277</v>
      </c>
      <c r="K19" s="28">
        <f t="shared" si="10"/>
        <v>0.80131485962695681</v>
      </c>
      <c r="L19" s="28">
        <f t="shared" si="10"/>
        <v>0.79891816087348488</v>
      </c>
      <c r="M19" s="28">
        <f t="shared" si="10"/>
        <v>0.8299457861015278</v>
      </c>
      <c r="N19" s="28">
        <f t="shared" si="10"/>
        <v>0.83095079305245456</v>
      </c>
      <c r="O19" s="28">
        <f t="shared" si="10"/>
        <v>0.8681427572194651</v>
      </c>
      <c r="P19" s="28"/>
      <c r="R19" s="28">
        <f>RATE(5,0,-G19,B19)</f>
        <v>-6.7572338514843566E-2</v>
      </c>
      <c r="S19" s="28">
        <f t="shared" si="3"/>
        <v>-6.5711107885011805E-2</v>
      </c>
      <c r="T19" s="28">
        <f t="shared" ref="T19:X21" si="11">(+B19-C19)/C19</f>
        <v>-1.8119137336647159E-2</v>
      </c>
      <c r="U19" s="28">
        <f t="shared" si="11"/>
        <v>-6.166307237073073E-2</v>
      </c>
      <c r="V19" s="28">
        <f t="shared" si="11"/>
        <v>-5.2756597543884655E-2</v>
      </c>
      <c r="W19" s="28">
        <f t="shared" si="11"/>
        <v>-2.0623233415919321E-2</v>
      </c>
      <c r="X19" s="28">
        <f t="shared" si="11"/>
        <v>-0.17539349875787716</v>
      </c>
    </row>
    <row r="20" spans="1:24" x14ac:dyDescent="0.25">
      <c r="A20" s="5" t="s">
        <v>147</v>
      </c>
      <c r="B20" s="2">
        <f t="shared" ref="B20:G20" si="12">+B489</f>
        <v>1726</v>
      </c>
      <c r="C20" s="2">
        <f t="shared" si="12"/>
        <v>2187</v>
      </c>
      <c r="D20" s="2">
        <f t="shared" si="12"/>
        <v>1814</v>
      </c>
      <c r="E20" s="2">
        <f t="shared" si="12"/>
        <v>1558</v>
      </c>
      <c r="F20" s="2">
        <f t="shared" si="12"/>
        <v>1337</v>
      </c>
      <c r="G20" s="2">
        <f t="shared" si="12"/>
        <v>1573</v>
      </c>
      <c r="J20" s="28">
        <f t="shared" si="10"/>
        <v>1.906908399898357E-2</v>
      </c>
      <c r="K20" s="28">
        <f t="shared" si="10"/>
        <v>2.3416921857935199E-2</v>
      </c>
      <c r="L20" s="28">
        <f t="shared" si="10"/>
        <v>1.8170890513873585E-2</v>
      </c>
      <c r="M20" s="28">
        <f t="shared" si="10"/>
        <v>1.5357318876293741E-2</v>
      </c>
      <c r="N20" s="28">
        <f t="shared" si="10"/>
        <v>1.2922743835841525E-2</v>
      </c>
      <c r="O20" s="28">
        <f t="shared" si="10"/>
        <v>1.309829130999567E-2</v>
      </c>
      <c r="P20" s="28"/>
      <c r="R20" s="28">
        <f>RATE(5,0,-G20,B20)</f>
        <v>1.8737783370035378E-2</v>
      </c>
      <c r="S20" s="28">
        <f t="shared" si="3"/>
        <v>3.4881753604939073E-2</v>
      </c>
      <c r="T20" s="28">
        <f t="shared" si="11"/>
        <v>-0.21079103795153178</v>
      </c>
      <c r="U20" s="28">
        <f t="shared" si="11"/>
        <v>0.20562293274531424</v>
      </c>
      <c r="V20" s="28">
        <f t="shared" si="11"/>
        <v>0.16431322207958921</v>
      </c>
      <c r="W20" s="28">
        <f t="shared" si="11"/>
        <v>0.16529543754674644</v>
      </c>
      <c r="X20" s="28">
        <f t="shared" si="11"/>
        <v>-0.15003178639542275</v>
      </c>
    </row>
    <row r="21" spans="1:24" ht="15.75" thickBot="1" x14ac:dyDescent="0.3">
      <c r="A21" s="2" t="s">
        <v>17</v>
      </c>
      <c r="B21" s="9">
        <f>+B11+SUM(B17:B20)</f>
        <v>90513</v>
      </c>
      <c r="C21" s="9">
        <f t="shared" ref="C21:G21" si="13">+C11+SUM(C17:C20)</f>
        <v>93394</v>
      </c>
      <c r="D21" s="9">
        <f t="shared" si="13"/>
        <v>99830</v>
      </c>
      <c r="E21" s="9">
        <f t="shared" si="13"/>
        <v>101450</v>
      </c>
      <c r="F21" s="9">
        <f t="shared" si="13"/>
        <v>103461</v>
      </c>
      <c r="G21" s="9">
        <f t="shared" si="13"/>
        <v>120092</v>
      </c>
      <c r="H21" s="36"/>
      <c r="J21" s="32">
        <f t="shared" si="10"/>
        <v>1</v>
      </c>
      <c r="K21" s="32">
        <f t="shared" si="10"/>
        <v>1</v>
      </c>
      <c r="L21" s="32">
        <f t="shared" si="10"/>
        <v>1</v>
      </c>
      <c r="M21" s="32">
        <f t="shared" si="10"/>
        <v>1</v>
      </c>
      <c r="N21" s="32">
        <f t="shared" si="10"/>
        <v>1</v>
      </c>
      <c r="O21" s="32">
        <f t="shared" si="10"/>
        <v>1</v>
      </c>
      <c r="P21" s="32"/>
      <c r="Q21" s="11"/>
      <c r="R21" s="32">
        <f>RATE(5,0,-G21,B21)</f>
        <v>-5.4983532564241197E-2</v>
      </c>
      <c r="S21" s="32">
        <f t="shared" si="3"/>
        <v>-5.3841726418039616E-2</v>
      </c>
      <c r="T21" s="32">
        <f t="shared" si="11"/>
        <v>-3.084780606891235E-2</v>
      </c>
      <c r="U21" s="32">
        <f t="shared" si="11"/>
        <v>-6.4469598317139137E-2</v>
      </c>
      <c r="V21" s="32">
        <f t="shared" si="11"/>
        <v>-1.5968457368161656E-2</v>
      </c>
      <c r="W21" s="32">
        <f t="shared" si="11"/>
        <v>-1.9437275881733215E-2</v>
      </c>
      <c r="X21" s="32">
        <f t="shared" si="11"/>
        <v>-0.13848549445425173</v>
      </c>
    </row>
    <row r="22" spans="1:24" ht="15.75" thickTop="1" x14ac:dyDescent="0.25">
      <c r="A22" s="2" t="s">
        <v>18</v>
      </c>
    </row>
    <row r="23" spans="1:24" x14ac:dyDescent="0.25">
      <c r="A23" s="5" t="s">
        <v>151</v>
      </c>
      <c r="B23" s="8">
        <f t="shared" ref="B23:G23" si="14">+B493</f>
        <v>837</v>
      </c>
      <c r="C23" s="8">
        <f t="shared" si="14"/>
        <v>754</v>
      </c>
      <c r="D23" s="8">
        <f t="shared" si="14"/>
        <v>236</v>
      </c>
      <c r="E23" s="8">
        <f t="shared" si="14"/>
        <v>1028</v>
      </c>
      <c r="F23" s="8">
        <f t="shared" si="14"/>
        <v>398</v>
      </c>
      <c r="G23" s="8">
        <f t="shared" si="14"/>
        <v>3195</v>
      </c>
      <c r="H23" s="8"/>
      <c r="J23" s="28">
        <f t="shared" ref="J23:O25" si="15">+B23/B$21</f>
        <v>9.24729044446654E-3</v>
      </c>
      <c r="K23" s="28">
        <f t="shared" si="15"/>
        <v>8.0733237681221495E-3</v>
      </c>
      <c r="L23" s="28">
        <f t="shared" si="15"/>
        <v>2.3640188320144247E-3</v>
      </c>
      <c r="M23" s="28">
        <f t="shared" si="15"/>
        <v>1.0133070478068013E-2</v>
      </c>
      <c r="N23" s="28">
        <f t="shared" si="15"/>
        <v>3.8468601695324806E-3</v>
      </c>
      <c r="O23" s="28">
        <f t="shared" si="15"/>
        <v>2.660460313759451E-2</v>
      </c>
      <c r="P23" s="28"/>
      <c r="R23" s="28">
        <f>RATE(5,0,-G23,B23)</f>
        <v>-0.23501852356897554</v>
      </c>
      <c r="S23" s="28">
        <f t="shared" ref="S23:S35" si="16">AVERAGE(T23:X23)</f>
        <v>0.4484102054393645</v>
      </c>
      <c r="T23" s="28">
        <f t="shared" ref="T23:X25" si="17">(+B23-C23)/C23</f>
        <v>0.11007957559681697</v>
      </c>
      <c r="U23" s="28">
        <f t="shared" si="17"/>
        <v>2.1949152542372881</v>
      </c>
      <c r="V23" s="28">
        <f t="shared" si="17"/>
        <v>-0.77042801556420237</v>
      </c>
      <c r="W23" s="28">
        <f t="shared" si="17"/>
        <v>1.5829145728643217</v>
      </c>
      <c r="X23" s="28">
        <f t="shared" si="17"/>
        <v>-0.87543035993740215</v>
      </c>
    </row>
    <row r="24" spans="1:24" x14ac:dyDescent="0.25">
      <c r="A24" s="5" t="s">
        <v>21</v>
      </c>
      <c r="B24" s="2">
        <v>4848</v>
      </c>
      <c r="C24" s="2">
        <v>4753</v>
      </c>
      <c r="D24" s="2">
        <v>4304</v>
      </c>
      <c r="E24" s="2">
        <v>4003</v>
      </c>
      <c r="F24" s="2">
        <v>4153</v>
      </c>
      <c r="G24" s="2">
        <v>4362</v>
      </c>
      <c r="J24" s="28">
        <f t="shared" si="15"/>
        <v>5.3561366875476454E-2</v>
      </c>
      <c r="K24" s="28">
        <f t="shared" si="15"/>
        <v>5.0891920251836309E-2</v>
      </c>
      <c r="L24" s="28">
        <f t="shared" si="15"/>
        <v>4.3113292597415608E-2</v>
      </c>
      <c r="M24" s="28">
        <f t="shared" si="15"/>
        <v>3.9457861015278463E-2</v>
      </c>
      <c r="N24" s="28">
        <f t="shared" si="15"/>
        <v>4.0140729356955764E-2</v>
      </c>
      <c r="O24" s="28">
        <f t="shared" si="15"/>
        <v>3.6322153016021048E-2</v>
      </c>
      <c r="P24" s="28"/>
      <c r="R24" s="28">
        <f>RATE(5,0,-G24,B24)</f>
        <v>2.1351873752623592E-2</v>
      </c>
      <c r="S24" s="28">
        <f t="shared" si="16"/>
        <v>2.3094054588581041E-2</v>
      </c>
      <c r="T24" s="28">
        <f t="shared" si="17"/>
        <v>1.9987376393856511E-2</v>
      </c>
      <c r="U24" s="28">
        <f t="shared" si="17"/>
        <v>0.10432156133828996</v>
      </c>
      <c r="V24" s="28">
        <f t="shared" si="17"/>
        <v>7.5193604796402705E-2</v>
      </c>
      <c r="W24" s="28">
        <f t="shared" si="17"/>
        <v>-3.6118468576932336E-2</v>
      </c>
      <c r="X24" s="28">
        <f t="shared" si="17"/>
        <v>-4.79138010087116E-2</v>
      </c>
    </row>
    <row r="25" spans="1:24" x14ac:dyDescent="0.25">
      <c r="A25" s="5" t="s">
        <v>148</v>
      </c>
      <c r="B25" s="2">
        <v>0</v>
      </c>
      <c r="C25" s="2">
        <v>0</v>
      </c>
      <c r="D25" s="2">
        <v>0</v>
      </c>
      <c r="E25" s="2">
        <v>0</v>
      </c>
      <c r="F25" s="2">
        <v>0</v>
      </c>
      <c r="G25" s="2">
        <v>0</v>
      </c>
      <c r="J25" s="28">
        <f t="shared" si="15"/>
        <v>0</v>
      </c>
      <c r="K25" s="28">
        <f t="shared" si="15"/>
        <v>0</v>
      </c>
      <c r="L25" s="28">
        <f t="shared" si="15"/>
        <v>0</v>
      </c>
      <c r="M25" s="28">
        <f t="shared" si="15"/>
        <v>0</v>
      </c>
      <c r="N25" s="28">
        <f t="shared" si="15"/>
        <v>0</v>
      </c>
      <c r="O25" s="28">
        <f t="shared" si="15"/>
        <v>0</v>
      </c>
      <c r="P25" s="28"/>
      <c r="R25" s="28" t="e">
        <f>RATE(5,0,-G25,B25)</f>
        <v>#NUM!</v>
      </c>
      <c r="S25" s="28" t="e">
        <f t="shared" si="16"/>
        <v>#DIV/0!</v>
      </c>
      <c r="T25" s="28" t="e">
        <f t="shared" si="17"/>
        <v>#DIV/0!</v>
      </c>
      <c r="U25" s="28" t="e">
        <f t="shared" si="17"/>
        <v>#DIV/0!</v>
      </c>
      <c r="V25" s="28" t="e">
        <f t="shared" si="17"/>
        <v>#DIV/0!</v>
      </c>
      <c r="W25" s="28" t="e">
        <f t="shared" si="17"/>
        <v>#DIV/0!</v>
      </c>
      <c r="X25" s="28" t="e">
        <f t="shared" si="17"/>
        <v>#DIV/0!</v>
      </c>
    </row>
    <row r="26" spans="1:24" x14ac:dyDescent="0.25">
      <c r="A26" s="5" t="s">
        <v>200</v>
      </c>
      <c r="B26" s="2">
        <f t="shared" ref="B26:G26" si="18">+B470</f>
        <v>125</v>
      </c>
      <c r="C26" s="2">
        <f t="shared" si="18"/>
        <v>133</v>
      </c>
      <c r="D26" s="2">
        <f t="shared" si="18"/>
        <v>135</v>
      </c>
      <c r="E26" s="2">
        <f t="shared" si="18"/>
        <v>147</v>
      </c>
      <c r="F26" s="2">
        <f t="shared" si="18"/>
        <v>0</v>
      </c>
      <c r="G26" s="2">
        <f t="shared" si="18"/>
        <v>0</v>
      </c>
      <c r="J26" s="28"/>
      <c r="K26" s="28"/>
      <c r="L26" s="28"/>
      <c r="M26" s="28"/>
      <c r="N26" s="28"/>
      <c r="O26" s="28"/>
      <c r="P26" s="28"/>
      <c r="R26" s="28"/>
      <c r="S26" s="28"/>
      <c r="T26" s="28"/>
      <c r="U26" s="28"/>
      <c r="V26" s="28"/>
      <c r="W26" s="28"/>
      <c r="X26" s="28"/>
    </row>
    <row r="27" spans="1:24" x14ac:dyDescent="0.25">
      <c r="A27" s="5" t="s">
        <v>152</v>
      </c>
      <c r="B27" s="2">
        <f t="shared" ref="B27:G27" si="19">+B501</f>
        <v>3218</v>
      </c>
      <c r="C27" s="2">
        <f t="shared" si="19"/>
        <v>3424</v>
      </c>
      <c r="D27" s="2">
        <f t="shared" si="19"/>
        <v>3386</v>
      </c>
      <c r="E27" s="2">
        <f t="shared" si="19"/>
        <v>2697</v>
      </c>
      <c r="F27" s="2">
        <f t="shared" si="19"/>
        <v>2952</v>
      </c>
      <c r="G27" s="2">
        <f t="shared" si="19"/>
        <v>2597</v>
      </c>
      <c r="J27" s="30">
        <f t="shared" ref="J27:O29" si="20">+B27/B$21</f>
        <v>3.5552904002739937E-2</v>
      </c>
      <c r="K27" s="30">
        <f t="shared" si="20"/>
        <v>3.6661884061074589E-2</v>
      </c>
      <c r="L27" s="30">
        <f t="shared" si="20"/>
        <v>3.3917660022037464E-2</v>
      </c>
      <c r="M27" s="30">
        <f t="shared" si="20"/>
        <v>2.6584524396254312E-2</v>
      </c>
      <c r="N27" s="30">
        <f t="shared" si="20"/>
        <v>2.8532490503668049E-2</v>
      </c>
      <c r="O27" s="30">
        <f t="shared" si="20"/>
        <v>2.1625087432968058E-2</v>
      </c>
      <c r="P27" s="30"/>
      <c r="Q27" s="31"/>
      <c r="R27" s="30">
        <f>RATE(5,0,-G27,B27)</f>
        <v>4.3813280300541678E-2</v>
      </c>
      <c r="S27" s="30">
        <f t="shared" si="16"/>
        <v>5.1368448798014457E-2</v>
      </c>
      <c r="T27" s="30">
        <f t="shared" ref="T27:X29" si="21">(+B27-C27)/C27</f>
        <v>-6.0163551401869159E-2</v>
      </c>
      <c r="U27" s="30">
        <f t="shared" si="21"/>
        <v>1.1222681630242174E-2</v>
      </c>
      <c r="V27" s="30">
        <f t="shared" si="21"/>
        <v>0.25546903967371154</v>
      </c>
      <c r="W27" s="30">
        <f t="shared" si="21"/>
        <v>-8.6382113821138209E-2</v>
      </c>
      <c r="X27" s="30">
        <f t="shared" si="21"/>
        <v>0.13669618790912591</v>
      </c>
    </row>
    <row r="28" spans="1:24" x14ac:dyDescent="0.25">
      <c r="A28" s="2" t="s">
        <v>25</v>
      </c>
      <c r="B28" s="6">
        <f t="shared" ref="B28:G28" si="22">SUM(B23:B27)</f>
        <v>9028</v>
      </c>
      <c r="C28" s="6">
        <f t="shared" si="22"/>
        <v>9064</v>
      </c>
      <c r="D28" s="6">
        <f t="shared" si="22"/>
        <v>8061</v>
      </c>
      <c r="E28" s="6">
        <f t="shared" si="22"/>
        <v>7875</v>
      </c>
      <c r="F28" s="6">
        <f t="shared" si="22"/>
        <v>7503</v>
      </c>
      <c r="G28" s="6">
        <f t="shared" si="22"/>
        <v>10154</v>
      </c>
      <c r="H28" s="34"/>
      <c r="J28" s="28">
        <f t="shared" si="20"/>
        <v>9.9742578414150448E-2</v>
      </c>
      <c r="K28" s="28">
        <f t="shared" si="20"/>
        <v>9.7051202432704459E-2</v>
      </c>
      <c r="L28" s="28">
        <f t="shared" si="20"/>
        <v>8.0747270359611337E-2</v>
      </c>
      <c r="M28" s="28">
        <f t="shared" si="20"/>
        <v>7.7624445539674722E-2</v>
      </c>
      <c r="N28" s="28">
        <f t="shared" si="20"/>
        <v>7.2520080030156295E-2</v>
      </c>
      <c r="O28" s="28">
        <f t="shared" si="20"/>
        <v>8.4551843586583617E-2</v>
      </c>
      <c r="P28" s="28"/>
      <c r="R28" s="28">
        <f>RATE(5,0,-G28,B28)</f>
        <v>-2.3233225607619739E-2</v>
      </c>
      <c r="S28" s="28">
        <f t="shared" si="16"/>
        <v>-1.3485133717464421E-2</v>
      </c>
      <c r="T28" s="28">
        <f t="shared" si="21"/>
        <v>-3.9717563989408646E-3</v>
      </c>
      <c r="U28" s="28">
        <f t="shared" si="21"/>
        <v>0.12442624984493239</v>
      </c>
      <c r="V28" s="28">
        <f t="shared" si="21"/>
        <v>2.3619047619047619E-2</v>
      </c>
      <c r="W28" s="28">
        <f t="shared" si="21"/>
        <v>4.9580167932826873E-2</v>
      </c>
      <c r="X28" s="28">
        <f t="shared" si="21"/>
        <v>-0.26107937758518812</v>
      </c>
    </row>
    <row r="29" spans="1:24" x14ac:dyDescent="0.25">
      <c r="A29" s="5" t="s">
        <v>27</v>
      </c>
      <c r="B29" s="2">
        <v>19233</v>
      </c>
      <c r="C29" s="2">
        <v>21061</v>
      </c>
      <c r="D29" s="2">
        <v>28070</v>
      </c>
      <c r="E29" s="2">
        <v>28216</v>
      </c>
      <c r="F29" s="2">
        <v>30770</v>
      </c>
      <c r="G29" s="2">
        <v>28308</v>
      </c>
      <c r="J29" s="28">
        <f t="shared" si="20"/>
        <v>0.21248881376155912</v>
      </c>
      <c r="K29" s="28">
        <f t="shared" si="20"/>
        <v>0.22550699188384693</v>
      </c>
      <c r="L29" s="28">
        <f t="shared" si="20"/>
        <v>0.28117800260442755</v>
      </c>
      <c r="M29" s="28">
        <f t="shared" si="20"/>
        <v>0.27812715623459833</v>
      </c>
      <c r="N29" s="28">
        <f t="shared" si="20"/>
        <v>0.29740675230280011</v>
      </c>
      <c r="O29" s="28">
        <f t="shared" si="20"/>
        <v>0.23571928188388902</v>
      </c>
      <c r="P29" s="28"/>
      <c r="R29" s="28">
        <f>RATE(5,0,-G29,B29)</f>
        <v>-7.4390999611951406E-2</v>
      </c>
      <c r="S29" s="28">
        <f t="shared" si="16"/>
        <v>-6.7539619547069094E-2</v>
      </c>
      <c r="T29" s="28">
        <f t="shared" si="21"/>
        <v>-8.6795498789231276E-2</v>
      </c>
      <c r="U29" s="28">
        <f t="shared" si="21"/>
        <v>-0.24969718560741005</v>
      </c>
      <c r="V29" s="28">
        <f t="shared" si="21"/>
        <v>-5.1743691522540399E-3</v>
      </c>
      <c r="W29" s="28">
        <f t="shared" si="21"/>
        <v>-8.3002924926876831E-2</v>
      </c>
      <c r="X29" s="28">
        <f t="shared" si="21"/>
        <v>8.6971880740426735E-2</v>
      </c>
    </row>
    <row r="30" spans="1:24" x14ac:dyDescent="0.25">
      <c r="A30" s="5" t="s">
        <v>202</v>
      </c>
      <c r="B30" s="2">
        <f t="shared" ref="B30:G30" si="23">+B471</f>
        <v>585</v>
      </c>
      <c r="C30" s="2">
        <f t="shared" si="23"/>
        <v>484</v>
      </c>
      <c r="D30" s="2">
        <f t="shared" si="23"/>
        <v>475</v>
      </c>
      <c r="E30" s="2">
        <f t="shared" si="23"/>
        <v>454</v>
      </c>
      <c r="F30" s="2">
        <f t="shared" si="23"/>
        <v>0</v>
      </c>
      <c r="G30" s="2">
        <f t="shared" si="23"/>
        <v>0</v>
      </c>
      <c r="J30" s="28"/>
      <c r="K30" s="28"/>
      <c r="L30" s="28"/>
      <c r="M30" s="28"/>
      <c r="N30" s="28"/>
      <c r="O30" s="28"/>
      <c r="P30" s="28"/>
      <c r="R30" s="28"/>
      <c r="S30" s="28"/>
      <c r="T30" s="28"/>
      <c r="U30" s="28"/>
      <c r="V30" s="28"/>
      <c r="W30" s="28"/>
      <c r="X30" s="28"/>
    </row>
    <row r="31" spans="1:24" x14ac:dyDescent="0.25">
      <c r="A31" s="5" t="s">
        <v>153</v>
      </c>
      <c r="B31" s="2">
        <f t="shared" ref="B31:G31" si="24">+B508</f>
        <v>12797</v>
      </c>
      <c r="C31" s="2">
        <f t="shared" si="24"/>
        <v>13333</v>
      </c>
      <c r="D31" s="2">
        <f t="shared" si="24"/>
        <v>12981</v>
      </c>
      <c r="E31" s="2">
        <f t="shared" si="24"/>
        <v>13156</v>
      </c>
      <c r="F31" s="2">
        <f t="shared" si="24"/>
        <v>13410</v>
      </c>
      <c r="G31" s="2">
        <f t="shared" si="24"/>
        <v>15554</v>
      </c>
      <c r="J31" s="30">
        <f t="shared" ref="J31:O35" si="25">+B31/B$21</f>
        <v>0.14138300575607923</v>
      </c>
      <c r="K31" s="30">
        <f t="shared" si="25"/>
        <v>0.14276077692357111</v>
      </c>
      <c r="L31" s="30">
        <f t="shared" si="25"/>
        <v>0.13003105278974256</v>
      </c>
      <c r="M31" s="30">
        <f t="shared" si="25"/>
        <v>0.12967964514539182</v>
      </c>
      <c r="N31" s="30">
        <f t="shared" si="25"/>
        <v>0.12961405747093108</v>
      </c>
      <c r="O31" s="30">
        <f t="shared" si="25"/>
        <v>0.12951737001632083</v>
      </c>
      <c r="P31" s="30"/>
      <c r="Q31" s="31"/>
      <c r="R31" s="30">
        <f>RATE(5,0,-G31,B31)</f>
        <v>-3.8269885912254428E-2</v>
      </c>
      <c r="S31" s="30">
        <f t="shared" si="16"/>
        <v>-3.6633961987977935E-2</v>
      </c>
      <c r="T31" s="30">
        <f t="shared" ref="T31:X35" si="26">(+B31-C31)/C31</f>
        <v>-4.0201005025125629E-2</v>
      </c>
      <c r="U31" s="30">
        <f t="shared" si="26"/>
        <v>2.7116554964948771E-2</v>
      </c>
      <c r="V31" s="30">
        <f t="shared" si="26"/>
        <v>-1.330191547582852E-2</v>
      </c>
      <c r="W31" s="30">
        <f t="shared" si="26"/>
        <v>-1.8941088739746457E-2</v>
      </c>
      <c r="X31" s="30">
        <f t="shared" si="26"/>
        <v>-0.13784235566413786</v>
      </c>
    </row>
    <row r="32" spans="1:24" x14ac:dyDescent="0.25">
      <c r="A32" s="2" t="s">
        <v>31</v>
      </c>
      <c r="B32" s="6">
        <f t="shared" ref="B32:G32" si="27">SUM(B28:B31)</f>
        <v>41643</v>
      </c>
      <c r="C32" s="6">
        <f t="shared" si="27"/>
        <v>43942</v>
      </c>
      <c r="D32" s="6">
        <f t="shared" si="27"/>
        <v>49587</v>
      </c>
      <c r="E32" s="6">
        <f t="shared" si="27"/>
        <v>49701</v>
      </c>
      <c r="F32" s="6">
        <f t="shared" si="27"/>
        <v>51683</v>
      </c>
      <c r="G32" s="6">
        <f t="shared" si="27"/>
        <v>54016</v>
      </c>
      <c r="H32" s="34"/>
      <c r="J32" s="28">
        <f t="shared" si="25"/>
        <v>0.46007755791985683</v>
      </c>
      <c r="K32" s="28">
        <f t="shared" si="25"/>
        <v>0.47050131700109216</v>
      </c>
      <c r="L32" s="28">
        <f t="shared" si="25"/>
        <v>0.49671441450465792</v>
      </c>
      <c r="M32" s="28">
        <f t="shared" si="25"/>
        <v>0.48990635781172992</v>
      </c>
      <c r="N32" s="28">
        <f t="shared" si="25"/>
        <v>0.49954088980388744</v>
      </c>
      <c r="O32" s="28">
        <f t="shared" si="25"/>
        <v>0.44978849548679345</v>
      </c>
      <c r="P32" s="28"/>
      <c r="R32" s="28">
        <f>RATE(5,0,-G32,B32)</f>
        <v>-5.0699045239239016E-2</v>
      </c>
      <c r="S32" s="28">
        <f t="shared" si="16"/>
        <v>-4.9998615364267002E-2</v>
      </c>
      <c r="T32" s="28">
        <f t="shared" si="26"/>
        <v>-5.231896590960812E-2</v>
      </c>
      <c r="U32" s="28">
        <f t="shared" si="26"/>
        <v>-0.1138403210518886</v>
      </c>
      <c r="V32" s="28">
        <f t="shared" si="26"/>
        <v>-2.2937164242168165E-3</v>
      </c>
      <c r="W32" s="28">
        <f t="shared" si="26"/>
        <v>-3.8349167037517173E-2</v>
      </c>
      <c r="X32" s="28">
        <f t="shared" si="26"/>
        <v>-4.3190906398104266E-2</v>
      </c>
    </row>
    <row r="33" spans="1:24" x14ac:dyDescent="0.25">
      <c r="A33" s="2" t="s">
        <v>32</v>
      </c>
      <c r="B33" s="2">
        <v>40</v>
      </c>
      <c r="C33" s="2">
        <v>4</v>
      </c>
      <c r="D33" s="2">
        <v>0</v>
      </c>
      <c r="E33" s="2">
        <v>0</v>
      </c>
      <c r="F33" s="2">
        <v>3</v>
      </c>
      <c r="G33" s="2">
        <v>6</v>
      </c>
      <c r="J33" s="28">
        <f t="shared" si="25"/>
        <v>4.4192546926960768E-4</v>
      </c>
      <c r="K33" s="28">
        <f t="shared" si="25"/>
        <v>4.2829303809666572E-5</v>
      </c>
      <c r="L33" s="28">
        <f t="shared" si="25"/>
        <v>0</v>
      </c>
      <c r="M33" s="28">
        <f t="shared" si="25"/>
        <v>0</v>
      </c>
      <c r="N33" s="28">
        <f t="shared" si="25"/>
        <v>2.8996433438687043E-5</v>
      </c>
      <c r="O33" s="28">
        <f t="shared" si="25"/>
        <v>4.9961696033041334E-5</v>
      </c>
      <c r="P33" s="28"/>
      <c r="R33" s="28">
        <f>RATE(5,0,-G33,B33)</f>
        <v>0.46144255162042197</v>
      </c>
      <c r="S33" s="28" t="e">
        <f t="shared" si="16"/>
        <v>#DIV/0!</v>
      </c>
      <c r="T33" s="28">
        <f t="shared" si="26"/>
        <v>9</v>
      </c>
      <c r="U33" s="28" t="e">
        <f t="shared" si="26"/>
        <v>#DIV/0!</v>
      </c>
      <c r="V33" s="28" t="e">
        <f t="shared" si="26"/>
        <v>#DIV/0!</v>
      </c>
      <c r="W33" s="28">
        <f t="shared" si="26"/>
        <v>-1</v>
      </c>
      <c r="X33" s="28">
        <f t="shared" si="26"/>
        <v>-0.5</v>
      </c>
    </row>
    <row r="34" spans="1:24" x14ac:dyDescent="0.25">
      <c r="A34" s="2" t="s">
        <v>40</v>
      </c>
      <c r="B34" s="34">
        <f t="shared" ref="B34:G34" si="28">+B516</f>
        <v>48830</v>
      </c>
      <c r="C34" s="34">
        <f t="shared" si="28"/>
        <v>49448</v>
      </c>
      <c r="D34" s="34">
        <f t="shared" si="28"/>
        <v>50243</v>
      </c>
      <c r="E34" s="34">
        <f t="shared" si="28"/>
        <v>51749</v>
      </c>
      <c r="F34" s="34">
        <f t="shared" si="28"/>
        <v>51775</v>
      </c>
      <c r="G34" s="34">
        <f t="shared" si="28"/>
        <v>66070</v>
      </c>
      <c r="H34" s="34"/>
      <c r="J34" s="28">
        <f t="shared" si="25"/>
        <v>0.53948051661087359</v>
      </c>
      <c r="K34" s="28">
        <f t="shared" si="25"/>
        <v>0.52945585369509818</v>
      </c>
      <c r="L34" s="28">
        <f t="shared" si="25"/>
        <v>0.50328558549534208</v>
      </c>
      <c r="M34" s="28">
        <f t="shared" si="25"/>
        <v>0.51009364218827014</v>
      </c>
      <c r="N34" s="28">
        <f t="shared" si="25"/>
        <v>0.50043011376267388</v>
      </c>
      <c r="O34" s="28">
        <f t="shared" si="25"/>
        <v>0.55016154281717355</v>
      </c>
      <c r="P34" s="28"/>
      <c r="R34" s="28">
        <f>RATE(5,0,-G34,B34)</f>
        <v>-5.8681739699202047E-2</v>
      </c>
      <c r="S34" s="28">
        <f t="shared" si="16"/>
        <v>-5.4857339349412525E-2</v>
      </c>
      <c r="T34" s="28">
        <f t="shared" si="26"/>
        <v>-1.2497977673515612E-2</v>
      </c>
      <c r="U34" s="28">
        <f t="shared" si="26"/>
        <v>-1.5823099735286509E-2</v>
      </c>
      <c r="V34" s="28">
        <f t="shared" si="26"/>
        <v>-2.9102011633075034E-2</v>
      </c>
      <c r="W34" s="28">
        <f t="shared" si="26"/>
        <v>-5.0217286335103818E-4</v>
      </c>
      <c r="X34" s="28">
        <f t="shared" si="26"/>
        <v>-0.21636143484183443</v>
      </c>
    </row>
    <row r="35" spans="1:24" ht="15.75" thickBot="1" x14ac:dyDescent="0.3">
      <c r="A35" s="2" t="s">
        <v>39</v>
      </c>
      <c r="B35" s="9">
        <f>+B34+B33+B32</f>
        <v>90513</v>
      </c>
      <c r="C35" s="9">
        <f t="shared" ref="C35:G35" si="29">+C34+C33+C32</f>
        <v>93394</v>
      </c>
      <c r="D35" s="9">
        <f t="shared" si="29"/>
        <v>99830</v>
      </c>
      <c r="E35" s="9">
        <f t="shared" si="29"/>
        <v>101450</v>
      </c>
      <c r="F35" s="9">
        <f t="shared" si="29"/>
        <v>103461</v>
      </c>
      <c r="G35" s="9">
        <f t="shared" si="29"/>
        <v>120092</v>
      </c>
      <c r="H35" s="36"/>
      <c r="J35" s="32">
        <f t="shared" si="25"/>
        <v>1</v>
      </c>
      <c r="K35" s="32">
        <f t="shared" si="25"/>
        <v>1</v>
      </c>
      <c r="L35" s="32">
        <f t="shared" si="25"/>
        <v>1</v>
      </c>
      <c r="M35" s="32">
        <f t="shared" si="25"/>
        <v>1</v>
      </c>
      <c r="N35" s="32">
        <f t="shared" si="25"/>
        <v>1</v>
      </c>
      <c r="O35" s="32">
        <f t="shared" si="25"/>
        <v>1</v>
      </c>
      <c r="P35" s="32"/>
      <c r="Q35" s="11"/>
      <c r="R35" s="32">
        <f>RATE(5,0,-G35,B35)</f>
        <v>-5.4983532564241197E-2</v>
      </c>
      <c r="S35" s="32">
        <f t="shared" si="16"/>
        <v>-5.3841726418039616E-2</v>
      </c>
      <c r="T35" s="32">
        <f t="shared" si="26"/>
        <v>-3.084780606891235E-2</v>
      </c>
      <c r="U35" s="32">
        <f t="shared" si="26"/>
        <v>-6.4469598317139137E-2</v>
      </c>
      <c r="V35" s="32">
        <f t="shared" si="26"/>
        <v>-1.5968457368161656E-2</v>
      </c>
      <c r="W35" s="32">
        <f t="shared" si="26"/>
        <v>-1.9437275881733215E-2</v>
      </c>
      <c r="X35" s="32">
        <f t="shared" si="26"/>
        <v>-0.13848549445425173</v>
      </c>
    </row>
    <row r="36" spans="1:24" ht="15.75" thickTop="1" x14ac:dyDescent="0.25">
      <c r="B36" s="2">
        <f>+B35-B21</f>
        <v>0</v>
      </c>
      <c r="C36" s="2">
        <f t="shared" ref="C36:G36" si="30">+C35-C21</f>
        <v>0</v>
      </c>
      <c r="D36" s="2">
        <f t="shared" si="30"/>
        <v>0</v>
      </c>
      <c r="E36" s="2">
        <f t="shared" si="30"/>
        <v>0</v>
      </c>
      <c r="F36" s="2">
        <f t="shared" si="30"/>
        <v>0</v>
      </c>
      <c r="G36" s="2">
        <f t="shared" si="30"/>
        <v>0</v>
      </c>
    </row>
    <row r="37" spans="1:24" x14ac:dyDescent="0.25">
      <c r="A37" s="2" t="s">
        <v>41</v>
      </c>
      <c r="B37" s="2">
        <v>1243</v>
      </c>
      <c r="C37" s="2">
        <v>1235</v>
      </c>
      <c r="D37" s="2">
        <v>1228</v>
      </c>
      <c r="E37" s="2">
        <v>1224</v>
      </c>
      <c r="F37" s="2">
        <v>1224</v>
      </c>
      <c r="G37" s="2">
        <v>1221</v>
      </c>
    </row>
    <row r="38" spans="1:24" x14ac:dyDescent="0.25">
      <c r="A38" s="2" t="s">
        <v>42</v>
      </c>
      <c r="B38" s="2">
        <v>-18</v>
      </c>
      <c r="C38" s="2">
        <v>-11</v>
      </c>
      <c r="D38" s="2">
        <v>-5</v>
      </c>
      <c r="E38" s="2">
        <v>-3</v>
      </c>
      <c r="F38" s="2">
        <v>-4</v>
      </c>
      <c r="G38" s="2">
        <v>-2</v>
      </c>
    </row>
    <row r="39" spans="1:24" ht="15.75" thickBot="1" x14ac:dyDescent="0.3">
      <c r="A39" s="2" t="s">
        <v>43</v>
      </c>
      <c r="B39" s="11">
        <f>+B37+B38</f>
        <v>1225</v>
      </c>
      <c r="C39" s="11">
        <f t="shared" ref="C39:G39" si="31">+C37+C38</f>
        <v>1224</v>
      </c>
      <c r="D39" s="11">
        <f t="shared" si="31"/>
        <v>1223</v>
      </c>
      <c r="E39" s="11">
        <f t="shared" si="31"/>
        <v>1221</v>
      </c>
      <c r="F39" s="11">
        <f t="shared" si="31"/>
        <v>1220</v>
      </c>
      <c r="G39" s="11">
        <f t="shared" si="31"/>
        <v>1219</v>
      </c>
      <c r="H39" s="34"/>
    </row>
    <row r="40" spans="1:24" ht="15.75" thickTop="1" x14ac:dyDescent="0.25">
      <c r="A40" s="2" t="s">
        <v>154</v>
      </c>
      <c r="B40" s="7">
        <v>38.130000000000003</v>
      </c>
      <c r="C40" s="7">
        <v>39.22</v>
      </c>
      <c r="D40" s="7">
        <v>36.380000000000003</v>
      </c>
      <c r="E40" s="7">
        <v>24.77</v>
      </c>
      <c r="F40" s="7">
        <v>33.19</v>
      </c>
      <c r="G40" s="7">
        <v>67.14</v>
      </c>
      <c r="H40" s="7"/>
    </row>
    <row r="41" spans="1:24" x14ac:dyDescent="0.25">
      <c r="A41" s="2" t="s">
        <v>45</v>
      </c>
      <c r="B41" s="8">
        <f>+B39*B40</f>
        <v>46709.25</v>
      </c>
      <c r="C41" s="8">
        <f t="shared" ref="C41:G41" si="32">+C39*C40</f>
        <v>48005.279999999999</v>
      </c>
      <c r="D41" s="8">
        <f t="shared" si="32"/>
        <v>44492.740000000005</v>
      </c>
      <c r="E41" s="8">
        <f t="shared" si="32"/>
        <v>30244.17</v>
      </c>
      <c r="F41" s="8">
        <f t="shared" si="32"/>
        <v>40491.799999999996</v>
      </c>
      <c r="G41" s="8">
        <f t="shared" si="32"/>
        <v>81843.66</v>
      </c>
      <c r="H41" s="8"/>
    </row>
    <row r="43" spans="1:24" s="15" customFormat="1" x14ac:dyDescent="0.25">
      <c r="A43" s="15" t="str">
        <f>+A1</f>
        <v>Kraft Heinz Company</v>
      </c>
      <c r="B43" s="15" t="s">
        <v>460</v>
      </c>
    </row>
    <row r="44" spans="1:24" s="15" customFormat="1" x14ac:dyDescent="0.25">
      <c r="A44" s="15" t="s">
        <v>155</v>
      </c>
    </row>
    <row r="45" spans="1:24" s="15" customFormat="1" x14ac:dyDescent="0.25">
      <c r="A45" s="15" t="str">
        <f>+A3</f>
        <v>in millions except per share data</v>
      </c>
      <c r="F45" s="15" t="s">
        <v>150</v>
      </c>
      <c r="G45" s="16" t="s">
        <v>125</v>
      </c>
      <c r="H45" s="16"/>
    </row>
    <row r="46" spans="1:24" s="15" customFormat="1" ht="15.75" thickBot="1" x14ac:dyDescent="0.3">
      <c r="A46" s="16" t="str">
        <f>+A4</f>
        <v>Year ended near 12/31:</v>
      </c>
      <c r="B46" s="17">
        <v>2022</v>
      </c>
      <c r="C46" s="17">
        <v>2021</v>
      </c>
      <c r="D46" s="17">
        <v>2020</v>
      </c>
      <c r="E46" s="17">
        <v>2019</v>
      </c>
      <c r="F46" s="17">
        <v>2018</v>
      </c>
      <c r="G46" s="17">
        <v>2017</v>
      </c>
      <c r="H46" s="22" t="s">
        <v>157</v>
      </c>
    </row>
    <row r="47" spans="1:24" x14ac:dyDescent="0.25">
      <c r="A47" s="2" t="s">
        <v>156</v>
      </c>
      <c r="B47" s="8">
        <f>+'Phase 2'!B68</f>
        <v>2368</v>
      </c>
      <c r="C47" s="8">
        <f>+'Phase 2'!C68</f>
        <v>1024</v>
      </c>
      <c r="D47" s="8">
        <f>+'Phase 2'!D68</f>
        <v>361</v>
      </c>
      <c r="E47" s="8">
        <f>+'Phase 2'!E68</f>
        <v>1933</v>
      </c>
      <c r="F47" s="8">
        <f>+'Phase 2'!F68</f>
        <v>-10254</v>
      </c>
      <c r="G47" s="8">
        <f>+'Phase 2'!G68</f>
        <v>10932</v>
      </c>
      <c r="H47" s="8">
        <f t="shared" ref="H47:H52" si="33">SUM(B47:G47)</f>
        <v>6364</v>
      </c>
    </row>
    <row r="48" spans="1:24" x14ac:dyDescent="0.25">
      <c r="A48" s="2" t="s">
        <v>158</v>
      </c>
      <c r="B48" s="2">
        <v>-993</v>
      </c>
      <c r="C48" s="2">
        <v>149</v>
      </c>
      <c r="D48" s="2">
        <v>-78</v>
      </c>
      <c r="E48" s="2">
        <v>-72</v>
      </c>
      <c r="F48" s="2">
        <v>-903</v>
      </c>
      <c r="G48" s="2">
        <v>581</v>
      </c>
      <c r="H48" s="31">
        <f t="shared" si="33"/>
        <v>-1316</v>
      </c>
    </row>
    <row r="49" spans="1:24" x14ac:dyDescent="0.25">
      <c r="A49" s="2" t="s">
        <v>159</v>
      </c>
      <c r="B49" s="6">
        <f t="shared" ref="B49:G49" si="34">SUM(B47:B48)</f>
        <v>1375</v>
      </c>
      <c r="C49" s="6">
        <f t="shared" si="34"/>
        <v>1173</v>
      </c>
      <c r="D49" s="6">
        <f t="shared" si="34"/>
        <v>283</v>
      </c>
      <c r="E49" s="6">
        <f t="shared" si="34"/>
        <v>1861</v>
      </c>
      <c r="F49" s="6">
        <f t="shared" si="34"/>
        <v>-11157</v>
      </c>
      <c r="G49" s="6">
        <f t="shared" si="34"/>
        <v>11513</v>
      </c>
      <c r="H49" s="2">
        <f t="shared" si="33"/>
        <v>5048</v>
      </c>
    </row>
    <row r="50" spans="1:24" x14ac:dyDescent="0.25">
      <c r="A50" s="2" t="s">
        <v>160</v>
      </c>
      <c r="B50" s="2">
        <v>-1972</v>
      </c>
      <c r="C50" s="2">
        <v>-1979</v>
      </c>
      <c r="D50" s="2">
        <v>-1973</v>
      </c>
      <c r="E50" s="2">
        <v>-1959</v>
      </c>
      <c r="F50" s="2">
        <v>-3048</v>
      </c>
      <c r="G50" s="2">
        <v>-2988</v>
      </c>
      <c r="H50" s="2">
        <f t="shared" si="33"/>
        <v>-13919</v>
      </c>
    </row>
    <row r="51" spans="1:24" x14ac:dyDescent="0.25">
      <c r="A51" s="2" t="s">
        <v>161</v>
      </c>
      <c r="B51" s="31">
        <f t="shared" ref="B51:G51" si="35">+B52-SUM(B49:B50)</f>
        <v>-21</v>
      </c>
      <c r="C51" s="31">
        <f t="shared" si="35"/>
        <v>11</v>
      </c>
      <c r="D51" s="31">
        <f t="shared" si="35"/>
        <v>184</v>
      </c>
      <c r="E51" s="31">
        <f t="shared" si="35"/>
        <v>72</v>
      </c>
      <c r="F51" s="31">
        <f t="shared" si="35"/>
        <v>-90</v>
      </c>
      <c r="G51" s="31">
        <f t="shared" si="35"/>
        <v>85</v>
      </c>
      <c r="H51" s="31">
        <f t="shared" si="33"/>
        <v>241</v>
      </c>
    </row>
    <row r="52" spans="1:24" x14ac:dyDescent="0.25">
      <c r="A52" s="2" t="s">
        <v>162</v>
      </c>
      <c r="B52" s="2">
        <f>+B54-B53</f>
        <v>-618</v>
      </c>
      <c r="C52" s="2">
        <f t="shared" ref="C52:G52" si="36">+C54-C53</f>
        <v>-795</v>
      </c>
      <c r="D52" s="2">
        <f t="shared" si="36"/>
        <v>-1506</v>
      </c>
      <c r="E52" s="2">
        <f t="shared" si="36"/>
        <v>-26</v>
      </c>
      <c r="F52" s="2">
        <f t="shared" si="36"/>
        <v>-14295</v>
      </c>
      <c r="G52" s="2">
        <f t="shared" si="36"/>
        <v>8610</v>
      </c>
      <c r="H52" s="2">
        <f t="shared" si="33"/>
        <v>-8630</v>
      </c>
    </row>
    <row r="53" spans="1:24" x14ac:dyDescent="0.25">
      <c r="A53" s="2" t="s">
        <v>163</v>
      </c>
      <c r="B53" s="2">
        <f t="shared" ref="B53:E53" si="37">+C54</f>
        <v>49448</v>
      </c>
      <c r="C53" s="2">
        <f t="shared" si="37"/>
        <v>50243</v>
      </c>
      <c r="D53" s="2">
        <f t="shared" si="37"/>
        <v>51749</v>
      </c>
      <c r="E53" s="2">
        <f t="shared" si="37"/>
        <v>51775</v>
      </c>
      <c r="F53" s="2">
        <f>+G54</f>
        <v>66070</v>
      </c>
      <c r="G53" s="2">
        <v>57460</v>
      </c>
      <c r="H53" s="2">
        <f>+G53</f>
        <v>57460</v>
      </c>
    </row>
    <row r="54" spans="1:24" ht="15.75" thickBot="1" x14ac:dyDescent="0.3">
      <c r="A54" s="2" t="s">
        <v>164</v>
      </c>
      <c r="B54" s="9">
        <f t="shared" ref="B54:G54" si="38">+B34</f>
        <v>48830</v>
      </c>
      <c r="C54" s="9">
        <f t="shared" si="38"/>
        <v>49448</v>
      </c>
      <c r="D54" s="9">
        <f t="shared" si="38"/>
        <v>50243</v>
      </c>
      <c r="E54" s="9">
        <f t="shared" si="38"/>
        <v>51749</v>
      </c>
      <c r="F54" s="9">
        <f t="shared" si="38"/>
        <v>51775</v>
      </c>
      <c r="G54" s="9">
        <f t="shared" si="38"/>
        <v>66070</v>
      </c>
      <c r="H54" s="9">
        <f>++H52+H53</f>
        <v>48830</v>
      </c>
    </row>
    <row r="55" spans="1:24" ht="15.75" thickTop="1" x14ac:dyDescent="0.25"/>
    <row r="56" spans="1:24" s="15" customFormat="1" x14ac:dyDescent="0.25">
      <c r="A56" s="15" t="str">
        <f>+A1</f>
        <v>Kraft Heinz Company</v>
      </c>
      <c r="B56" s="15" t="str">
        <f>+B1</f>
        <v>Recurring</v>
      </c>
      <c r="J56" s="15" t="str">
        <f>+B56</f>
        <v>Recurring</v>
      </c>
      <c r="R56" s="15" t="str">
        <f>+B56</f>
        <v>Recurring</v>
      </c>
    </row>
    <row r="57" spans="1:24" s="15" customFormat="1" x14ac:dyDescent="0.25">
      <c r="A57" s="15" t="s">
        <v>46</v>
      </c>
      <c r="J57" s="15" t="s">
        <v>137</v>
      </c>
      <c r="R57" s="15" t="s">
        <v>131</v>
      </c>
    </row>
    <row r="58" spans="1:24" s="15" customFormat="1" x14ac:dyDescent="0.25">
      <c r="A58" s="15" t="str">
        <f>+A3</f>
        <v>in millions except per share data</v>
      </c>
      <c r="F58" s="15" t="s">
        <v>150</v>
      </c>
      <c r="G58" s="16" t="s">
        <v>125</v>
      </c>
      <c r="H58" s="16"/>
      <c r="O58" s="16" t="s">
        <v>125</v>
      </c>
      <c r="P58" s="16"/>
      <c r="R58" s="15" t="s">
        <v>127</v>
      </c>
      <c r="S58" s="15" t="s">
        <v>129</v>
      </c>
      <c r="T58" s="15" t="s">
        <v>132</v>
      </c>
      <c r="U58" s="15" t="s">
        <v>133</v>
      </c>
      <c r="V58" s="15" t="s">
        <v>134</v>
      </c>
      <c r="W58" s="15" t="s">
        <v>135</v>
      </c>
      <c r="X58" s="15" t="s">
        <v>136</v>
      </c>
    </row>
    <row r="59" spans="1:24" s="15" customFormat="1" ht="15.75" thickBot="1" x14ac:dyDescent="0.3">
      <c r="A59" s="16" t="str">
        <f>+A4</f>
        <v>Year ended near 12/31:</v>
      </c>
      <c r="B59" s="17">
        <v>2022</v>
      </c>
      <c r="C59" s="17">
        <v>2021</v>
      </c>
      <c r="D59" s="17">
        <v>2020</v>
      </c>
      <c r="E59" s="17">
        <v>2019</v>
      </c>
      <c r="F59" s="17">
        <v>2018</v>
      </c>
      <c r="G59" s="17">
        <v>2017</v>
      </c>
      <c r="H59" s="17" t="s">
        <v>157</v>
      </c>
      <c r="J59" s="17">
        <v>2022</v>
      </c>
      <c r="K59" s="17">
        <v>2021</v>
      </c>
      <c r="L59" s="17">
        <v>2020</v>
      </c>
      <c r="M59" s="17">
        <v>2019</v>
      </c>
      <c r="N59" s="17">
        <v>2018</v>
      </c>
      <c r="O59" s="17">
        <v>2017</v>
      </c>
      <c r="P59" s="22" t="s">
        <v>157</v>
      </c>
      <c r="R59" s="29" t="s">
        <v>128</v>
      </c>
      <c r="S59" s="29" t="s">
        <v>130</v>
      </c>
      <c r="T59" s="17">
        <v>2022</v>
      </c>
      <c r="U59" s="17">
        <v>2021</v>
      </c>
      <c r="V59" s="17">
        <v>2020</v>
      </c>
      <c r="W59" s="17">
        <v>2019</v>
      </c>
      <c r="X59" s="17">
        <v>2018</v>
      </c>
    </row>
    <row r="60" spans="1:24" x14ac:dyDescent="0.25">
      <c r="A60" s="2" t="s">
        <v>47</v>
      </c>
      <c r="B60" s="8">
        <f>'Phase 5 - 7'!B60+B114+B113+B112+B125</f>
        <v>25913.283018867925</v>
      </c>
      <c r="C60" s="8">
        <f>'Phase 5 - 7'!C60+C114+C113+C112+C125</f>
        <v>25998</v>
      </c>
      <c r="D60" s="8">
        <f>'Phase 5 - 7'!D60+D114+D113+D112+D125</f>
        <v>26195</v>
      </c>
      <c r="E60" s="8">
        <f>'Phase 5 - 7'!E60+E114+E113+E112+E125</f>
        <v>25795.263999999999</v>
      </c>
      <c r="F60" s="8">
        <f>'Phase 5 - 7'!F60+F114+F113+F112+F125</f>
        <v>26287</v>
      </c>
      <c r="G60" s="8">
        <f>'Phase 5 - 7'!G60+G114+G113+G112+G125</f>
        <v>26076</v>
      </c>
      <c r="H60" s="8">
        <f>'Phase 5 - 7'!H60+H114+H113</f>
        <v>156033</v>
      </c>
      <c r="J60" s="28">
        <f t="shared" ref="J60:P76" si="39">+B60/B$60</f>
        <v>1</v>
      </c>
      <c r="K60" s="28">
        <f t="shared" si="39"/>
        <v>1</v>
      </c>
      <c r="L60" s="28">
        <f t="shared" si="39"/>
        <v>1</v>
      </c>
      <c r="M60" s="28">
        <f t="shared" si="39"/>
        <v>1</v>
      </c>
      <c r="N60" s="28">
        <f t="shared" si="39"/>
        <v>1</v>
      </c>
      <c r="O60" s="28">
        <f t="shared" si="39"/>
        <v>1</v>
      </c>
      <c r="P60" s="28">
        <f t="shared" si="39"/>
        <v>1</v>
      </c>
      <c r="R60" s="28">
        <f>RATE(5,0,-G60,B60)</f>
        <v>-1.2511478514972544E-3</v>
      </c>
      <c r="S60" s="28">
        <f t="shared" ref="S60:S199" si="40">AVERAGE(T60:X60)</f>
        <v>-1.1794656423519925E-3</v>
      </c>
      <c r="T60" s="28">
        <f t="shared" ref="T60:X63" si="41">(+B60-C60)/C60</f>
        <v>-3.2585960893943603E-3</v>
      </c>
      <c r="U60" s="28">
        <f t="shared" si="41"/>
        <v>-7.5205191830502007E-3</v>
      </c>
      <c r="V60" s="28">
        <f t="shared" si="41"/>
        <v>1.5496488037494045E-2</v>
      </c>
      <c r="W60" s="28">
        <f t="shared" si="41"/>
        <v>-1.8706432837524281E-2</v>
      </c>
      <c r="X60" s="28">
        <f t="shared" si="41"/>
        <v>8.0917318607148341E-3</v>
      </c>
    </row>
    <row r="61" spans="1:24" x14ac:dyDescent="0.25">
      <c r="A61" s="5" t="s">
        <v>48</v>
      </c>
      <c r="B61" s="101">
        <f>'Phase 5 - 7'!B61-B115-B111-B122</f>
        <v>17741.083301886792</v>
      </c>
      <c r="C61" s="101">
        <f>'Phase 5 - 7'!C61-C115-C111-C122</f>
        <v>17360</v>
      </c>
      <c r="D61" s="101">
        <f>'Phase 5 - 7'!D61-D115-D111-D122</f>
        <v>17008</v>
      </c>
      <c r="E61" s="101">
        <f>'Phase 5 - 7'!E61-E115-E111-E122</f>
        <v>16851</v>
      </c>
      <c r="F61" s="101">
        <f>'Phase 5 - 7'!F61-F115-F111-F122</f>
        <v>17362</v>
      </c>
      <c r="G61" s="101">
        <f>'Phase 5 - 7'!G61-G115-G111-G122</f>
        <v>16921</v>
      </c>
      <c r="H61" s="112">
        <f>'Phase 5 - 7'!H61-H115</f>
        <v>103951</v>
      </c>
      <c r="J61" s="30">
        <f t="shared" si="39"/>
        <v>0.68463279195342375</v>
      </c>
      <c r="K61" s="30">
        <f t="shared" si="39"/>
        <v>0.66774367259019929</v>
      </c>
      <c r="L61" s="30">
        <f t="shared" si="39"/>
        <v>0.64928421454476049</v>
      </c>
      <c r="M61" s="30">
        <f t="shared" si="39"/>
        <v>0.65325945103721372</v>
      </c>
      <c r="N61" s="30">
        <f t="shared" si="39"/>
        <v>0.66047856354852208</v>
      </c>
      <c r="O61" s="30">
        <f t="shared" si="39"/>
        <v>0.64891087590121188</v>
      </c>
      <c r="P61" s="30">
        <f t="shared" si="39"/>
        <v>0.66621163471829681</v>
      </c>
      <c r="Q61" s="34"/>
      <c r="R61" s="30">
        <f>RATE(5,0,-G61,B61)</f>
        <v>9.5104569744575811E-3</v>
      </c>
      <c r="S61" s="30">
        <f t="shared" si="40"/>
        <v>9.7190193929975986E-3</v>
      </c>
      <c r="T61" s="30">
        <f t="shared" si="41"/>
        <v>2.1951803104077908E-2</v>
      </c>
      <c r="U61" s="30">
        <f t="shared" si="41"/>
        <v>2.0696142991533398E-2</v>
      </c>
      <c r="V61" s="30">
        <f t="shared" si="41"/>
        <v>9.316954483413447E-3</v>
      </c>
      <c r="W61" s="30">
        <f t="shared" si="41"/>
        <v>-2.9432093076834465E-2</v>
      </c>
      <c r="X61" s="30">
        <f t="shared" si="41"/>
        <v>2.6062289462797705E-2</v>
      </c>
    </row>
    <row r="62" spans="1:24" x14ac:dyDescent="0.25">
      <c r="A62" s="2" t="s">
        <v>49</v>
      </c>
      <c r="B62" s="111">
        <f>B60-B61</f>
        <v>8172.199716981133</v>
      </c>
      <c r="C62" s="111">
        <f t="shared" ref="C62:G62" si="42">C60-C61</f>
        <v>8638</v>
      </c>
      <c r="D62" s="111">
        <f t="shared" si="42"/>
        <v>9187</v>
      </c>
      <c r="E62" s="111">
        <f t="shared" si="42"/>
        <v>8944.2639999999992</v>
      </c>
      <c r="F62" s="111">
        <f t="shared" si="42"/>
        <v>8925</v>
      </c>
      <c r="G62" s="111">
        <f t="shared" si="42"/>
        <v>9155</v>
      </c>
      <c r="H62" s="111">
        <f>H60-H61</f>
        <v>52082</v>
      </c>
      <c r="J62" s="28">
        <f t="shared" si="39"/>
        <v>0.31536720804657625</v>
      </c>
      <c r="K62" s="28">
        <f t="shared" si="39"/>
        <v>0.33225632740980077</v>
      </c>
      <c r="L62" s="28">
        <f t="shared" si="39"/>
        <v>0.35071578545523957</v>
      </c>
      <c r="M62" s="28">
        <f t="shared" si="39"/>
        <v>0.34674054896278633</v>
      </c>
      <c r="N62" s="28">
        <f t="shared" si="39"/>
        <v>0.33952143645147792</v>
      </c>
      <c r="O62" s="28">
        <f t="shared" si="39"/>
        <v>0.35108912409878817</v>
      </c>
      <c r="P62" s="28">
        <f t="shared" si="39"/>
        <v>0.33378836528170325</v>
      </c>
      <c r="Q62" s="34"/>
      <c r="R62" s="28">
        <f>RATE(5,0,-G62,B62)</f>
        <v>-2.245642729411185E-2</v>
      </c>
      <c r="S62" s="28">
        <f t="shared" si="40"/>
        <v>-2.1901724998594985E-2</v>
      </c>
      <c r="T62" s="28">
        <f t="shared" si="41"/>
        <v>-5.3924552329111725E-2</v>
      </c>
      <c r="U62" s="28">
        <f t="shared" si="41"/>
        <v>-5.975835419614673E-2</v>
      </c>
      <c r="V62" s="28">
        <f t="shared" si="41"/>
        <v>2.713873382986021E-2</v>
      </c>
      <c r="W62" s="28">
        <f t="shared" si="41"/>
        <v>2.1584313725489315E-3</v>
      </c>
      <c r="X62" s="28">
        <f t="shared" si="41"/>
        <v>-2.5122883670125613E-2</v>
      </c>
    </row>
    <row r="63" spans="1:24" x14ac:dyDescent="0.25">
      <c r="A63" s="5" t="s">
        <v>170</v>
      </c>
      <c r="B63" s="111">
        <f>'Phase 5 - 7'!B63-B119-B120-B121</f>
        <v>2219</v>
      </c>
      <c r="C63" s="111">
        <f>'Phase 5 - 7'!C63-C119-C120-C121</f>
        <v>2321</v>
      </c>
      <c r="D63" s="111">
        <f>'Phase 5 - 7'!D63-D119-D120-D121</f>
        <v>2429</v>
      </c>
      <c r="E63" s="111">
        <f>'Phase 5 - 7'!E63-E119-E120-E121</f>
        <v>1858</v>
      </c>
      <c r="F63" s="111">
        <f>'Phase 5 - 7'!F63-F119-F120-F121</f>
        <v>1477</v>
      </c>
      <c r="G63" s="111">
        <f>'Phase 5 - 7'!G63-G119-G120-G121</f>
        <v>1285</v>
      </c>
      <c r="H63" s="111">
        <f>'Phase 5 - 7'!H63-H119-H120-H121-H122-H123-H124</f>
        <v>12999</v>
      </c>
      <c r="J63" s="28">
        <f t="shared" si="39"/>
        <v>8.5631758754161194E-2</v>
      </c>
      <c r="K63" s="28">
        <f t="shared" si="39"/>
        <v>8.9276098161397033E-2</v>
      </c>
      <c r="L63" s="28">
        <f t="shared" si="39"/>
        <v>9.2727619774766179E-2</v>
      </c>
      <c r="M63" s="28">
        <f t="shared" si="39"/>
        <v>7.202872589324924E-2</v>
      </c>
      <c r="N63" s="28">
        <f t="shared" si="39"/>
        <v>5.6187469091185757E-2</v>
      </c>
      <c r="O63" s="28">
        <f t="shared" si="39"/>
        <v>4.9279030526154316E-2</v>
      </c>
      <c r="P63" s="28">
        <f t="shared" si="39"/>
        <v>8.3309299955778585E-2</v>
      </c>
      <c r="Q63" s="34"/>
      <c r="R63" s="28">
        <f>RATE(5,0,-G63,B63)</f>
        <v>0.11545186747055168</v>
      </c>
      <c r="S63" s="28">
        <f t="shared" si="40"/>
        <v>0.12525640784382122</v>
      </c>
      <c r="T63" s="28">
        <f t="shared" si="41"/>
        <v>-4.3946574752261956E-2</v>
      </c>
      <c r="U63" s="28">
        <f t="shared" si="41"/>
        <v>-4.4462741869081925E-2</v>
      </c>
      <c r="V63" s="28">
        <f t="shared" si="41"/>
        <v>0.30731969860064584</v>
      </c>
      <c r="W63" s="28">
        <f t="shared" si="41"/>
        <v>0.25795531482735273</v>
      </c>
      <c r="X63" s="28">
        <f t="shared" si="41"/>
        <v>0.14941634241245136</v>
      </c>
    </row>
    <row r="64" spans="1:24" x14ac:dyDescent="0.25">
      <c r="A64" s="5" t="s">
        <v>171</v>
      </c>
      <c r="B64" s="111">
        <f>'Phase 5 - 7'!B64</f>
        <v>945</v>
      </c>
      <c r="C64" s="111">
        <f>'Phase 5 - 7'!C64</f>
        <v>1039</v>
      </c>
      <c r="D64" s="111">
        <f>'Phase 5 - 7'!D64</f>
        <v>1070</v>
      </c>
      <c r="E64" s="111">
        <f>'Phase 5 - 7'!E64</f>
        <v>1100</v>
      </c>
      <c r="F64" s="111">
        <f>'Phase 5 - 7'!F64</f>
        <v>1140</v>
      </c>
      <c r="G64" s="111">
        <f>'Phase 5 - 7'!G64</f>
        <v>1115</v>
      </c>
      <c r="H64" s="111">
        <f>'Phase 5 - 7'!H64</f>
        <v>6409</v>
      </c>
      <c r="J64" s="28">
        <f t="shared" si="39"/>
        <v>3.6467783696567072E-2</v>
      </c>
      <c r="K64" s="28">
        <f t="shared" si="39"/>
        <v>3.99646126625125E-2</v>
      </c>
      <c r="L64" s="28">
        <f t="shared" si="39"/>
        <v>4.0847489979003629E-2</v>
      </c>
      <c r="M64" s="28">
        <f t="shared" si="39"/>
        <v>4.2643486804399444E-2</v>
      </c>
      <c r="N64" s="28">
        <f t="shared" si="39"/>
        <v>4.3367443983718189E-2</v>
      </c>
      <c r="O64" s="28">
        <f t="shared" si="39"/>
        <v>4.2759625709464642E-2</v>
      </c>
      <c r="P64" s="28">
        <f t="shared" si="39"/>
        <v>4.1074644466234704E-2</v>
      </c>
      <c r="Q64" s="34"/>
      <c r="R64" s="28"/>
      <c r="S64" s="28"/>
      <c r="T64" s="28"/>
      <c r="U64" s="28"/>
      <c r="V64" s="28"/>
      <c r="W64" s="28"/>
      <c r="X64" s="28"/>
    </row>
    <row r="65" spans="1:24" x14ac:dyDescent="0.25">
      <c r="A65" s="5" t="s">
        <v>169</v>
      </c>
      <c r="B65" s="111">
        <f>'Phase 5 - 7'!B65</f>
        <v>127</v>
      </c>
      <c r="C65" s="111">
        <f>'Phase 5 - 7'!C65</f>
        <v>140</v>
      </c>
      <c r="D65" s="111">
        <f>'Phase 5 - 7'!D65</f>
        <v>119</v>
      </c>
      <c r="E65" s="111">
        <f>'Phase 5 - 7'!E65</f>
        <v>112</v>
      </c>
      <c r="F65" s="111">
        <f>'Phase 5 - 7'!F65</f>
        <v>109</v>
      </c>
      <c r="G65" s="111">
        <f>'Phase 5 - 7'!G65</f>
        <v>93</v>
      </c>
      <c r="H65" s="111">
        <f>'Phase 5 - 7'!H65</f>
        <v>700</v>
      </c>
      <c r="J65" s="28">
        <f t="shared" si="39"/>
        <v>4.9009614068402305E-3</v>
      </c>
      <c r="K65" s="28">
        <f t="shared" si="39"/>
        <v>5.3850296176628969E-3</v>
      </c>
      <c r="L65" s="28">
        <f t="shared" si="39"/>
        <v>4.5428516892536746E-3</v>
      </c>
      <c r="M65" s="28">
        <f t="shared" si="39"/>
        <v>4.3418822928115797E-3</v>
      </c>
      <c r="N65" s="28">
        <f t="shared" si="39"/>
        <v>4.146536310723932E-3</v>
      </c>
      <c r="O65" s="28">
        <f t="shared" si="39"/>
        <v>3.5664979291302346E-3</v>
      </c>
      <c r="P65" s="28">
        <f t="shared" si="39"/>
        <v>4.4862304768862995E-3</v>
      </c>
      <c r="Q65" s="34"/>
      <c r="R65" s="28"/>
      <c r="S65" s="28"/>
      <c r="T65" s="28"/>
      <c r="U65" s="28"/>
      <c r="V65" s="28"/>
      <c r="W65" s="28"/>
      <c r="X65" s="28"/>
    </row>
    <row r="66" spans="1:24" x14ac:dyDescent="0.25">
      <c r="A66" s="5" t="s">
        <v>51</v>
      </c>
      <c r="B66" s="111">
        <f>'Phase 5 - 7'!B66-B118</f>
        <v>0</v>
      </c>
      <c r="C66" s="111">
        <f>'Phase 5 - 7'!C66-C118</f>
        <v>0</v>
      </c>
      <c r="D66" s="111">
        <f>'Phase 5 - 7'!D66-D118</f>
        <v>0</v>
      </c>
      <c r="E66" s="111">
        <f>'Phase 5 - 7'!E66-E118</f>
        <v>0</v>
      </c>
      <c r="F66" s="111">
        <f>'Phase 5 - 7'!F66-F118</f>
        <v>0</v>
      </c>
      <c r="G66" s="111">
        <f>'Phase 5 - 7'!G66-G118</f>
        <v>0</v>
      </c>
      <c r="H66" s="111">
        <v>0</v>
      </c>
      <c r="J66" s="28">
        <f t="shared" si="39"/>
        <v>0</v>
      </c>
      <c r="K66" s="28">
        <f t="shared" si="39"/>
        <v>0</v>
      </c>
      <c r="L66" s="28">
        <f t="shared" si="39"/>
        <v>0</v>
      </c>
      <c r="M66" s="28">
        <f t="shared" si="39"/>
        <v>0</v>
      </c>
      <c r="N66" s="28">
        <f t="shared" si="39"/>
        <v>0</v>
      </c>
      <c r="O66" s="28">
        <f t="shared" si="39"/>
        <v>0</v>
      </c>
      <c r="P66" s="28">
        <f t="shared" si="39"/>
        <v>0</v>
      </c>
      <c r="Q66" s="34"/>
      <c r="R66" s="28" t="e">
        <f t="shared" ref="R66:R76" si="43">RATE(5,0,-G66,B66)</f>
        <v>#NUM!</v>
      </c>
      <c r="S66" s="28" t="e">
        <f t="shared" si="40"/>
        <v>#DIV/0!</v>
      </c>
      <c r="T66" s="28" t="e">
        <f t="shared" ref="T66:X76" si="44">(+B66-C66)/C66</f>
        <v>#DIV/0!</v>
      </c>
      <c r="U66" s="28" t="e">
        <f t="shared" si="44"/>
        <v>#DIV/0!</v>
      </c>
      <c r="V66" s="28" t="e">
        <f t="shared" si="44"/>
        <v>#DIV/0!</v>
      </c>
      <c r="W66" s="28" t="e">
        <f t="shared" si="44"/>
        <v>#DIV/0!</v>
      </c>
      <c r="X66" s="28" t="e">
        <f t="shared" si="44"/>
        <v>#DIV/0!</v>
      </c>
    </row>
    <row r="67" spans="1:24" x14ac:dyDescent="0.25">
      <c r="A67" s="5" t="s">
        <v>52</v>
      </c>
      <c r="B67" s="112">
        <f>'Phase 5 - 7'!B67-B117</f>
        <v>0</v>
      </c>
      <c r="C67" s="112">
        <f>'Phase 5 - 7'!C67-C117</f>
        <v>0</v>
      </c>
      <c r="D67" s="112">
        <f>'Phase 5 - 7'!D67-D117</f>
        <v>0</v>
      </c>
      <c r="E67" s="112">
        <f>'Phase 5 - 7'!E67-E117</f>
        <v>0</v>
      </c>
      <c r="F67" s="112">
        <f>'Phase 5 - 7'!F67-F117</f>
        <v>0</v>
      </c>
      <c r="G67" s="112">
        <f>'Phase 5 - 7'!G67-G117</f>
        <v>0</v>
      </c>
      <c r="H67" s="112">
        <v>0</v>
      </c>
      <c r="J67" s="30">
        <f t="shared" si="39"/>
        <v>0</v>
      </c>
      <c r="K67" s="30">
        <f t="shared" si="39"/>
        <v>0</v>
      </c>
      <c r="L67" s="30">
        <f t="shared" si="39"/>
        <v>0</v>
      </c>
      <c r="M67" s="30">
        <f t="shared" si="39"/>
        <v>0</v>
      </c>
      <c r="N67" s="30">
        <f t="shared" si="39"/>
        <v>0</v>
      </c>
      <c r="O67" s="30">
        <f t="shared" si="39"/>
        <v>0</v>
      </c>
      <c r="P67" s="30">
        <f t="shared" si="39"/>
        <v>0</v>
      </c>
      <c r="Q67" s="34"/>
      <c r="R67" s="30" t="e">
        <f t="shared" si="43"/>
        <v>#NUM!</v>
      </c>
      <c r="S67" s="30" t="e">
        <f t="shared" si="40"/>
        <v>#DIV/0!</v>
      </c>
      <c r="T67" s="30" t="e">
        <f t="shared" si="44"/>
        <v>#DIV/0!</v>
      </c>
      <c r="U67" s="30" t="e">
        <f t="shared" si="44"/>
        <v>#DIV/0!</v>
      </c>
      <c r="V67" s="30" t="e">
        <f t="shared" si="44"/>
        <v>#DIV/0!</v>
      </c>
      <c r="W67" s="30" t="e">
        <f t="shared" si="44"/>
        <v>#DIV/0!</v>
      </c>
      <c r="X67" s="30" t="e">
        <f t="shared" si="44"/>
        <v>#DIV/0!</v>
      </c>
    </row>
    <row r="68" spans="1:24" x14ac:dyDescent="0.25">
      <c r="A68" s="12" t="s">
        <v>53</v>
      </c>
      <c r="B68" s="112">
        <f>SUM(B63:B67)</f>
        <v>3291</v>
      </c>
      <c r="C68" s="112">
        <f>SUM(C63:C67)</f>
        <v>3500</v>
      </c>
      <c r="D68" s="112">
        <f>SUM(D63:D67)</f>
        <v>3618</v>
      </c>
      <c r="E68" s="112">
        <f t="shared" ref="E68:H68" si="45">SUM(E63:E67)</f>
        <v>3070</v>
      </c>
      <c r="F68" s="112">
        <f t="shared" si="45"/>
        <v>2726</v>
      </c>
      <c r="G68" s="112">
        <f t="shared" si="45"/>
        <v>2493</v>
      </c>
      <c r="H68" s="112">
        <f t="shared" si="45"/>
        <v>20108</v>
      </c>
      <c r="J68" s="30">
        <f t="shared" si="39"/>
        <v>0.1270005038575685</v>
      </c>
      <c r="K68" s="30">
        <f t="shared" si="39"/>
        <v>0.13462574044157244</v>
      </c>
      <c r="L68" s="30">
        <f t="shared" si="39"/>
        <v>0.13811796144302349</v>
      </c>
      <c r="M68" s="30">
        <f t="shared" si="39"/>
        <v>0.11901409499046027</v>
      </c>
      <c r="N68" s="30">
        <f t="shared" si="39"/>
        <v>0.10370144938562788</v>
      </c>
      <c r="O68" s="30">
        <f t="shared" si="39"/>
        <v>9.5605154164749198E-2</v>
      </c>
      <c r="P68" s="30">
        <f t="shared" si="39"/>
        <v>0.1288701748988996</v>
      </c>
      <c r="Q68" s="34"/>
      <c r="R68" s="30">
        <f t="shared" si="43"/>
        <v>5.7112287052829606E-2</v>
      </c>
      <c r="S68" s="30">
        <f t="shared" si="40"/>
        <v>6.1165310894160531E-2</v>
      </c>
      <c r="T68" s="30">
        <f t="shared" si="44"/>
        <v>-5.9714285714285713E-2</v>
      </c>
      <c r="U68" s="30">
        <f t="shared" si="44"/>
        <v>-3.2614704256495299E-2</v>
      </c>
      <c r="V68" s="30">
        <f t="shared" si="44"/>
        <v>0.17850162866449512</v>
      </c>
      <c r="W68" s="30">
        <f t="shared" si="44"/>
        <v>0.12619222303741745</v>
      </c>
      <c r="X68" s="30">
        <f t="shared" si="44"/>
        <v>9.3461692739671073E-2</v>
      </c>
    </row>
    <row r="69" spans="1:24" x14ac:dyDescent="0.25">
      <c r="A69" s="2" t="s">
        <v>54</v>
      </c>
      <c r="B69" s="111">
        <f>B62-B68</f>
        <v>4881.199716981133</v>
      </c>
      <c r="C69" s="111">
        <f t="shared" ref="C69:H69" si="46">C62-C68</f>
        <v>5138</v>
      </c>
      <c r="D69" s="111">
        <f t="shared" si="46"/>
        <v>5569</v>
      </c>
      <c r="E69" s="111">
        <f t="shared" si="46"/>
        <v>5874.2639999999992</v>
      </c>
      <c r="F69" s="111">
        <f t="shared" si="46"/>
        <v>6199</v>
      </c>
      <c r="G69" s="111">
        <f t="shared" si="46"/>
        <v>6662</v>
      </c>
      <c r="H69" s="111">
        <f t="shared" si="46"/>
        <v>31974</v>
      </c>
      <c r="J69" s="28">
        <f t="shared" si="39"/>
        <v>0.18836670418900778</v>
      </c>
      <c r="K69" s="28">
        <f t="shared" si="39"/>
        <v>0.19763058696822833</v>
      </c>
      <c r="L69" s="28">
        <f t="shared" si="39"/>
        <v>0.21259782401221608</v>
      </c>
      <c r="M69" s="28">
        <f t="shared" si="39"/>
        <v>0.22772645397232605</v>
      </c>
      <c r="N69" s="28">
        <f t="shared" si="39"/>
        <v>0.23581998706585003</v>
      </c>
      <c r="O69" s="28">
        <f t="shared" si="39"/>
        <v>0.25548396993403899</v>
      </c>
      <c r="P69" s="28">
        <f t="shared" si="39"/>
        <v>0.20491819038280365</v>
      </c>
      <c r="Q69" s="34"/>
      <c r="R69" s="28">
        <f t="shared" si="43"/>
        <v>-6.0310466038533621E-2</v>
      </c>
      <c r="S69" s="28">
        <f t="shared" si="40"/>
        <v>-6.0244702866199915E-2</v>
      </c>
      <c r="T69" s="28">
        <f t="shared" si="44"/>
        <v>-4.9980592257467309E-2</v>
      </c>
      <c r="U69" s="28">
        <f t="shared" si="44"/>
        <v>-7.7392709642664745E-2</v>
      </c>
      <c r="V69" s="28">
        <f t="shared" si="44"/>
        <v>-5.1966339953396591E-2</v>
      </c>
      <c r="W69" s="28">
        <f t="shared" si="44"/>
        <v>-5.2385223423132891E-2</v>
      </c>
      <c r="X69" s="28">
        <f t="shared" si="44"/>
        <v>-6.949864905433803E-2</v>
      </c>
    </row>
    <row r="70" spans="1:24" x14ac:dyDescent="0.25">
      <c r="A70" s="5" t="s">
        <v>55</v>
      </c>
      <c r="B70" s="111">
        <f>'Phase 5 - 7'!B70-B126</f>
        <v>921</v>
      </c>
      <c r="C70" s="111">
        <f>'Phase 5 - 7'!C70-C126</f>
        <v>1130</v>
      </c>
      <c r="D70" s="111">
        <f>'Phase 5 - 7'!D70-D126</f>
        <v>1394</v>
      </c>
      <c r="E70" s="111">
        <f>'Phase 5 - 7'!E70-E126</f>
        <v>1361</v>
      </c>
      <c r="F70" s="111">
        <f>'Phase 5 - 7'!F70-F126</f>
        <v>1284</v>
      </c>
      <c r="G70" s="111">
        <f>'Phase 5 - 7'!G70-G126</f>
        <v>1234</v>
      </c>
      <c r="H70" s="111">
        <f>'Phase 5 - 7'!H70</f>
        <v>8241</v>
      </c>
      <c r="J70" s="28">
        <f t="shared" si="39"/>
        <v>3.5541617761416157E-2</v>
      </c>
      <c r="K70" s="28">
        <f t="shared" si="39"/>
        <v>4.3464881913993385E-2</v>
      </c>
      <c r="L70" s="28">
        <f t="shared" si="39"/>
        <v>5.3216262645543043E-2</v>
      </c>
      <c r="M70" s="28">
        <f t="shared" si="39"/>
        <v>5.2761623218897859E-2</v>
      </c>
      <c r="N70" s="28">
        <f t="shared" si="39"/>
        <v>4.8845436907977324E-2</v>
      </c>
      <c r="O70" s="28">
        <f t="shared" si="39"/>
        <v>4.7323209081147413E-2</v>
      </c>
      <c r="P70" s="28">
        <f t="shared" si="39"/>
        <v>5.281575051431428E-2</v>
      </c>
      <c r="Q70" s="34"/>
      <c r="R70" s="28">
        <f t="shared" si="43"/>
        <v>-5.6832354866180976E-2</v>
      </c>
      <c r="S70" s="28">
        <f t="shared" si="40"/>
        <v>-4.9920891858361204E-2</v>
      </c>
      <c r="T70" s="28">
        <f t="shared" si="44"/>
        <v>-0.18495575221238938</v>
      </c>
      <c r="U70" s="28">
        <f t="shared" si="44"/>
        <v>-0.18938307030129126</v>
      </c>
      <c r="V70" s="28">
        <f t="shared" si="44"/>
        <v>2.4246877296105803E-2</v>
      </c>
      <c r="W70" s="28">
        <f t="shared" si="44"/>
        <v>5.9968847352024922E-2</v>
      </c>
      <c r="X70" s="28">
        <f t="shared" si="44"/>
        <v>4.0518638573743923E-2</v>
      </c>
    </row>
    <row r="71" spans="1:24" x14ac:dyDescent="0.25">
      <c r="A71" s="5" t="s">
        <v>56</v>
      </c>
      <c r="B71" s="112">
        <f>'Phase 5 - 7'!B71-B127-B116-B123-B124</f>
        <v>-526.65271608030571</v>
      </c>
      <c r="C71" s="112">
        <f>'Phase 5 - 7'!C71-C127-C116-C123-C124</f>
        <v>-408.17224965691219</v>
      </c>
      <c r="D71" s="112">
        <f>'Phase 5 - 7'!D71-D127-D116-D123-D124</f>
        <v>-323.94133926988121</v>
      </c>
      <c r="E71" s="112">
        <f>'Phase 5 - 7'!E71-E127-E116-E123-E124</f>
        <v>-298.99686197990536</v>
      </c>
      <c r="F71" s="112">
        <f>'Phase 5 - 7'!F71-F127-F116-F123-F124</f>
        <v>-404.96815352076533</v>
      </c>
      <c r="G71" s="112">
        <f>'Phase 5 - 7'!G71-G127-G116-G123-G124</f>
        <v>-270.59287236209366</v>
      </c>
      <c r="H71" s="112">
        <f>'Phase 5 - 7'!H71+H127</f>
        <v>-2591</v>
      </c>
      <c r="J71" s="30">
        <f>-B71/B$60</f>
        <v>2.0323658553678452E-2</v>
      </c>
      <c r="K71" s="30">
        <f t="shared" ref="K71:P71" si="47">-C71/C$60</f>
        <v>1.5700140382218331E-2</v>
      </c>
      <c r="L71" s="30">
        <f t="shared" si="47"/>
        <v>1.2366533280010736E-2</v>
      </c>
      <c r="M71" s="30">
        <f t="shared" si="47"/>
        <v>1.1591153398542669E-2</v>
      </c>
      <c r="N71" s="30">
        <f t="shared" si="47"/>
        <v>1.5405643607896121E-2</v>
      </c>
      <c r="O71" s="30">
        <f t="shared" si="47"/>
        <v>1.0377085149643106E-2</v>
      </c>
      <c r="P71" s="30">
        <f t="shared" si="47"/>
        <v>1.6605461665160574E-2</v>
      </c>
      <c r="Q71" s="128">
        <f>HARMEAN(J71:P71)</f>
        <v>1.3957231232220233E-2</v>
      </c>
      <c r="R71" s="30">
        <f t="shared" si="43"/>
        <v>0.14246155651608461</v>
      </c>
      <c r="S71" s="30">
        <f t="shared" si="40"/>
        <v>0.17372694002437086</v>
      </c>
      <c r="T71" s="30">
        <f t="shared" si="44"/>
        <v>0.29027075339634645</v>
      </c>
      <c r="U71" s="30">
        <f t="shared" si="44"/>
        <v>0.26001902250844472</v>
      </c>
      <c r="V71" s="30">
        <f t="shared" si="44"/>
        <v>8.3427221024320611E-2</v>
      </c>
      <c r="W71" s="30">
        <f t="shared" si="44"/>
        <v>-0.26167808658422353</v>
      </c>
      <c r="X71" s="30">
        <f t="shared" si="44"/>
        <v>0.49659578977696606</v>
      </c>
    </row>
    <row r="72" spans="1:24" x14ac:dyDescent="0.25">
      <c r="A72" s="2" t="s">
        <v>57</v>
      </c>
      <c r="B72" s="111">
        <f>B69-B70-B71</f>
        <v>4486.8524330614382</v>
      </c>
      <c r="C72" s="111">
        <f t="shared" ref="C72:G72" si="48">C69-C70-C71</f>
        <v>4416.1722496569118</v>
      </c>
      <c r="D72" s="111">
        <f t="shared" si="48"/>
        <v>4498.9413392698816</v>
      </c>
      <c r="E72" s="111">
        <f t="shared" si="48"/>
        <v>4812.2608619799048</v>
      </c>
      <c r="F72" s="111">
        <f t="shared" si="48"/>
        <v>5319.9681535207656</v>
      </c>
      <c r="G72" s="111">
        <f t="shared" si="48"/>
        <v>5698.5928723620937</v>
      </c>
      <c r="H72" s="111">
        <f>H69-H70-H71</f>
        <v>26324</v>
      </c>
      <c r="J72" s="28">
        <f t="shared" si="39"/>
        <v>0.17314874498127006</v>
      </c>
      <c r="K72" s="28">
        <f t="shared" si="39"/>
        <v>0.16986584543645325</v>
      </c>
      <c r="L72" s="28">
        <f t="shared" si="39"/>
        <v>0.17174809464668378</v>
      </c>
      <c r="M72" s="28">
        <f t="shared" si="39"/>
        <v>0.18655598415197089</v>
      </c>
      <c r="N72" s="28">
        <f t="shared" si="39"/>
        <v>0.20238019376576885</v>
      </c>
      <c r="O72" s="28">
        <f t="shared" si="39"/>
        <v>0.21853784600253465</v>
      </c>
      <c r="P72" s="28">
        <f t="shared" si="39"/>
        <v>0.16870790153364992</v>
      </c>
      <c r="Q72" s="34"/>
      <c r="R72" s="28">
        <f t="shared" si="43"/>
        <v>-4.6688501923970754E-2</v>
      </c>
      <c r="S72" s="28">
        <f t="shared" si="40"/>
        <v>-4.5875452383149627E-2</v>
      </c>
      <c r="T72" s="28">
        <f t="shared" si="44"/>
        <v>1.6004852032213517E-2</v>
      </c>
      <c r="U72" s="28">
        <f t="shared" si="44"/>
        <v>-1.8397459173451255E-2</v>
      </c>
      <c r="V72" s="28">
        <f t="shared" si="44"/>
        <v>-6.5108590680413442E-2</v>
      </c>
      <c r="W72" s="28">
        <f t="shared" si="44"/>
        <v>-9.543427270421892E-2</v>
      </c>
      <c r="X72" s="28">
        <f t="shared" si="44"/>
        <v>-6.6441791389878033E-2</v>
      </c>
    </row>
    <row r="73" spans="1:24" x14ac:dyDescent="0.25">
      <c r="A73" s="5" t="s">
        <v>58</v>
      </c>
      <c r="B73" s="112">
        <f>B72*0.22</f>
        <v>987.10753527351642</v>
      </c>
      <c r="C73" s="112">
        <f t="shared" ref="C73:G73" si="49">C72*0.22</f>
        <v>971.55789492452061</v>
      </c>
      <c r="D73" s="112">
        <f t="shared" si="49"/>
        <v>989.76709463937391</v>
      </c>
      <c r="E73" s="112">
        <f t="shared" si="49"/>
        <v>1058.6973896355792</v>
      </c>
      <c r="F73" s="112">
        <f t="shared" si="49"/>
        <v>1170.3929937745684</v>
      </c>
      <c r="G73" s="112">
        <f t="shared" si="49"/>
        <v>1253.6904319196606</v>
      </c>
      <c r="H73" s="112">
        <f>H72*0.22</f>
        <v>5791.28</v>
      </c>
      <c r="J73" s="30">
        <f t="shared" si="39"/>
        <v>3.8092723895879414E-2</v>
      </c>
      <c r="K73" s="30">
        <f t="shared" si="39"/>
        <v>3.737048599601972E-2</v>
      </c>
      <c r="L73" s="30">
        <f t="shared" si="39"/>
        <v>3.778458082227043E-2</v>
      </c>
      <c r="M73" s="30">
        <f t="shared" si="39"/>
        <v>4.1042316513433597E-2</v>
      </c>
      <c r="N73" s="30">
        <f t="shared" si="39"/>
        <v>4.452364262846914E-2</v>
      </c>
      <c r="O73" s="30">
        <f t="shared" si="39"/>
        <v>4.8078326120557624E-2</v>
      </c>
      <c r="P73" s="30">
        <f t="shared" si="39"/>
        <v>3.7115738337402983E-2</v>
      </c>
      <c r="Q73" s="34"/>
      <c r="R73" s="30">
        <f t="shared" si="43"/>
        <v>-4.6688501923970761E-2</v>
      </c>
      <c r="S73" s="30">
        <f t="shared" si="40"/>
        <v>-4.587545238314962E-2</v>
      </c>
      <c r="T73" s="30">
        <f t="shared" si="44"/>
        <v>1.6004852032213527E-2</v>
      </c>
      <c r="U73" s="30">
        <f t="shared" si="44"/>
        <v>-1.8397459173451206E-2</v>
      </c>
      <c r="V73" s="30">
        <f t="shared" si="44"/>
        <v>-6.5108590680413581E-2</v>
      </c>
      <c r="W73" s="30">
        <f t="shared" si="44"/>
        <v>-9.5434272704218795E-2</v>
      </c>
      <c r="X73" s="30">
        <f t="shared" si="44"/>
        <v>-6.6441791389878047E-2</v>
      </c>
    </row>
    <row r="74" spans="1:24" x14ac:dyDescent="0.25">
      <c r="A74" s="2" t="s">
        <v>61</v>
      </c>
      <c r="B74" s="111">
        <f>B72-B73</f>
        <v>3499.7448977879217</v>
      </c>
      <c r="C74" s="111">
        <f t="shared" ref="C74:H74" si="50">C72-C73</f>
        <v>3444.6143547323913</v>
      </c>
      <c r="D74" s="111">
        <f t="shared" si="50"/>
        <v>3509.1742446305079</v>
      </c>
      <c r="E74" s="111">
        <f t="shared" si="50"/>
        <v>3753.5634723443254</v>
      </c>
      <c r="F74" s="111">
        <f t="shared" si="50"/>
        <v>4149.5751597461967</v>
      </c>
      <c r="G74" s="111">
        <f t="shared" si="50"/>
        <v>4444.9024404424326</v>
      </c>
      <c r="H74" s="111">
        <f t="shared" si="50"/>
        <v>20532.72</v>
      </c>
      <c r="J74" s="28">
        <f t="shared" si="39"/>
        <v>0.13505602108539064</v>
      </c>
      <c r="K74" s="28">
        <f t="shared" si="39"/>
        <v>0.13249535944043356</v>
      </c>
      <c r="L74" s="28">
        <f t="shared" si="39"/>
        <v>0.13396351382441335</v>
      </c>
      <c r="M74" s="28">
        <f t="shared" si="39"/>
        <v>0.14551366763853726</v>
      </c>
      <c r="N74" s="28">
        <f t="shared" si="39"/>
        <v>0.15785655113729968</v>
      </c>
      <c r="O74" s="28">
        <f t="shared" si="39"/>
        <v>0.17045951988197702</v>
      </c>
      <c r="P74" s="28">
        <f t="shared" si="39"/>
        <v>0.13159216319624695</v>
      </c>
      <c r="Q74" s="34"/>
      <c r="R74" s="28">
        <f t="shared" si="43"/>
        <v>-4.6688501923970699E-2</v>
      </c>
      <c r="S74" s="28">
        <f t="shared" si="40"/>
        <v>-4.587545238314962E-2</v>
      </c>
      <c r="T74" s="28">
        <f t="shared" si="44"/>
        <v>1.6004852032213447E-2</v>
      </c>
      <c r="U74" s="28">
        <f t="shared" si="44"/>
        <v>-1.8397459173451303E-2</v>
      </c>
      <c r="V74" s="28">
        <f t="shared" si="44"/>
        <v>-6.5108590680413289E-2</v>
      </c>
      <c r="W74" s="28">
        <f t="shared" si="44"/>
        <v>-9.543427270421892E-2</v>
      </c>
      <c r="X74" s="28">
        <f t="shared" si="44"/>
        <v>-6.6441791389878033E-2</v>
      </c>
    </row>
    <row r="75" spans="1:24" x14ac:dyDescent="0.25">
      <c r="A75" s="5" t="s">
        <v>38</v>
      </c>
      <c r="B75" s="112">
        <f>'Phase 5 - 7'!B75</f>
        <v>5</v>
      </c>
      <c r="C75" s="112">
        <f>'Phase 5 - 7'!C75</f>
        <v>12</v>
      </c>
      <c r="D75" s="112">
        <f>'Phase 5 - 7'!D75</f>
        <v>5</v>
      </c>
      <c r="E75" s="112">
        <f>'Phase 5 - 7'!E75</f>
        <v>-2</v>
      </c>
      <c r="F75" s="112">
        <f>'Phase 5 - 7'!F75</f>
        <v>-62</v>
      </c>
      <c r="G75" s="112">
        <f>'Phase 5 - 7'!G75</f>
        <v>-9</v>
      </c>
      <c r="H75" s="112">
        <f>'Phase 5 - 7'!H75</f>
        <v>-51</v>
      </c>
      <c r="J75" s="28">
        <f t="shared" si="39"/>
        <v>1.9295123648977285E-4</v>
      </c>
      <c r="K75" s="28">
        <f t="shared" si="39"/>
        <v>4.6157396722824835E-4</v>
      </c>
      <c r="L75" s="28">
        <f t="shared" si="39"/>
        <v>1.908761213972132E-4</v>
      </c>
      <c r="M75" s="28">
        <f t="shared" si="39"/>
        <v>-7.7533612371635352E-5</v>
      </c>
      <c r="N75" s="28">
        <f t="shared" si="39"/>
        <v>-2.3585802868337962E-3</v>
      </c>
      <c r="O75" s="28">
        <f t="shared" si="39"/>
        <v>-3.4514496088357109E-4</v>
      </c>
      <c r="P75" s="28">
        <f t="shared" si="39"/>
        <v>-3.2685393474457324E-4</v>
      </c>
      <c r="Q75" s="34"/>
      <c r="R75" s="28" t="e">
        <f t="shared" si="43"/>
        <v>#NUM!</v>
      </c>
      <c r="S75" s="28">
        <f t="shared" si="40"/>
        <v>0.44756272401433694</v>
      </c>
      <c r="T75" s="28">
        <f t="shared" si="44"/>
        <v>-0.58333333333333337</v>
      </c>
      <c r="U75" s="28">
        <f t="shared" si="44"/>
        <v>1.4</v>
      </c>
      <c r="V75" s="28">
        <f t="shared" si="44"/>
        <v>-3.5</v>
      </c>
      <c r="W75" s="28">
        <f t="shared" si="44"/>
        <v>-0.967741935483871</v>
      </c>
      <c r="X75" s="28">
        <f t="shared" si="44"/>
        <v>5.8888888888888893</v>
      </c>
    </row>
    <row r="76" spans="1:24" ht="15.75" thickBot="1" x14ac:dyDescent="0.3">
      <c r="A76" s="2" t="s">
        <v>60</v>
      </c>
      <c r="B76" s="9">
        <f>B74-B75</f>
        <v>3494.7448977879217</v>
      </c>
      <c r="C76" s="9">
        <f t="shared" ref="C76:H76" si="51">C74-C75</f>
        <v>3432.6143547323913</v>
      </c>
      <c r="D76" s="9">
        <f t="shared" si="51"/>
        <v>3504.1742446305079</v>
      </c>
      <c r="E76" s="9">
        <f>E74-E75</f>
        <v>3755.5634723443254</v>
      </c>
      <c r="F76" s="9">
        <f t="shared" si="51"/>
        <v>4211.5751597461967</v>
      </c>
      <c r="G76" s="9">
        <f t="shared" si="51"/>
        <v>4453.9024404424326</v>
      </c>
      <c r="H76" s="9">
        <f t="shared" si="51"/>
        <v>20583.72</v>
      </c>
      <c r="J76" s="32">
        <f t="shared" si="39"/>
        <v>0.13486306984890087</v>
      </c>
      <c r="K76" s="32">
        <f t="shared" si="39"/>
        <v>0.1320337854732053</v>
      </c>
      <c r="L76" s="32">
        <f t="shared" si="39"/>
        <v>0.13377263770301615</v>
      </c>
      <c r="M76" s="32">
        <f t="shared" si="39"/>
        <v>0.14559120125090891</v>
      </c>
      <c r="N76" s="32">
        <f t="shared" si="39"/>
        <v>0.16021513142413349</v>
      </c>
      <c r="O76" s="32">
        <f t="shared" si="39"/>
        <v>0.17080466484286058</v>
      </c>
      <c r="P76" s="32">
        <f t="shared" si="39"/>
        <v>0.13191901713099152</v>
      </c>
      <c r="Q76" s="34"/>
      <c r="R76" s="32">
        <f t="shared" si="43"/>
        <v>-4.7346525118495644E-2</v>
      </c>
      <c r="S76" s="32">
        <f t="shared" si="40"/>
        <v>-4.6388548237486393E-2</v>
      </c>
      <c r="T76" s="32">
        <f t="shared" si="44"/>
        <v>1.810006503348497E-2</v>
      </c>
      <c r="U76" s="32">
        <f t="shared" si="44"/>
        <v>-2.0421327508975542E-2</v>
      </c>
      <c r="V76" s="32">
        <f t="shared" si="44"/>
        <v>-6.6937818935834267E-2</v>
      </c>
      <c r="W76" s="32">
        <f t="shared" si="44"/>
        <v>-0.10827580420750513</v>
      </c>
      <c r="X76" s="32">
        <f t="shared" si="44"/>
        <v>-5.4407855568602011E-2</v>
      </c>
    </row>
    <row r="77" spans="1:24" ht="15.75" thickTop="1" x14ac:dyDescent="0.25">
      <c r="A77" s="127" t="s">
        <v>517</v>
      </c>
      <c r="B77" s="2">
        <f>B133-B76</f>
        <v>0</v>
      </c>
      <c r="C77" s="2">
        <f t="shared" ref="C77:G77" si="52">C133-C76</f>
        <v>0</v>
      </c>
      <c r="D77" s="2">
        <f t="shared" si="52"/>
        <v>0</v>
      </c>
      <c r="E77" s="2">
        <f>E133-E76</f>
        <v>0</v>
      </c>
      <c r="F77" s="2">
        <f t="shared" si="52"/>
        <v>0</v>
      </c>
      <c r="G77" s="2">
        <f t="shared" si="52"/>
        <v>0</v>
      </c>
      <c r="J77" s="28"/>
      <c r="K77" s="28"/>
      <c r="L77" s="28"/>
      <c r="M77" s="28"/>
      <c r="N77" s="28"/>
      <c r="O77" s="28"/>
      <c r="P77" s="28"/>
      <c r="Q77" s="34"/>
      <c r="R77" s="28"/>
      <c r="S77" s="28"/>
      <c r="T77" s="28"/>
      <c r="U77" s="28"/>
      <c r="V77" s="28"/>
      <c r="W77" s="28"/>
      <c r="X77" s="28"/>
    </row>
    <row r="78" spans="1:24" x14ac:dyDescent="0.25">
      <c r="A78" s="2" t="s">
        <v>62</v>
      </c>
      <c r="B78" s="21">
        <v>1235</v>
      </c>
      <c r="C78" s="21">
        <v>1236</v>
      </c>
      <c r="D78" s="21">
        <v>1228</v>
      </c>
      <c r="E78" s="21">
        <v>1224</v>
      </c>
      <c r="F78" s="21">
        <v>1219</v>
      </c>
      <c r="G78" s="21">
        <v>1228</v>
      </c>
      <c r="H78" s="21"/>
      <c r="J78" s="28"/>
      <c r="K78" s="28"/>
      <c r="L78" s="28"/>
      <c r="M78" s="28"/>
      <c r="N78" s="28"/>
      <c r="O78" s="28"/>
      <c r="P78" s="28"/>
      <c r="Q78" s="34"/>
      <c r="R78" s="28">
        <f>RATE(5,0,-G78,B78)</f>
        <v>1.1374745049678259E-3</v>
      </c>
      <c r="S78" s="28">
        <f t="shared" si="40"/>
        <v>1.1492605687045796E-3</v>
      </c>
      <c r="T78" s="28">
        <f t="shared" ref="T78:X80" si="53">(+B78-C78)/C78</f>
        <v>-8.090614886731392E-4</v>
      </c>
      <c r="U78" s="28">
        <f t="shared" si="53"/>
        <v>6.5146579804560263E-3</v>
      </c>
      <c r="V78" s="28">
        <f t="shared" si="53"/>
        <v>3.2679738562091504E-3</v>
      </c>
      <c r="W78" s="28">
        <f t="shared" si="53"/>
        <v>4.1017227235438884E-3</v>
      </c>
      <c r="X78" s="28">
        <f t="shared" si="53"/>
        <v>-7.3289902280130291E-3</v>
      </c>
    </row>
    <row r="79" spans="1:24" x14ac:dyDescent="0.25">
      <c r="A79" s="2" t="s">
        <v>63</v>
      </c>
      <c r="B79" s="7">
        <f>+B76/B78</f>
        <v>2.8297529536744306</v>
      </c>
      <c r="C79" s="7">
        <f t="shared" ref="C79:G79" si="54">+C76/C78</f>
        <v>2.7771960798805755</v>
      </c>
      <c r="D79" s="7">
        <f t="shared" si="54"/>
        <v>2.8535620884613255</v>
      </c>
      <c r="E79" s="7">
        <f t="shared" si="54"/>
        <v>3.0682708107388281</v>
      </c>
      <c r="F79" s="7">
        <f t="shared" si="54"/>
        <v>3.4549427069287915</v>
      </c>
      <c r="G79" s="7">
        <f t="shared" si="54"/>
        <v>3.6269563847251081</v>
      </c>
      <c r="H79" s="7"/>
      <c r="J79" s="28"/>
      <c r="K79" s="28"/>
      <c r="L79" s="28"/>
      <c r="M79" s="28"/>
      <c r="N79" s="28"/>
      <c r="O79" s="28"/>
      <c r="P79" s="28"/>
      <c r="Q79" s="34"/>
      <c r="R79" s="28">
        <f>RATE(5,0,-G79,B79)</f>
        <v>-4.842891296959586E-2</v>
      </c>
      <c r="S79" s="28">
        <f t="shared" si="40"/>
        <v>-4.7431847234634505E-2</v>
      </c>
      <c r="T79" s="28">
        <f t="shared" si="53"/>
        <v>1.8924437555779331E-2</v>
      </c>
      <c r="U79" s="28">
        <f t="shared" si="53"/>
        <v>-2.676164254127987E-2</v>
      </c>
      <c r="V79" s="28">
        <f t="shared" si="53"/>
        <v>-6.9977109427900058E-2</v>
      </c>
      <c r="W79" s="28">
        <f t="shared" si="53"/>
        <v>-0.11191846840600385</v>
      </c>
      <c r="X79" s="28">
        <f t="shared" si="53"/>
        <v>-4.7426453353768064E-2</v>
      </c>
    </row>
    <row r="80" spans="1:24" x14ac:dyDescent="0.25">
      <c r="A80" s="2" t="s">
        <v>120</v>
      </c>
      <c r="B80" s="27">
        <v>1.6</v>
      </c>
      <c r="C80" s="27">
        <v>1.6</v>
      </c>
      <c r="D80" s="27">
        <v>1.6</v>
      </c>
      <c r="E80" s="27">
        <v>1.6</v>
      </c>
      <c r="F80" s="27">
        <v>2.5</v>
      </c>
      <c r="G80" s="27">
        <v>2.4500000000000002</v>
      </c>
      <c r="H80" s="27"/>
      <c r="J80" s="28"/>
      <c r="K80" s="28"/>
      <c r="L80" s="28"/>
      <c r="M80" s="28"/>
      <c r="N80" s="28"/>
      <c r="O80" s="28"/>
      <c r="P80" s="28"/>
      <c r="R80" s="28">
        <f>RATE(5,0,-G80,B80)</f>
        <v>-8.1686900081131844E-2</v>
      </c>
      <c r="S80" s="28">
        <f t="shared" si="40"/>
        <v>-6.7918367346938791E-2</v>
      </c>
      <c r="T80" s="28">
        <f t="shared" si="53"/>
        <v>0</v>
      </c>
      <c r="U80" s="28">
        <f t="shared" si="53"/>
        <v>0</v>
      </c>
      <c r="V80" s="28">
        <f t="shared" si="53"/>
        <v>0</v>
      </c>
      <c r="W80" s="28">
        <f t="shared" si="53"/>
        <v>-0.36</v>
      </c>
      <c r="X80" s="28">
        <f t="shared" si="53"/>
        <v>2.0408163265306048E-2</v>
      </c>
    </row>
    <row r="81" spans="1:24" x14ac:dyDescent="0.25">
      <c r="B81" s="7"/>
      <c r="C81" s="7"/>
      <c r="D81" s="7"/>
      <c r="E81" s="7"/>
      <c r="F81" s="7"/>
      <c r="G81" s="7"/>
      <c r="H81" s="7"/>
      <c r="J81" s="28"/>
      <c r="K81" s="28"/>
      <c r="L81" s="28"/>
      <c r="M81" s="28"/>
      <c r="N81" s="28"/>
      <c r="O81" s="28"/>
      <c r="P81" s="28"/>
      <c r="R81" s="28"/>
      <c r="S81" s="28"/>
      <c r="T81" s="28"/>
      <c r="U81" s="28"/>
      <c r="V81" s="28"/>
      <c r="W81" s="28"/>
      <c r="X81" s="28"/>
    </row>
    <row r="82" spans="1:24" x14ac:dyDescent="0.25">
      <c r="A82" s="2" t="s">
        <v>191</v>
      </c>
      <c r="B82" s="28">
        <f>+B73/B72</f>
        <v>0.22</v>
      </c>
      <c r="C82" s="28">
        <f t="shared" ref="C82:H82" si="55">+C73/C72</f>
        <v>0.22</v>
      </c>
      <c r="D82" s="28">
        <f t="shared" si="55"/>
        <v>0.22</v>
      </c>
      <c r="E82" s="28">
        <f t="shared" si="55"/>
        <v>0.22000000000000003</v>
      </c>
      <c r="F82" s="28">
        <f t="shared" si="55"/>
        <v>0.22</v>
      </c>
      <c r="G82" s="28">
        <f t="shared" si="55"/>
        <v>0.22</v>
      </c>
      <c r="H82" s="28">
        <f t="shared" si="55"/>
        <v>0.22</v>
      </c>
      <c r="J82" s="28"/>
      <c r="K82" s="28"/>
      <c r="L82" s="28"/>
      <c r="M82" s="28"/>
      <c r="N82" s="28"/>
      <c r="O82" s="28"/>
      <c r="P82" s="28"/>
      <c r="R82" s="28">
        <f t="shared" ref="R82:R100" si="56">RATE(5,0,-G82,B82)</f>
        <v>1.620477036123676E-16</v>
      </c>
      <c r="S82" s="28">
        <f t="shared" ref="S82:S100" si="57">AVERAGE(T82:X82)</f>
        <v>4.9303806576313241E-33</v>
      </c>
      <c r="T82" s="28">
        <f t="shared" ref="T82:T100" si="58">(+B82-C82)/C82</f>
        <v>0</v>
      </c>
      <c r="U82" s="28">
        <f t="shared" ref="U82:U100" si="59">(+C82-D82)/D82</f>
        <v>0</v>
      </c>
      <c r="V82" s="28">
        <f t="shared" ref="V82:V100" si="60">(+D82-E82)/E82</f>
        <v>-1.2616170734376778E-16</v>
      </c>
      <c r="W82" s="28">
        <f t="shared" ref="W82:W100" si="61">(+E82-F82)/F82</f>
        <v>1.261617073437678E-16</v>
      </c>
      <c r="X82" s="28">
        <f t="shared" ref="X82:X100" si="62">(+F82-G82)/G82</f>
        <v>0</v>
      </c>
    </row>
    <row r="83" spans="1:24" x14ac:dyDescent="0.25">
      <c r="B83" s="7"/>
      <c r="C83" s="7"/>
      <c r="D83" s="7"/>
      <c r="E83" s="7"/>
      <c r="F83" s="7"/>
      <c r="G83" s="7"/>
      <c r="H83" s="7"/>
      <c r="J83" s="28"/>
      <c r="K83" s="28"/>
      <c r="L83" s="28"/>
      <c r="M83" s="28"/>
      <c r="N83" s="28"/>
      <c r="O83" s="28"/>
      <c r="P83" s="28"/>
      <c r="R83" s="28"/>
      <c r="S83" s="28"/>
      <c r="T83" s="28"/>
      <c r="U83" s="28"/>
      <c r="V83" s="28"/>
      <c r="W83" s="28"/>
      <c r="X83" s="28"/>
    </row>
    <row r="84" spans="1:24" x14ac:dyDescent="0.25">
      <c r="A84" s="18" t="s">
        <v>172</v>
      </c>
      <c r="J84" s="28"/>
      <c r="K84" s="28"/>
      <c r="L84" s="28"/>
      <c r="M84" s="28"/>
      <c r="N84" s="28"/>
      <c r="O84" s="28"/>
      <c r="P84" s="28"/>
      <c r="R84" s="28"/>
      <c r="S84" s="28"/>
      <c r="T84" s="28"/>
      <c r="U84" s="28"/>
      <c r="V84" s="28"/>
      <c r="W84" s="28"/>
      <c r="X84" s="28"/>
    </row>
    <row r="85" spans="1:24" x14ac:dyDescent="0.25">
      <c r="A85" s="2" t="s">
        <v>59</v>
      </c>
      <c r="B85" s="8">
        <f>+B76</f>
        <v>3494.7448977879217</v>
      </c>
      <c r="C85" s="8">
        <f t="shared" ref="C85:G85" si="63">+C76</f>
        <v>3432.6143547323913</v>
      </c>
      <c r="D85" s="8">
        <f t="shared" si="63"/>
        <v>3504.1742446305079</v>
      </c>
      <c r="E85" s="8">
        <f t="shared" si="63"/>
        <v>3755.5634723443254</v>
      </c>
      <c r="F85" s="8">
        <f t="shared" si="63"/>
        <v>4211.5751597461967</v>
      </c>
      <c r="G85" s="8">
        <f t="shared" si="63"/>
        <v>4453.9024404424326</v>
      </c>
      <c r="J85" s="28"/>
      <c r="K85" s="28"/>
      <c r="L85" s="28"/>
      <c r="M85" s="28"/>
      <c r="N85" s="28"/>
      <c r="O85" s="28"/>
      <c r="P85" s="28"/>
      <c r="R85" s="28">
        <f t="shared" si="56"/>
        <v>-4.7346525118495644E-2</v>
      </c>
      <c r="S85" s="28">
        <f t="shared" si="57"/>
        <v>-4.6388548237486393E-2</v>
      </c>
      <c r="T85" s="28">
        <f t="shared" si="58"/>
        <v>1.810006503348497E-2</v>
      </c>
      <c r="U85" s="28">
        <f t="shared" si="59"/>
        <v>-2.0421327508975542E-2</v>
      </c>
      <c r="V85" s="28">
        <f t="shared" si="60"/>
        <v>-6.6937818935834267E-2</v>
      </c>
      <c r="W85" s="28">
        <f t="shared" si="61"/>
        <v>-0.10827580420750513</v>
      </c>
      <c r="X85" s="28">
        <f t="shared" si="62"/>
        <v>-5.4407855568602011E-2</v>
      </c>
    </row>
    <row r="86" spans="1:24" x14ac:dyDescent="0.25">
      <c r="A86" s="5" t="s">
        <v>173</v>
      </c>
      <c r="B86" s="2">
        <f>+B73</f>
        <v>987.10753527351642</v>
      </c>
      <c r="C86" s="2">
        <f t="shared" ref="C86:G86" si="64">+C73</f>
        <v>971.55789492452061</v>
      </c>
      <c r="D86" s="2">
        <f t="shared" si="64"/>
        <v>989.76709463937391</v>
      </c>
      <c r="E86" s="2">
        <f t="shared" si="64"/>
        <v>1058.6973896355792</v>
      </c>
      <c r="F86" s="2">
        <f t="shared" si="64"/>
        <v>1170.3929937745684</v>
      </c>
      <c r="G86" s="2">
        <f t="shared" si="64"/>
        <v>1253.6904319196606</v>
      </c>
      <c r="J86" s="28"/>
      <c r="K86" s="28"/>
      <c r="L86" s="28"/>
      <c r="M86" s="28"/>
      <c r="N86" s="28"/>
      <c r="O86" s="28"/>
      <c r="P86" s="28"/>
      <c r="R86" s="28">
        <f t="shared" si="56"/>
        <v>-4.6688501923970761E-2</v>
      </c>
      <c r="S86" s="28">
        <f t="shared" si="57"/>
        <v>-4.587545238314962E-2</v>
      </c>
      <c r="T86" s="28">
        <f t="shared" si="58"/>
        <v>1.6004852032213527E-2</v>
      </c>
      <c r="U86" s="28">
        <f t="shared" si="59"/>
        <v>-1.8397459173451206E-2</v>
      </c>
      <c r="V86" s="28">
        <f t="shared" si="60"/>
        <v>-6.5108590680413581E-2</v>
      </c>
      <c r="W86" s="28">
        <f t="shared" si="61"/>
        <v>-9.5434272704218795E-2</v>
      </c>
      <c r="X86" s="28">
        <f t="shared" si="62"/>
        <v>-6.6441791389878047E-2</v>
      </c>
    </row>
    <row r="87" spans="1:24" x14ac:dyDescent="0.25">
      <c r="A87" s="5" t="s">
        <v>174</v>
      </c>
      <c r="B87" s="31">
        <f>+B70</f>
        <v>921</v>
      </c>
      <c r="C87" s="31">
        <f t="shared" ref="C87:G87" si="65">+C70</f>
        <v>1130</v>
      </c>
      <c r="D87" s="31">
        <f t="shared" si="65"/>
        <v>1394</v>
      </c>
      <c r="E87" s="31">
        <f t="shared" si="65"/>
        <v>1361</v>
      </c>
      <c r="F87" s="31">
        <f t="shared" si="65"/>
        <v>1284</v>
      </c>
      <c r="G87" s="31">
        <f t="shared" si="65"/>
        <v>1234</v>
      </c>
      <c r="J87" s="28"/>
      <c r="K87" s="28"/>
      <c r="L87" s="28"/>
      <c r="M87" s="28"/>
      <c r="N87" s="28"/>
      <c r="O87" s="28"/>
      <c r="P87" s="28"/>
      <c r="R87" s="28">
        <f t="shared" si="56"/>
        <v>-5.6832354866180976E-2</v>
      </c>
      <c r="S87" s="28">
        <f t="shared" si="57"/>
        <v>-4.9920891858361204E-2</v>
      </c>
      <c r="T87" s="28">
        <f t="shared" si="58"/>
        <v>-0.18495575221238938</v>
      </c>
      <c r="U87" s="28">
        <f t="shared" si="59"/>
        <v>-0.18938307030129126</v>
      </c>
      <c r="V87" s="28">
        <f t="shared" si="60"/>
        <v>2.4246877296105803E-2</v>
      </c>
      <c r="W87" s="28">
        <f t="shared" si="61"/>
        <v>5.9968847352024922E-2</v>
      </c>
      <c r="X87" s="28">
        <f t="shared" si="62"/>
        <v>4.0518638573743923E-2</v>
      </c>
    </row>
    <row r="88" spans="1:24" x14ac:dyDescent="0.25">
      <c r="A88" s="2" t="s">
        <v>175</v>
      </c>
      <c r="B88" s="2">
        <f>SUM(B85:B87)</f>
        <v>5402.8524330614382</v>
      </c>
      <c r="C88" s="2">
        <f t="shared" ref="C88:G88" si="66">SUM(C85:C87)</f>
        <v>5534.1722496569118</v>
      </c>
      <c r="D88" s="2">
        <f t="shared" si="66"/>
        <v>5887.9413392698816</v>
      </c>
      <c r="E88" s="2">
        <f t="shared" si="66"/>
        <v>6175.2608619799048</v>
      </c>
      <c r="F88" s="2">
        <f t="shared" si="66"/>
        <v>6665.9681535207656</v>
      </c>
      <c r="G88" s="2">
        <f t="shared" si="66"/>
        <v>6941.5928723620927</v>
      </c>
      <c r="J88" s="28"/>
      <c r="K88" s="28"/>
      <c r="L88" s="28"/>
      <c r="M88" s="28"/>
      <c r="N88" s="28"/>
      <c r="O88" s="28"/>
      <c r="P88" s="28"/>
      <c r="R88" s="28">
        <f t="shared" si="56"/>
        <v>-4.8885520110028391E-2</v>
      </c>
      <c r="S88" s="28">
        <f t="shared" si="57"/>
        <v>-4.8732029204736661E-2</v>
      </c>
      <c r="T88" s="28">
        <f t="shared" si="58"/>
        <v>-2.3728899403811426E-2</v>
      </c>
      <c r="U88" s="28">
        <f t="shared" si="59"/>
        <v>-6.0083664090450663E-2</v>
      </c>
      <c r="V88" s="28">
        <f t="shared" si="60"/>
        <v>-4.6527511813954876E-2</v>
      </c>
      <c r="W88" s="28">
        <f t="shared" si="61"/>
        <v>-7.3613806762890671E-2</v>
      </c>
      <c r="X88" s="28">
        <f t="shared" si="62"/>
        <v>-3.9706263952575677E-2</v>
      </c>
    </row>
    <row r="89" spans="1:24" x14ac:dyDescent="0.25">
      <c r="A89" s="5" t="s">
        <v>176</v>
      </c>
      <c r="B89" s="2">
        <f>+B150</f>
        <v>933</v>
      </c>
      <c r="C89" s="2">
        <f t="shared" ref="C89:G89" si="67">+C150</f>
        <v>910</v>
      </c>
      <c r="D89" s="2">
        <f t="shared" si="67"/>
        <v>969</v>
      </c>
      <c r="E89" s="2">
        <f t="shared" si="67"/>
        <v>994</v>
      </c>
      <c r="F89" s="2">
        <f t="shared" si="67"/>
        <v>983</v>
      </c>
      <c r="G89" s="2">
        <f t="shared" si="67"/>
        <v>1031</v>
      </c>
      <c r="J89" s="28"/>
      <c r="K89" s="28"/>
      <c r="L89" s="28"/>
      <c r="M89" s="28"/>
      <c r="N89" s="28"/>
      <c r="O89" s="28"/>
      <c r="P89" s="28"/>
      <c r="R89" s="28">
        <f t="shared" si="56"/>
        <v>-1.9777661112159107E-2</v>
      </c>
      <c r="S89" s="28">
        <f t="shared" si="57"/>
        <v>-1.9226040021655122E-2</v>
      </c>
      <c r="T89" s="28">
        <f t="shared" si="58"/>
        <v>2.5274725274725275E-2</v>
      </c>
      <c r="U89" s="28">
        <f t="shared" si="59"/>
        <v>-6.0887512899896801E-2</v>
      </c>
      <c r="V89" s="28">
        <f t="shared" si="60"/>
        <v>-2.5150905432595575E-2</v>
      </c>
      <c r="W89" s="28">
        <f t="shared" si="61"/>
        <v>1.1190233977619531E-2</v>
      </c>
      <c r="X89" s="28">
        <f t="shared" si="62"/>
        <v>-4.6556741028128033E-2</v>
      </c>
    </row>
    <row r="90" spans="1:24" ht="15.75" thickBot="1" x14ac:dyDescent="0.3">
      <c r="A90" s="2" t="s">
        <v>177</v>
      </c>
      <c r="B90" s="9">
        <f>+B89+B88</f>
        <v>6335.8524330614382</v>
      </c>
      <c r="C90" s="9">
        <f t="shared" ref="C90:G90" si="68">+C89+C88</f>
        <v>6444.1722496569118</v>
      </c>
      <c r="D90" s="9">
        <f t="shared" si="68"/>
        <v>6856.9413392698816</v>
      </c>
      <c r="E90" s="9">
        <f t="shared" si="68"/>
        <v>7169.2608619799048</v>
      </c>
      <c r="F90" s="9">
        <f t="shared" si="68"/>
        <v>7648.9681535207656</v>
      </c>
      <c r="G90" s="9">
        <f t="shared" si="68"/>
        <v>7972.5928723620927</v>
      </c>
      <c r="J90" s="28"/>
      <c r="K90" s="28"/>
      <c r="L90" s="28"/>
      <c r="M90" s="28"/>
      <c r="N90" s="28"/>
      <c r="O90" s="28"/>
      <c r="P90" s="28"/>
      <c r="R90" s="28">
        <f t="shared" si="56"/>
        <v>-4.4917047467910087E-2</v>
      </c>
      <c r="S90" s="28">
        <f t="shared" si="57"/>
        <v>-4.4775473309116041E-2</v>
      </c>
      <c r="T90" s="28">
        <f t="shared" si="58"/>
        <v>-1.6808957364732233E-2</v>
      </c>
      <c r="U90" s="28">
        <f t="shared" si="59"/>
        <v>-6.0197261313733347E-2</v>
      </c>
      <c r="V90" s="28">
        <f t="shared" si="60"/>
        <v>-4.3563699065034607E-2</v>
      </c>
      <c r="W90" s="28">
        <f t="shared" si="61"/>
        <v>-6.2715294653182069E-2</v>
      </c>
      <c r="X90" s="28">
        <f t="shared" si="62"/>
        <v>-4.0592154148897955E-2</v>
      </c>
    </row>
    <row r="91" spans="1:24" ht="15.75" thickTop="1" x14ac:dyDescent="0.25">
      <c r="J91" s="28"/>
      <c r="K91" s="28"/>
      <c r="L91" s="28"/>
      <c r="M91" s="28"/>
      <c r="N91" s="28"/>
      <c r="O91" s="28"/>
      <c r="P91" s="28"/>
      <c r="R91" s="28"/>
      <c r="S91" s="28"/>
      <c r="T91" s="28"/>
      <c r="U91" s="28"/>
      <c r="V91" s="28"/>
      <c r="W91" s="28"/>
      <c r="X91" s="28"/>
    </row>
    <row r="92" spans="1:24" x14ac:dyDescent="0.25">
      <c r="A92" s="2" t="s">
        <v>178</v>
      </c>
      <c r="B92" s="8">
        <f>+B69</f>
        <v>4881.199716981133</v>
      </c>
      <c r="C92" s="8">
        <f t="shared" ref="C92:G92" si="69">+C69</f>
        <v>5138</v>
      </c>
      <c r="D92" s="8">
        <f t="shared" si="69"/>
        <v>5569</v>
      </c>
      <c r="E92" s="8">
        <f t="shared" si="69"/>
        <v>5874.2639999999992</v>
      </c>
      <c r="F92" s="8">
        <f t="shared" si="69"/>
        <v>6199</v>
      </c>
      <c r="G92" s="8">
        <f t="shared" si="69"/>
        <v>6662</v>
      </c>
      <c r="J92" s="28"/>
      <c r="K92" s="28"/>
      <c r="L92" s="28"/>
      <c r="M92" s="28"/>
      <c r="N92" s="28"/>
      <c r="O92" s="28"/>
      <c r="P92" s="28"/>
      <c r="R92" s="28">
        <f t="shared" si="56"/>
        <v>-6.0310466038533621E-2</v>
      </c>
      <c r="S92" s="28">
        <f t="shared" si="57"/>
        <v>-6.0244702866199915E-2</v>
      </c>
      <c r="T92" s="28">
        <f t="shared" si="58"/>
        <v>-4.9980592257467309E-2</v>
      </c>
      <c r="U92" s="28">
        <f t="shared" si="59"/>
        <v>-7.7392709642664745E-2</v>
      </c>
      <c r="V92" s="28">
        <f t="shared" si="60"/>
        <v>-5.1966339953396591E-2</v>
      </c>
      <c r="W92" s="28">
        <f t="shared" si="61"/>
        <v>-5.2385223423132891E-2</v>
      </c>
      <c r="X92" s="28">
        <f t="shared" si="62"/>
        <v>-6.949864905433803E-2</v>
      </c>
    </row>
    <row r="93" spans="1:24" x14ac:dyDescent="0.25">
      <c r="A93" s="5" t="s">
        <v>179</v>
      </c>
      <c r="B93" s="2">
        <f>-B71</f>
        <v>526.65271608030571</v>
      </c>
      <c r="C93" s="2">
        <f t="shared" ref="C93:G93" si="70">-C71</f>
        <v>408.17224965691219</v>
      </c>
      <c r="D93" s="2">
        <f t="shared" si="70"/>
        <v>323.94133926988121</v>
      </c>
      <c r="E93" s="2">
        <f t="shared" si="70"/>
        <v>298.99686197990536</v>
      </c>
      <c r="F93" s="2">
        <f t="shared" si="70"/>
        <v>404.96815352076533</v>
      </c>
      <c r="G93" s="2">
        <f t="shared" si="70"/>
        <v>270.59287236209366</v>
      </c>
      <c r="J93" s="28"/>
      <c r="K93" s="28"/>
      <c r="L93" s="28"/>
      <c r="M93" s="28"/>
      <c r="N93" s="28"/>
      <c r="O93" s="28"/>
      <c r="P93" s="28"/>
      <c r="R93" s="28">
        <f t="shared" si="56"/>
        <v>0.14246155651608372</v>
      </c>
      <c r="S93" s="28">
        <f t="shared" si="57"/>
        <v>0.17372694002437086</v>
      </c>
      <c r="T93" s="28">
        <f t="shared" si="58"/>
        <v>0.29027075339634645</v>
      </c>
      <c r="U93" s="28">
        <f t="shared" si="59"/>
        <v>0.26001902250844472</v>
      </c>
      <c r="V93" s="28">
        <f t="shared" si="60"/>
        <v>8.3427221024320611E-2</v>
      </c>
      <c r="W93" s="28">
        <f t="shared" si="61"/>
        <v>-0.26167808658422353</v>
      </c>
      <c r="X93" s="28">
        <f t="shared" si="62"/>
        <v>0.49659578977696606</v>
      </c>
    </row>
    <row r="94" spans="1:24" x14ac:dyDescent="0.25">
      <c r="A94" s="5" t="s">
        <v>38</v>
      </c>
      <c r="B94" s="2">
        <f>-B75</f>
        <v>-5</v>
      </c>
      <c r="C94" s="2">
        <f t="shared" ref="C94:G94" si="71">-C75</f>
        <v>-12</v>
      </c>
      <c r="D94" s="2">
        <f t="shared" si="71"/>
        <v>-5</v>
      </c>
      <c r="E94" s="2">
        <f t="shared" si="71"/>
        <v>2</v>
      </c>
      <c r="F94" s="2">
        <f t="shared" si="71"/>
        <v>62</v>
      </c>
      <c r="G94" s="2">
        <f t="shared" si="71"/>
        <v>9</v>
      </c>
      <c r="J94" s="28"/>
      <c r="K94" s="28"/>
      <c r="L94" s="28"/>
      <c r="M94" s="28"/>
      <c r="N94" s="28"/>
      <c r="O94" s="28"/>
      <c r="P94" s="28"/>
      <c r="R94" s="28"/>
      <c r="S94" s="28">
        <f t="shared" si="57"/>
        <v>0.44756272401433694</v>
      </c>
      <c r="T94" s="28">
        <f t="shared" si="58"/>
        <v>-0.58333333333333337</v>
      </c>
      <c r="U94" s="28">
        <f t="shared" si="59"/>
        <v>1.4</v>
      </c>
      <c r="V94" s="28">
        <f t="shared" si="60"/>
        <v>-3.5</v>
      </c>
      <c r="W94" s="28">
        <f t="shared" si="61"/>
        <v>-0.967741935483871</v>
      </c>
      <c r="X94" s="28">
        <f t="shared" si="62"/>
        <v>5.8888888888888893</v>
      </c>
    </row>
    <row r="95" spans="1:24" ht="15.75" thickBot="1" x14ac:dyDescent="0.3">
      <c r="A95" s="2" t="s">
        <v>175</v>
      </c>
      <c r="B95" s="9">
        <f>+SUM(B92:B94)</f>
        <v>5402.8524330614382</v>
      </c>
      <c r="C95" s="9">
        <f t="shared" ref="C95:G95" si="72">+SUM(C92:C94)</f>
        <v>5534.1722496569118</v>
      </c>
      <c r="D95" s="9">
        <f t="shared" si="72"/>
        <v>5887.9413392698816</v>
      </c>
      <c r="E95" s="9">
        <f t="shared" si="72"/>
        <v>6175.2608619799048</v>
      </c>
      <c r="F95" s="9">
        <f t="shared" si="72"/>
        <v>6665.9681535207656</v>
      </c>
      <c r="G95" s="9">
        <f t="shared" si="72"/>
        <v>6941.5928723620937</v>
      </c>
      <c r="J95" s="28"/>
      <c r="K95" s="28"/>
      <c r="L95" s="28"/>
      <c r="M95" s="28"/>
      <c r="N95" s="28"/>
      <c r="O95" s="28"/>
      <c r="P95" s="28"/>
      <c r="R95" s="28">
        <f t="shared" si="56"/>
        <v>-4.8885520110028328E-2</v>
      </c>
      <c r="S95" s="28">
        <f t="shared" si="57"/>
        <v>-4.8732029204736682E-2</v>
      </c>
      <c r="T95" s="28">
        <f t="shared" si="58"/>
        <v>-2.3728899403811426E-2</v>
      </c>
      <c r="U95" s="28">
        <f t="shared" si="59"/>
        <v>-6.0083664090450663E-2</v>
      </c>
      <c r="V95" s="28">
        <f t="shared" si="60"/>
        <v>-4.6527511813954876E-2</v>
      </c>
      <c r="W95" s="28">
        <f t="shared" si="61"/>
        <v>-7.3613806762890671E-2</v>
      </c>
      <c r="X95" s="28">
        <f t="shared" si="62"/>
        <v>-3.9706263952575802E-2</v>
      </c>
    </row>
    <row r="96" spans="1:24" ht="15.75" thickTop="1" x14ac:dyDescent="0.25">
      <c r="B96" s="36"/>
      <c r="C96" s="36"/>
      <c r="D96" s="36"/>
      <c r="E96" s="36"/>
      <c r="F96" s="36"/>
      <c r="G96" s="36"/>
      <c r="J96" s="28"/>
      <c r="K96" s="28"/>
      <c r="L96" s="28"/>
      <c r="M96" s="28"/>
      <c r="N96" s="28"/>
      <c r="O96" s="28"/>
      <c r="P96" s="28"/>
      <c r="R96" s="28"/>
      <c r="S96" s="28"/>
      <c r="T96" s="28"/>
      <c r="U96" s="28"/>
      <c r="V96" s="28"/>
      <c r="W96" s="28"/>
      <c r="X96" s="28"/>
    </row>
    <row r="97" spans="1:25" x14ac:dyDescent="0.25">
      <c r="A97" s="2" t="s">
        <v>373</v>
      </c>
      <c r="B97" s="36"/>
      <c r="C97" s="36"/>
      <c r="D97" s="36"/>
      <c r="E97" s="36"/>
      <c r="F97" s="36"/>
      <c r="G97" s="36"/>
      <c r="J97" s="28"/>
      <c r="K97" s="28"/>
      <c r="L97" s="28"/>
      <c r="M97" s="28"/>
      <c r="N97" s="28"/>
      <c r="O97" s="28"/>
      <c r="P97" s="28"/>
      <c r="R97" s="28"/>
      <c r="S97" s="28"/>
      <c r="T97" s="28"/>
      <c r="U97" s="28"/>
      <c r="V97" s="28"/>
      <c r="W97" s="28"/>
      <c r="X97" s="28"/>
    </row>
    <row r="98" spans="1:25" x14ac:dyDescent="0.25">
      <c r="A98" s="2" t="s">
        <v>367</v>
      </c>
      <c r="B98" s="36">
        <v>26257</v>
      </c>
      <c r="C98" s="36">
        <v>26129</v>
      </c>
      <c r="D98" s="36">
        <v>26159</v>
      </c>
      <c r="E98" s="36">
        <v>25117</v>
      </c>
      <c r="F98" s="36">
        <v>23988</v>
      </c>
      <c r="G98" s="36">
        <v>23447</v>
      </c>
      <c r="J98" s="28"/>
      <c r="K98" s="28"/>
      <c r="L98" s="28"/>
      <c r="M98" s="28"/>
      <c r="N98" s="28"/>
      <c r="O98" s="28"/>
      <c r="P98" s="28"/>
      <c r="R98" s="28">
        <f t="shared" si="56"/>
        <v>2.2896197440216776E-2</v>
      </c>
      <c r="S98" s="28">
        <f t="shared" si="57"/>
        <v>2.3075259687827861E-2</v>
      </c>
      <c r="T98" s="28">
        <f t="shared" si="58"/>
        <v>4.8987714799647898E-3</v>
      </c>
      <c r="U98" s="28">
        <f t="shared" si="59"/>
        <v>-1.1468328300011468E-3</v>
      </c>
      <c r="V98" s="28">
        <f t="shared" si="60"/>
        <v>4.1485846239598681E-2</v>
      </c>
      <c r="W98" s="28">
        <f t="shared" si="61"/>
        <v>4.7065199266299818E-2</v>
      </c>
      <c r="X98" s="28">
        <f t="shared" si="62"/>
        <v>2.3073314283277177E-2</v>
      </c>
    </row>
    <row r="99" spans="1:25" x14ac:dyDescent="0.25">
      <c r="A99" s="2" t="s">
        <v>368</v>
      </c>
      <c r="B99" s="36">
        <v>19484</v>
      </c>
      <c r="C99" s="36">
        <v>17504</v>
      </c>
      <c r="D99" s="36">
        <v>17257</v>
      </c>
      <c r="E99" s="36">
        <v>17107</v>
      </c>
      <c r="F99" s="36">
        <v>17598</v>
      </c>
      <c r="G99" s="36">
        <v>17279</v>
      </c>
      <c r="J99" s="28"/>
      <c r="K99" s="28"/>
      <c r="L99" s="28"/>
      <c r="M99" s="28"/>
      <c r="N99" s="28"/>
      <c r="O99" s="28"/>
      <c r="P99" s="28"/>
      <c r="R99" s="28">
        <f t="shared" si="56"/>
        <v>2.4311157209909277E-2</v>
      </c>
      <c r="S99" s="28">
        <f t="shared" si="57"/>
        <v>2.5351838674292082E-2</v>
      </c>
      <c r="T99" s="28">
        <f t="shared" si="58"/>
        <v>0.11311700182815357</v>
      </c>
      <c r="U99" s="28">
        <f t="shared" si="59"/>
        <v>1.4313032392652258E-2</v>
      </c>
      <c r="V99" s="28">
        <f t="shared" si="60"/>
        <v>8.7683404454316945E-3</v>
      </c>
      <c r="W99" s="28">
        <f t="shared" si="61"/>
        <v>-2.7900897829298783E-2</v>
      </c>
      <c r="X99" s="28">
        <f t="shared" si="62"/>
        <v>1.8461716534521673E-2</v>
      </c>
    </row>
    <row r="100" spans="1:25" x14ac:dyDescent="0.25">
      <c r="A100" s="2" t="s">
        <v>369</v>
      </c>
      <c r="B100" s="36">
        <v>20605</v>
      </c>
      <c r="C100" s="36">
        <v>17504</v>
      </c>
      <c r="D100" s="36">
        <v>17257</v>
      </c>
      <c r="E100" s="36">
        <v>17107</v>
      </c>
      <c r="F100" s="36">
        <v>17598</v>
      </c>
      <c r="G100" s="36">
        <v>17279</v>
      </c>
      <c r="J100" s="28"/>
      <c r="K100" s="28"/>
      <c r="L100" s="28"/>
      <c r="M100" s="28"/>
      <c r="N100" s="28"/>
      <c r="O100" s="28"/>
      <c r="P100" s="28"/>
      <c r="R100" s="28">
        <f t="shared" si="56"/>
        <v>3.583552822272127E-2</v>
      </c>
      <c r="S100" s="28">
        <f t="shared" si="57"/>
        <v>3.8160339588368862E-2</v>
      </c>
      <c r="T100" s="28">
        <f t="shared" si="58"/>
        <v>0.17715950639853748</v>
      </c>
      <c r="U100" s="28">
        <f t="shared" si="59"/>
        <v>1.4313032392652258E-2</v>
      </c>
      <c r="V100" s="28">
        <f t="shared" si="60"/>
        <v>8.7683404454316945E-3</v>
      </c>
      <c r="W100" s="28">
        <f t="shared" si="61"/>
        <v>-2.7900897829298783E-2</v>
      </c>
      <c r="X100" s="28">
        <f t="shared" si="62"/>
        <v>1.8461716534521673E-2</v>
      </c>
    </row>
    <row r="101" spans="1:25" x14ac:dyDescent="0.25">
      <c r="A101" s="2" t="s">
        <v>370</v>
      </c>
      <c r="B101" s="36"/>
      <c r="C101" s="36"/>
      <c r="D101" s="36"/>
      <c r="E101" s="36"/>
      <c r="F101" s="36"/>
      <c r="G101" s="36"/>
      <c r="J101" s="28"/>
      <c r="K101" s="28"/>
      <c r="L101" s="28"/>
      <c r="M101" s="28"/>
      <c r="N101" s="28"/>
      <c r="O101" s="28"/>
      <c r="P101" s="28"/>
      <c r="R101" s="28"/>
      <c r="S101" s="28"/>
      <c r="T101" s="28"/>
      <c r="U101" s="28"/>
      <c r="V101" s="28"/>
      <c r="W101" s="28"/>
      <c r="X101" s="28"/>
    </row>
    <row r="102" spans="1:25" x14ac:dyDescent="0.25">
      <c r="A102" s="2" t="s">
        <v>371</v>
      </c>
      <c r="B102" s="36"/>
      <c r="C102" s="36"/>
      <c r="D102" s="36"/>
      <c r="E102" s="36"/>
      <c r="F102" s="36"/>
      <c r="G102" s="36"/>
      <c r="J102" s="28"/>
      <c r="K102" s="28"/>
      <c r="L102" s="28"/>
      <c r="M102" s="28"/>
      <c r="N102" s="28"/>
      <c r="O102" s="28"/>
      <c r="P102" s="28"/>
      <c r="R102" s="28"/>
      <c r="S102" s="28"/>
      <c r="T102" s="28"/>
      <c r="U102" s="28"/>
      <c r="V102" s="28"/>
      <c r="W102" s="28"/>
      <c r="X102" s="28"/>
    </row>
    <row r="103" spans="1:25" x14ac:dyDescent="0.25">
      <c r="A103" s="2" t="s">
        <v>372</v>
      </c>
      <c r="J103" s="28"/>
      <c r="K103" s="28"/>
      <c r="L103" s="28"/>
      <c r="M103" s="28"/>
      <c r="N103" s="28"/>
      <c r="O103" s="28"/>
      <c r="P103" s="28"/>
      <c r="R103" s="28"/>
      <c r="S103" s="28"/>
      <c r="T103" s="28"/>
      <c r="U103" s="28"/>
      <c r="V103" s="28"/>
      <c r="W103" s="28"/>
      <c r="X103" s="28"/>
    </row>
    <row r="104" spans="1:25" x14ac:dyDescent="0.25">
      <c r="J104" s="28"/>
      <c r="K104" s="28"/>
      <c r="L104" s="28"/>
      <c r="M104" s="28"/>
      <c r="N104" s="28"/>
      <c r="O104" s="28"/>
      <c r="P104" s="28"/>
      <c r="R104" s="28"/>
      <c r="S104" s="28"/>
      <c r="T104" s="28"/>
      <c r="U104" s="28"/>
      <c r="V104" s="28"/>
      <c r="W104" s="28"/>
      <c r="X104" s="28"/>
    </row>
    <row r="105" spans="1:25" s="15" customFormat="1" x14ac:dyDescent="0.25">
      <c r="A105" s="15" t="s">
        <v>0</v>
      </c>
      <c r="B105" s="15" t="s">
        <v>460</v>
      </c>
      <c r="I105" s="78"/>
      <c r="J105" s="78" t="s">
        <v>460</v>
      </c>
      <c r="K105" s="78"/>
      <c r="L105" s="78"/>
      <c r="M105" s="78"/>
      <c r="N105" s="78"/>
      <c r="O105" s="78"/>
      <c r="P105" s="78"/>
      <c r="Q105" s="78"/>
      <c r="R105" s="78"/>
      <c r="S105" s="78"/>
      <c r="T105" s="78"/>
      <c r="U105" s="78"/>
      <c r="V105" s="78"/>
      <c r="W105" s="78"/>
      <c r="X105" s="78"/>
      <c r="Y105" s="78"/>
    </row>
    <row r="106" spans="1:25" s="15" customFormat="1" x14ac:dyDescent="0.25">
      <c r="A106" s="15" t="s">
        <v>433</v>
      </c>
      <c r="I106" s="78"/>
      <c r="J106" s="78"/>
      <c r="K106" s="78"/>
      <c r="L106" s="78"/>
      <c r="M106" s="78"/>
      <c r="N106" s="78"/>
      <c r="O106" s="78"/>
      <c r="P106" s="78"/>
      <c r="Q106" s="78"/>
      <c r="R106" s="78"/>
      <c r="S106" s="78"/>
      <c r="T106" s="78"/>
      <c r="U106" s="78"/>
      <c r="V106" s="78"/>
      <c r="W106" s="78"/>
      <c r="X106" s="78"/>
      <c r="Y106" s="78"/>
    </row>
    <row r="107" spans="1:25" s="15" customFormat="1" x14ac:dyDescent="0.25">
      <c r="A107" s="15" t="s">
        <v>2</v>
      </c>
      <c r="F107" s="15" t="s">
        <v>150</v>
      </c>
      <c r="G107" s="16" t="s">
        <v>125</v>
      </c>
      <c r="H107" s="16"/>
      <c r="I107" s="78"/>
      <c r="J107" s="98" t="s">
        <v>127</v>
      </c>
      <c r="K107" s="98" t="s">
        <v>129</v>
      </c>
      <c r="L107" s="15" t="s">
        <v>132</v>
      </c>
      <c r="M107" s="15" t="s">
        <v>133</v>
      </c>
      <c r="N107" s="15" t="s">
        <v>134</v>
      </c>
      <c r="O107" s="15" t="s">
        <v>135</v>
      </c>
      <c r="P107" s="15" t="s">
        <v>136</v>
      </c>
      <c r="Q107" s="78"/>
      <c r="R107" s="78"/>
      <c r="S107" s="78"/>
      <c r="T107" s="78"/>
      <c r="U107" s="78"/>
      <c r="V107" s="78"/>
      <c r="W107" s="78"/>
      <c r="X107" s="78"/>
      <c r="Y107" s="78"/>
    </row>
    <row r="108" spans="1:25" s="15" customFormat="1" ht="15.75" thickBot="1" x14ac:dyDescent="0.3">
      <c r="A108" s="16" t="s">
        <v>3</v>
      </c>
      <c r="B108" s="17">
        <v>2022</v>
      </c>
      <c r="C108" s="17">
        <v>2021</v>
      </c>
      <c r="D108" s="17">
        <v>2020</v>
      </c>
      <c r="E108" s="17">
        <v>2019</v>
      </c>
      <c r="F108" s="17">
        <v>2018</v>
      </c>
      <c r="G108" s="17">
        <v>2017</v>
      </c>
      <c r="H108" s="22"/>
      <c r="I108" s="78"/>
      <c r="J108" s="108" t="s">
        <v>128</v>
      </c>
      <c r="K108" s="108" t="s">
        <v>130</v>
      </c>
      <c r="L108" s="17">
        <v>2022</v>
      </c>
      <c r="M108" s="17">
        <v>2021</v>
      </c>
      <c r="N108" s="17">
        <v>2020</v>
      </c>
      <c r="O108" s="17">
        <v>2019</v>
      </c>
      <c r="P108" s="17">
        <v>2018</v>
      </c>
      <c r="Q108" s="78"/>
      <c r="R108" s="78"/>
      <c r="S108" s="78"/>
      <c r="T108" s="22"/>
      <c r="U108" s="22"/>
      <c r="V108" s="22"/>
      <c r="W108" s="22"/>
      <c r="X108" s="22"/>
      <c r="Y108" s="78"/>
    </row>
    <row r="109" spans="1:25" customFormat="1" x14ac:dyDescent="0.25">
      <c r="A109" s="93" t="s">
        <v>434</v>
      </c>
      <c r="B109" s="97">
        <v>2363</v>
      </c>
      <c r="C109" s="97">
        <v>1012</v>
      </c>
      <c r="D109" s="97">
        <v>356</v>
      </c>
      <c r="E109" s="97">
        <v>1935</v>
      </c>
      <c r="F109" s="97">
        <v>-10192</v>
      </c>
      <c r="G109" s="97">
        <v>10941</v>
      </c>
      <c r="H109" s="151" t="s">
        <v>459</v>
      </c>
      <c r="I109" s="151"/>
      <c r="J109" s="151"/>
      <c r="K109" s="151"/>
      <c r="L109" s="151"/>
      <c r="M109" s="151"/>
      <c r="N109" s="151"/>
      <c r="O109" s="151"/>
      <c r="P109" s="151"/>
      <c r="Q109" s="151"/>
      <c r="R109" s="151"/>
      <c r="S109" s="151"/>
      <c r="T109" s="151"/>
      <c r="U109" s="151"/>
      <c r="V109" s="151"/>
      <c r="W109" s="151"/>
      <c r="X109" s="151"/>
      <c r="Y109" s="151"/>
    </row>
    <row r="110" spans="1:25" customFormat="1" x14ac:dyDescent="0.25">
      <c r="A110" s="93" t="s">
        <v>435</v>
      </c>
      <c r="B110" s="100"/>
      <c r="C110" s="100"/>
      <c r="D110" s="100"/>
      <c r="E110" s="100"/>
      <c r="F110" s="100"/>
      <c r="G110" s="100"/>
      <c r="H110" s="151"/>
      <c r="I110" s="151"/>
      <c r="J110" s="151"/>
      <c r="K110" s="151"/>
      <c r="L110" s="151"/>
      <c r="M110" s="151"/>
      <c r="N110" s="151"/>
      <c r="O110" s="151"/>
      <c r="P110" s="151"/>
      <c r="Q110" s="151"/>
      <c r="R110" s="151"/>
      <c r="S110" s="151"/>
      <c r="T110" s="151"/>
      <c r="U110" s="151"/>
      <c r="V110" s="151"/>
      <c r="W110" s="151"/>
      <c r="X110" s="151"/>
      <c r="Y110" s="151"/>
    </row>
    <row r="111" spans="1:25" customFormat="1" x14ac:dyDescent="0.25">
      <c r="A111" s="64" t="s">
        <v>521</v>
      </c>
      <c r="B111" s="69">
        <v>275.44499999999999</v>
      </c>
      <c r="C111" s="100">
        <v>0</v>
      </c>
      <c r="D111" s="100">
        <v>0</v>
      </c>
      <c r="E111" s="100">
        <v>0</v>
      </c>
      <c r="F111" s="100">
        <v>0</v>
      </c>
      <c r="G111" s="100">
        <v>0</v>
      </c>
      <c r="H111" s="151"/>
      <c r="I111" s="151"/>
      <c r="J111" s="151"/>
      <c r="K111" s="151"/>
      <c r="L111" s="151"/>
      <c r="M111" s="151"/>
      <c r="N111" s="151"/>
      <c r="O111" s="151"/>
      <c r="P111" s="151"/>
      <c r="Q111" s="151"/>
      <c r="R111" s="151"/>
      <c r="S111" s="151"/>
      <c r="T111" s="151"/>
      <c r="U111" s="151"/>
      <c r="V111" s="151"/>
      <c r="W111" s="151"/>
      <c r="X111" s="151"/>
      <c r="Y111" s="151"/>
    </row>
    <row r="112" spans="1:25" customFormat="1" x14ac:dyDescent="0.25">
      <c r="A112" s="64" t="s">
        <v>520</v>
      </c>
      <c r="B112" s="100">
        <v>0</v>
      </c>
      <c r="C112" s="100">
        <v>0</v>
      </c>
      <c r="D112" s="100">
        <v>0</v>
      </c>
      <c r="E112" s="69">
        <v>324.70099999999996</v>
      </c>
      <c r="F112" s="100">
        <v>0</v>
      </c>
      <c r="G112" s="100">
        <v>0</v>
      </c>
      <c r="H112" s="151"/>
      <c r="I112" s="151"/>
      <c r="J112" s="151"/>
      <c r="K112" s="151"/>
      <c r="L112" s="151"/>
      <c r="M112" s="151"/>
      <c r="N112" s="151"/>
      <c r="O112" s="151"/>
      <c r="P112" s="151"/>
      <c r="Q112" s="151"/>
      <c r="R112" s="151"/>
      <c r="S112" s="151"/>
      <c r="T112" s="151"/>
      <c r="U112" s="151"/>
      <c r="V112" s="151"/>
      <c r="W112" s="151"/>
      <c r="X112" s="151"/>
      <c r="Y112" s="151"/>
    </row>
    <row r="113" spans="1:25" customFormat="1" x14ac:dyDescent="0.25">
      <c r="A113" s="64" t="s">
        <v>519</v>
      </c>
      <c r="B113" s="100">
        <v>0</v>
      </c>
      <c r="C113" s="100">
        <v>0</v>
      </c>
      <c r="D113" s="100">
        <v>0</v>
      </c>
      <c r="E113" s="69">
        <v>474.56299999999999</v>
      </c>
      <c r="F113" s="100">
        <v>0</v>
      </c>
      <c r="G113" s="100">
        <v>0</v>
      </c>
      <c r="H113" s="151"/>
      <c r="I113" s="151"/>
      <c r="J113" s="151"/>
      <c r="K113" s="151"/>
      <c r="L113" s="151"/>
      <c r="M113" s="151"/>
      <c r="N113" s="151"/>
      <c r="O113" s="151"/>
      <c r="P113" s="151"/>
      <c r="Q113" s="151"/>
      <c r="R113" s="151"/>
      <c r="S113" s="151"/>
      <c r="T113" s="151"/>
      <c r="U113" s="151"/>
      <c r="V113" s="151"/>
      <c r="W113" s="151"/>
      <c r="X113" s="151"/>
      <c r="Y113" s="151"/>
    </row>
    <row r="114" spans="1:25" customFormat="1" x14ac:dyDescent="0.25">
      <c r="A114" s="64" t="s">
        <v>456</v>
      </c>
      <c r="B114" s="69">
        <v>-499.71698113207549</v>
      </c>
      <c r="C114" s="100">
        <v>0</v>
      </c>
      <c r="D114" s="100">
        <v>0</v>
      </c>
      <c r="E114" s="100">
        <v>0</v>
      </c>
      <c r="F114" s="100">
        <v>0</v>
      </c>
      <c r="G114" s="100">
        <v>0</v>
      </c>
      <c r="H114" s="151"/>
      <c r="I114" s="151"/>
      <c r="J114" s="151"/>
      <c r="K114" s="151"/>
      <c r="L114" s="151"/>
      <c r="M114" s="151"/>
      <c r="N114" s="151"/>
      <c r="O114" s="151"/>
      <c r="P114" s="151"/>
      <c r="Q114" s="151"/>
      <c r="R114" s="151"/>
      <c r="S114" s="151"/>
      <c r="T114" s="151"/>
      <c r="U114" s="151"/>
      <c r="V114" s="151"/>
      <c r="W114" s="151"/>
      <c r="X114" s="151"/>
      <c r="Y114" s="151"/>
    </row>
    <row r="115" spans="1:25" customFormat="1" x14ac:dyDescent="0.25">
      <c r="A115" s="64" t="s">
        <v>457</v>
      </c>
      <c r="B115" s="69">
        <v>346.47169811320754</v>
      </c>
      <c r="C115" s="100">
        <v>0</v>
      </c>
      <c r="D115" s="100">
        <v>0</v>
      </c>
      <c r="E115" s="100">
        <v>0</v>
      </c>
      <c r="F115" s="100">
        <v>0</v>
      </c>
      <c r="G115" s="100">
        <v>0</v>
      </c>
      <c r="H115" s="151"/>
      <c r="I115" s="151"/>
      <c r="J115" s="151"/>
      <c r="K115" s="151"/>
      <c r="L115" s="151"/>
      <c r="M115" s="151"/>
      <c r="N115" s="151"/>
      <c r="O115" s="151"/>
      <c r="P115" s="151"/>
      <c r="Q115" s="151"/>
      <c r="R115" s="151"/>
      <c r="S115" s="151"/>
      <c r="T115" s="151"/>
      <c r="U115" s="151"/>
      <c r="V115" s="151"/>
      <c r="W115" s="151"/>
      <c r="X115" s="151"/>
      <c r="Y115" s="151"/>
    </row>
    <row r="116" spans="1:25" customFormat="1" x14ac:dyDescent="0.25">
      <c r="A116" s="64" t="s">
        <v>436</v>
      </c>
      <c r="B116" s="69">
        <v>86</v>
      </c>
      <c r="C116" s="69">
        <v>0</v>
      </c>
      <c r="D116" s="69">
        <v>0</v>
      </c>
      <c r="E116" s="69">
        <v>0</v>
      </c>
      <c r="F116" s="69">
        <v>0</v>
      </c>
      <c r="G116" s="69">
        <v>0</v>
      </c>
      <c r="H116" s="151"/>
      <c r="I116" s="151"/>
      <c r="J116" s="151"/>
      <c r="K116" s="151"/>
      <c r="L116" s="151"/>
      <c r="M116" s="151"/>
      <c r="N116" s="151"/>
      <c r="O116" s="151"/>
      <c r="P116" s="151"/>
      <c r="Q116" s="151"/>
      <c r="R116" s="151"/>
      <c r="S116" s="151"/>
      <c r="T116" s="151"/>
      <c r="U116" s="151"/>
      <c r="V116" s="151"/>
      <c r="W116" s="151"/>
      <c r="X116" s="151"/>
      <c r="Y116" s="151"/>
    </row>
    <row r="117" spans="1:25" customFormat="1" x14ac:dyDescent="0.25">
      <c r="A117" s="64" t="s">
        <v>437</v>
      </c>
      <c r="B117" s="69">
        <v>469</v>
      </c>
      <c r="C117" s="69">
        <v>1316</v>
      </c>
      <c r="D117" s="69">
        <v>1056</v>
      </c>
      <c r="E117" s="69">
        <v>702</v>
      </c>
      <c r="F117" s="69">
        <v>8928</v>
      </c>
      <c r="G117" s="69">
        <v>49</v>
      </c>
      <c r="H117" s="151"/>
      <c r="I117" s="151"/>
      <c r="J117" s="151"/>
      <c r="K117" s="151"/>
      <c r="L117" s="151"/>
      <c r="M117" s="151"/>
      <c r="N117" s="151"/>
      <c r="O117" s="151"/>
      <c r="P117" s="151"/>
      <c r="Q117" s="151"/>
      <c r="R117" s="151"/>
      <c r="S117" s="151"/>
      <c r="T117" s="151"/>
      <c r="U117" s="151"/>
      <c r="V117" s="151"/>
      <c r="W117" s="151"/>
      <c r="X117" s="151"/>
      <c r="Y117" s="151"/>
    </row>
    <row r="118" spans="1:25" customFormat="1" x14ac:dyDescent="0.25">
      <c r="A118" s="64" t="s">
        <v>438</v>
      </c>
      <c r="B118" s="69">
        <v>444</v>
      </c>
      <c r="C118" s="69">
        <v>318</v>
      </c>
      <c r="D118" s="69">
        <v>2343</v>
      </c>
      <c r="E118" s="69">
        <v>1197</v>
      </c>
      <c r="F118" s="69">
        <v>7008</v>
      </c>
      <c r="G118" s="69">
        <v>0</v>
      </c>
      <c r="H118" s="151"/>
      <c r="I118" s="151"/>
      <c r="J118" s="151"/>
      <c r="K118" s="151"/>
      <c r="L118" s="151"/>
      <c r="M118" s="151"/>
      <c r="N118" s="151"/>
      <c r="O118" s="151"/>
      <c r="P118" s="151"/>
      <c r="Q118" s="151"/>
      <c r="R118" s="151"/>
      <c r="S118" s="151"/>
      <c r="T118" s="151"/>
      <c r="U118" s="151"/>
      <c r="V118" s="151"/>
      <c r="W118" s="151"/>
      <c r="X118" s="151"/>
      <c r="Y118" s="151"/>
    </row>
    <row r="119" spans="1:25" customFormat="1" x14ac:dyDescent="0.25">
      <c r="A119" s="64" t="s">
        <v>439</v>
      </c>
      <c r="B119" s="69">
        <v>74</v>
      </c>
      <c r="C119" s="69">
        <v>88</v>
      </c>
      <c r="D119" s="69">
        <v>32</v>
      </c>
      <c r="E119" s="69">
        <v>108</v>
      </c>
      <c r="F119" s="69">
        <v>460</v>
      </c>
      <c r="G119" s="69">
        <v>434</v>
      </c>
      <c r="H119" s="151"/>
      <c r="I119" s="151"/>
      <c r="J119" s="151"/>
      <c r="K119" s="151"/>
      <c r="L119" s="151"/>
      <c r="M119" s="151"/>
      <c r="N119" s="151"/>
      <c r="O119" s="151"/>
      <c r="P119" s="151"/>
      <c r="Q119" s="151"/>
      <c r="R119" s="151"/>
      <c r="S119" s="151"/>
      <c r="T119" s="151"/>
      <c r="U119" s="151"/>
      <c r="V119" s="151"/>
      <c r="W119" s="151"/>
      <c r="X119" s="151"/>
      <c r="Y119" s="151"/>
    </row>
    <row r="120" spans="1:25" customFormat="1" x14ac:dyDescent="0.25">
      <c r="A120" s="64" t="s">
        <v>440</v>
      </c>
      <c r="B120" s="69">
        <v>210</v>
      </c>
      <c r="C120" s="69">
        <v>0</v>
      </c>
      <c r="D120" s="69">
        <v>0</v>
      </c>
      <c r="E120" s="69">
        <v>0</v>
      </c>
      <c r="F120" s="69">
        <v>0</v>
      </c>
      <c r="G120" s="69">
        <v>0</v>
      </c>
      <c r="H120" s="151"/>
      <c r="I120" s="151"/>
      <c r="J120" s="151"/>
      <c r="K120" s="151"/>
      <c r="L120" s="151"/>
      <c r="M120" s="151"/>
      <c r="N120" s="151"/>
      <c r="O120" s="151"/>
      <c r="P120" s="151"/>
      <c r="Q120" s="151"/>
      <c r="R120" s="151"/>
      <c r="S120" s="151"/>
      <c r="T120" s="151"/>
      <c r="U120" s="151"/>
      <c r="V120" s="151"/>
      <c r="W120" s="151"/>
      <c r="X120" s="151"/>
      <c r="Y120" s="151"/>
    </row>
    <row r="121" spans="1:25" customFormat="1" x14ac:dyDescent="0.25">
      <c r="A121" s="64" t="s">
        <v>441</v>
      </c>
      <c r="B121" s="69">
        <v>0</v>
      </c>
      <c r="C121" s="69">
        <v>0</v>
      </c>
      <c r="D121" s="69">
        <v>0</v>
      </c>
      <c r="E121" s="69">
        <v>0</v>
      </c>
      <c r="F121" s="69">
        <v>4</v>
      </c>
      <c r="G121" s="69">
        <v>0</v>
      </c>
      <c r="H121" s="151"/>
      <c r="I121" s="151"/>
      <c r="J121" s="151"/>
      <c r="K121" s="151"/>
      <c r="L121" s="151"/>
      <c r="M121" s="151"/>
      <c r="N121" s="151"/>
      <c r="O121" s="151"/>
      <c r="P121" s="151"/>
      <c r="Q121" s="151"/>
      <c r="R121" s="151"/>
      <c r="S121" s="151"/>
      <c r="T121" s="151"/>
      <c r="U121" s="151"/>
      <c r="V121" s="151"/>
      <c r="W121" s="151"/>
      <c r="X121" s="151"/>
      <c r="Y121" s="151"/>
    </row>
    <row r="122" spans="1:25" customFormat="1" x14ac:dyDescent="0.25">
      <c r="A122" s="64" t="s">
        <v>344</v>
      </c>
      <c r="B122" s="69">
        <v>0</v>
      </c>
      <c r="C122" s="69">
        <v>0</v>
      </c>
      <c r="D122" s="69">
        <v>0</v>
      </c>
      <c r="E122" s="69">
        <v>-21</v>
      </c>
      <c r="F122" s="69">
        <v>-15</v>
      </c>
      <c r="G122" s="69">
        <v>122</v>
      </c>
      <c r="H122" s="151"/>
      <c r="I122" s="151"/>
      <c r="J122" s="151"/>
      <c r="K122" s="151"/>
      <c r="L122" s="151"/>
      <c r="M122" s="151"/>
      <c r="N122" s="151"/>
      <c r="O122" s="151"/>
      <c r="P122" s="151"/>
      <c r="Q122" s="151"/>
      <c r="R122" s="151"/>
      <c r="S122" s="151"/>
      <c r="T122" s="151"/>
      <c r="U122" s="151"/>
      <c r="V122" s="151"/>
      <c r="W122" s="151"/>
      <c r="X122" s="151"/>
      <c r="Y122" s="151"/>
    </row>
    <row r="123" spans="1:25" customFormat="1" x14ac:dyDescent="0.25">
      <c r="A123" s="64" t="s">
        <v>442</v>
      </c>
      <c r="B123" s="69">
        <v>50</v>
      </c>
      <c r="C123" s="69">
        <v>86</v>
      </c>
      <c r="D123" s="69">
        <v>0</v>
      </c>
      <c r="E123" s="69">
        <v>-10</v>
      </c>
      <c r="F123" s="69">
        <v>80</v>
      </c>
      <c r="G123" s="69">
        <v>-52</v>
      </c>
      <c r="H123" s="151"/>
      <c r="I123" s="151"/>
      <c r="J123" s="151"/>
      <c r="K123" s="151"/>
      <c r="L123" s="151"/>
      <c r="M123" s="151"/>
      <c r="N123" s="151"/>
      <c r="O123" s="151"/>
      <c r="P123" s="151"/>
      <c r="Q123" s="151"/>
      <c r="R123" s="151"/>
      <c r="S123" s="151"/>
      <c r="T123" s="151"/>
      <c r="U123" s="151"/>
      <c r="V123" s="151"/>
      <c r="W123" s="151"/>
      <c r="X123" s="151"/>
      <c r="Y123" s="151"/>
    </row>
    <row r="124" spans="1:25" customFormat="1" x14ac:dyDescent="0.25">
      <c r="A124" s="64" t="s">
        <v>443</v>
      </c>
      <c r="B124" s="69">
        <v>63</v>
      </c>
      <c r="C124" s="69">
        <v>0</v>
      </c>
      <c r="D124" s="69">
        <v>0</v>
      </c>
      <c r="E124" s="69">
        <v>0</v>
      </c>
      <c r="F124" s="69">
        <v>0</v>
      </c>
      <c r="G124" s="69">
        <v>0</v>
      </c>
      <c r="H124" s="151"/>
      <c r="I124" s="151"/>
      <c r="J124" s="151"/>
      <c r="K124" s="151"/>
      <c r="L124" s="151"/>
      <c r="M124" s="151"/>
      <c r="N124" s="151"/>
      <c r="O124" s="151"/>
      <c r="P124" s="151"/>
      <c r="Q124" s="151"/>
      <c r="R124" s="151"/>
      <c r="S124" s="151"/>
      <c r="T124" s="151"/>
      <c r="U124" s="151"/>
      <c r="V124" s="151"/>
      <c r="W124" s="151"/>
      <c r="X124" s="151"/>
      <c r="Y124" s="151"/>
    </row>
    <row r="125" spans="1:25" customFormat="1" x14ac:dyDescent="0.25">
      <c r="A125" s="64" t="s">
        <v>444</v>
      </c>
      <c r="B125" s="69">
        <v>-72</v>
      </c>
      <c r="C125" s="69">
        <v>-44</v>
      </c>
      <c r="D125" s="69">
        <v>10</v>
      </c>
      <c r="E125" s="69">
        <v>19</v>
      </c>
      <c r="F125" s="69">
        <v>19</v>
      </c>
      <c r="G125" s="69">
        <v>0</v>
      </c>
      <c r="H125" s="151"/>
      <c r="I125" s="151"/>
      <c r="J125" s="151"/>
      <c r="K125" s="151"/>
      <c r="L125" s="151"/>
      <c r="M125" s="151"/>
      <c r="N125" s="151"/>
      <c r="O125" s="151"/>
      <c r="P125" s="151"/>
      <c r="Q125" s="151"/>
      <c r="R125" s="151"/>
      <c r="S125" s="151"/>
      <c r="T125" s="151"/>
      <c r="U125" s="151"/>
      <c r="V125" s="151"/>
      <c r="W125" s="151"/>
      <c r="X125" s="151"/>
      <c r="Y125" s="151"/>
    </row>
    <row r="126" spans="1:25" customFormat="1" x14ac:dyDescent="0.25">
      <c r="A126" s="64" t="s">
        <v>518</v>
      </c>
      <c r="B126" s="69">
        <v>0</v>
      </c>
      <c r="C126" s="69">
        <v>917</v>
      </c>
      <c r="D126" s="69">
        <v>0</v>
      </c>
      <c r="E126" s="69">
        <v>0</v>
      </c>
      <c r="F126" s="69">
        <v>0</v>
      </c>
      <c r="G126" s="69">
        <v>0</v>
      </c>
      <c r="H126" s="151"/>
      <c r="I126" s="151"/>
      <c r="J126" s="152"/>
      <c r="K126" s="153"/>
      <c r="L126" s="153"/>
      <c r="M126" s="153"/>
      <c r="N126" s="153"/>
      <c r="O126" s="153"/>
      <c r="P126" s="153"/>
      <c r="Q126" s="151"/>
      <c r="R126" s="151"/>
      <c r="S126" s="151"/>
      <c r="T126" s="151"/>
      <c r="U126" s="151"/>
      <c r="V126" s="151"/>
      <c r="W126" s="151"/>
      <c r="X126" s="151"/>
      <c r="Y126" s="151"/>
    </row>
    <row r="127" spans="1:25" customFormat="1" x14ac:dyDescent="0.25">
      <c r="A127" s="64" t="s">
        <v>458</v>
      </c>
      <c r="B127" s="101">
        <v>74.652716080305652</v>
      </c>
      <c r="C127" s="101">
        <v>27.172249656912186</v>
      </c>
      <c r="D127" s="101">
        <v>27.941339269881212</v>
      </c>
      <c r="E127" s="101">
        <v>-643.00313802009464</v>
      </c>
      <c r="F127" s="101">
        <v>156.96815352076533</v>
      </c>
      <c r="G127" s="101">
        <v>-304.40712763790634</v>
      </c>
      <c r="H127" s="151"/>
      <c r="I127" s="151"/>
      <c r="J127" s="151"/>
      <c r="K127" s="151"/>
      <c r="L127" s="151"/>
      <c r="M127" s="151"/>
      <c r="N127" s="151"/>
      <c r="O127" s="151"/>
      <c r="P127" s="151"/>
      <c r="Q127" s="151"/>
      <c r="R127" s="151"/>
      <c r="S127" s="151"/>
      <c r="T127" s="151"/>
      <c r="U127" s="151"/>
      <c r="V127" s="151"/>
      <c r="W127" s="151"/>
      <c r="X127" s="151"/>
      <c r="Y127" s="151"/>
    </row>
    <row r="128" spans="1:25" customFormat="1" x14ac:dyDescent="0.25">
      <c r="A128" s="92" t="s">
        <v>445</v>
      </c>
      <c r="B128" s="100">
        <v>1520.8524330614378</v>
      </c>
      <c r="C128" s="100">
        <v>2708.1722496569123</v>
      </c>
      <c r="D128" s="100">
        <v>3468.9413392698812</v>
      </c>
      <c r="E128" s="100">
        <v>2151.2608619799057</v>
      </c>
      <c r="F128" s="100">
        <v>16640.968153520764</v>
      </c>
      <c r="G128" s="100">
        <v>248.59287236209366</v>
      </c>
      <c r="H128" s="151"/>
      <c r="I128" s="151"/>
      <c r="J128" s="151"/>
      <c r="K128" s="151"/>
      <c r="L128" s="151"/>
      <c r="M128" s="151"/>
      <c r="N128" s="151"/>
      <c r="O128" s="151"/>
      <c r="P128" s="151"/>
      <c r="Q128" s="151"/>
      <c r="R128" s="151"/>
      <c r="S128" s="151"/>
      <c r="T128" s="151"/>
      <c r="U128" s="151"/>
      <c r="V128" s="151"/>
      <c r="W128" s="151"/>
      <c r="X128" s="151"/>
      <c r="Y128" s="151"/>
    </row>
    <row r="129" spans="1:25" customFormat="1" x14ac:dyDescent="0.25">
      <c r="A129" s="64" t="s">
        <v>446</v>
      </c>
      <c r="B129" s="101">
        <v>334.58753527351632</v>
      </c>
      <c r="C129" s="101">
        <v>595.79789492452073</v>
      </c>
      <c r="D129" s="101">
        <v>763.16709463937389</v>
      </c>
      <c r="E129" s="101">
        <v>473.27738963557925</v>
      </c>
      <c r="F129" s="101">
        <v>3661.0129937745683</v>
      </c>
      <c r="G129" s="101">
        <v>54.690431919660604</v>
      </c>
      <c r="H129" s="151"/>
      <c r="I129" s="151"/>
      <c r="J129" s="151"/>
      <c r="K129" s="151"/>
      <c r="L129" s="151"/>
      <c r="M129" s="151"/>
      <c r="N129" s="151"/>
      <c r="O129" s="151"/>
      <c r="P129" s="151"/>
      <c r="Q129" s="151"/>
      <c r="R129" s="151"/>
      <c r="S129" s="151"/>
      <c r="T129" s="151"/>
      <c r="U129" s="151"/>
      <c r="V129" s="151"/>
      <c r="W129" s="151"/>
      <c r="X129" s="151"/>
      <c r="Y129" s="151"/>
    </row>
    <row r="130" spans="1:25" customFormat="1" x14ac:dyDescent="0.25">
      <c r="A130" s="92" t="s">
        <v>447</v>
      </c>
      <c r="B130" s="100">
        <v>1186.2648977879214</v>
      </c>
      <c r="C130" s="100">
        <v>2112.3743547323916</v>
      </c>
      <c r="D130" s="100">
        <v>2705.7742446305074</v>
      </c>
      <c r="E130" s="100">
        <v>1677.9834723443264</v>
      </c>
      <c r="F130" s="100">
        <v>12979.955159746196</v>
      </c>
      <c r="G130" s="100">
        <v>193.90244044243306</v>
      </c>
      <c r="H130" s="151"/>
      <c r="I130" s="151"/>
      <c r="J130" s="151"/>
      <c r="K130" s="151"/>
      <c r="L130" s="151"/>
      <c r="M130" s="151"/>
      <c r="N130" s="151"/>
      <c r="O130" s="151"/>
      <c r="P130" s="151"/>
      <c r="Q130" s="151"/>
      <c r="R130" s="151"/>
      <c r="S130" s="151"/>
      <c r="T130" s="151"/>
      <c r="U130" s="151"/>
      <c r="V130" s="151"/>
      <c r="W130" s="151"/>
      <c r="X130" s="151"/>
      <c r="Y130" s="151"/>
    </row>
    <row r="131" spans="1:25" customFormat="1" x14ac:dyDescent="0.25">
      <c r="A131" s="64" t="s">
        <v>448</v>
      </c>
      <c r="B131" s="101">
        <v>-54.519999999999982</v>
      </c>
      <c r="C131" s="101">
        <v>308.24</v>
      </c>
      <c r="D131" s="101">
        <v>442.4</v>
      </c>
      <c r="E131" s="101">
        <v>142.58000000000004</v>
      </c>
      <c r="F131" s="101">
        <v>1423.62</v>
      </c>
      <c r="G131" s="101">
        <v>-6681</v>
      </c>
      <c r="H131" s="151"/>
      <c r="I131" s="151"/>
      <c r="J131" s="151"/>
      <c r="K131" s="151"/>
      <c r="L131" s="151"/>
      <c r="M131" s="151"/>
      <c r="N131" s="151"/>
      <c r="O131" s="151"/>
      <c r="P131" s="151"/>
      <c r="Q131" s="151"/>
      <c r="R131" s="151"/>
      <c r="S131" s="151"/>
      <c r="T131" s="151"/>
      <c r="U131" s="151"/>
      <c r="V131" s="151"/>
      <c r="W131" s="151"/>
      <c r="X131" s="151"/>
      <c r="Y131" s="151"/>
    </row>
    <row r="132" spans="1:25" customFormat="1" x14ac:dyDescent="0.25">
      <c r="A132" s="92" t="s">
        <v>270</v>
      </c>
      <c r="B132" s="102">
        <v>1131.7448977879214</v>
      </c>
      <c r="C132" s="102">
        <v>2420.6143547323918</v>
      </c>
      <c r="D132" s="102">
        <v>3148.1742446305075</v>
      </c>
      <c r="E132" s="102">
        <v>1820.5634723443263</v>
      </c>
      <c r="F132" s="102">
        <v>14403.575159746197</v>
      </c>
      <c r="G132" s="102">
        <v>-6487.0975595575674</v>
      </c>
      <c r="H132" s="151"/>
      <c r="I132" s="151"/>
      <c r="J132" s="151"/>
      <c r="K132" s="151"/>
      <c r="L132" s="151"/>
      <c r="M132" s="151"/>
      <c r="N132" s="151"/>
      <c r="O132" s="151"/>
      <c r="P132" s="151"/>
      <c r="Q132" s="151"/>
      <c r="R132" s="151"/>
      <c r="S132" s="151"/>
      <c r="T132" s="151"/>
      <c r="U132" s="151"/>
      <c r="V132" s="151"/>
      <c r="W132" s="151"/>
      <c r="X132" s="151"/>
      <c r="Y132" s="151"/>
    </row>
    <row r="133" spans="1:25" customFormat="1" ht="15.75" thickBot="1" x14ac:dyDescent="0.3">
      <c r="A133" s="92" t="s">
        <v>276</v>
      </c>
      <c r="B133" s="104">
        <v>3494.7448977879212</v>
      </c>
      <c r="C133" s="104">
        <v>3432.6143547323918</v>
      </c>
      <c r="D133" s="104">
        <v>3504.1742446305075</v>
      </c>
      <c r="E133" s="104">
        <v>3755.5634723443263</v>
      </c>
      <c r="F133" s="104">
        <v>4211.5751597461967</v>
      </c>
      <c r="G133" s="104">
        <v>4453.9024404424326</v>
      </c>
      <c r="H133" s="110"/>
      <c r="I133" s="110"/>
      <c r="J133" s="121">
        <f t="shared" ref="J133" si="73">_xlfn.RRI(5,G133,B133)</f>
        <v>-4.7346525118876492E-2</v>
      </c>
      <c r="K133" s="122">
        <f>AVERAGE(L133:P133)</f>
        <v>-4.6388548237486421E-2</v>
      </c>
      <c r="L133" s="121">
        <f t="shared" ref="L133:O133" si="74">(B133-C133)/C133</f>
        <v>1.81000650334847E-2</v>
      </c>
      <c r="M133" s="121">
        <f t="shared" si="74"/>
        <v>-2.0421327508975285E-2</v>
      </c>
      <c r="N133" s="121">
        <f t="shared" si="74"/>
        <v>-6.6937818935834614E-2</v>
      </c>
      <c r="O133" s="121">
        <f t="shared" si="74"/>
        <v>-0.10827580420750491</v>
      </c>
      <c r="P133" s="121">
        <f>(F133-G133)/G133</f>
        <v>-5.4407855568602011E-2</v>
      </c>
      <c r="Q133" s="110"/>
      <c r="R133" s="110"/>
      <c r="S133" s="110"/>
      <c r="T133" s="110"/>
      <c r="U133" s="110"/>
      <c r="V133" s="110"/>
      <c r="W133" s="110"/>
      <c r="X133" s="110"/>
      <c r="Y133" s="110"/>
    </row>
    <row r="134" spans="1:25" customFormat="1" ht="15.75" thickTop="1" x14ac:dyDescent="0.25">
      <c r="A134" s="64"/>
      <c r="B134" s="96"/>
      <c r="C134" s="96"/>
      <c r="D134" s="96"/>
      <c r="E134" s="96"/>
      <c r="F134" s="96"/>
      <c r="G134" s="96"/>
      <c r="H134" s="110"/>
      <c r="I134" s="110"/>
      <c r="Q134" s="110"/>
      <c r="R134" s="110"/>
      <c r="S134" s="110"/>
      <c r="T134" s="110"/>
      <c r="U134" s="110"/>
      <c r="V134" s="110"/>
      <c r="W134" s="110"/>
      <c r="X134" s="110"/>
      <c r="Y134" s="110"/>
    </row>
    <row r="135" spans="1:25" customFormat="1" x14ac:dyDescent="0.25">
      <c r="A135" s="64" t="s">
        <v>449</v>
      </c>
      <c r="B135" s="105">
        <v>1.9133603238866397</v>
      </c>
      <c r="C135" s="105">
        <v>0.81877022653721687</v>
      </c>
      <c r="D135" s="105">
        <v>0.28990228013029318</v>
      </c>
      <c r="E135" s="105">
        <v>1.5808823529411764</v>
      </c>
      <c r="F135" s="105">
        <v>-8.3609515996718624</v>
      </c>
      <c r="G135" s="105">
        <v>8.9096091205211732</v>
      </c>
      <c r="H135" s="110"/>
      <c r="I135" s="110"/>
      <c r="Q135" s="110"/>
      <c r="R135" s="110"/>
      <c r="S135" s="110"/>
      <c r="T135" s="110"/>
      <c r="U135" s="110"/>
      <c r="V135" s="110"/>
      <c r="W135" s="110"/>
      <c r="X135" s="110"/>
      <c r="Y135" s="110"/>
    </row>
    <row r="136" spans="1:25" customFormat="1" x14ac:dyDescent="0.25">
      <c r="A136" s="64" t="s">
        <v>450</v>
      </c>
      <c r="B136" s="106">
        <v>0.91639262978779046</v>
      </c>
      <c r="C136" s="106">
        <v>1.9584258533433592</v>
      </c>
      <c r="D136" s="106">
        <v>2.5636598083310318</v>
      </c>
      <c r="E136" s="106">
        <v>1.4873884577976522</v>
      </c>
      <c r="F136" s="106">
        <v>11.815894306600654</v>
      </c>
      <c r="G136" s="106">
        <v>-5.2826527357960646</v>
      </c>
      <c r="H136" s="110"/>
      <c r="I136" s="110"/>
      <c r="Q136" s="110"/>
      <c r="R136" s="110"/>
      <c r="S136" s="110"/>
      <c r="T136" s="110"/>
      <c r="U136" s="110"/>
      <c r="V136" s="110"/>
      <c r="W136" s="110"/>
      <c r="X136" s="110"/>
      <c r="Y136" s="110"/>
    </row>
    <row r="137" spans="1:25" customFormat="1" ht="15.75" thickBot="1" x14ac:dyDescent="0.3">
      <c r="A137" s="92" t="s">
        <v>451</v>
      </c>
      <c r="B137" s="103">
        <v>2.8297529536744301</v>
      </c>
      <c r="C137" s="103">
        <v>2.7771960798805759</v>
      </c>
      <c r="D137" s="103">
        <v>2.8535620884613251</v>
      </c>
      <c r="E137" s="103">
        <v>3.0682708107388286</v>
      </c>
      <c r="F137" s="103">
        <v>3.4549427069287915</v>
      </c>
      <c r="G137" s="103">
        <v>3.6269563847251081</v>
      </c>
      <c r="H137" s="110"/>
      <c r="I137" s="110"/>
      <c r="J137" s="121">
        <f>_xlfn.RRI(5,G137,B137)</f>
        <v>-4.8428912970037374E-2</v>
      </c>
      <c r="K137" s="122">
        <f t="shared" ref="K137" si="75">AVERAGE(L137:P137)</f>
        <v>-4.7431847234634526E-2</v>
      </c>
      <c r="L137" s="121">
        <f t="shared" ref="L137" si="76">(B137-C137)/C137</f>
        <v>1.8924437555779008E-2</v>
      </c>
      <c r="M137" s="121">
        <f t="shared" ref="M137" si="77">(C137-D137)/D137</f>
        <v>-2.6761642541279565E-2</v>
      </c>
      <c r="N137" s="121">
        <f t="shared" ref="N137" si="78">(D137-E137)/E137</f>
        <v>-6.9977109427900336E-2</v>
      </c>
      <c r="O137" s="121">
        <f t="shared" ref="O137" si="79">(E137-F137)/F137</f>
        <v>-0.11191846840600371</v>
      </c>
      <c r="P137" s="121">
        <f t="shared" ref="P137" si="80">(F137-G137)/G137</f>
        <v>-4.7426453353768064E-2</v>
      </c>
      <c r="Q137" s="110"/>
      <c r="R137" s="110"/>
      <c r="S137" s="110"/>
      <c r="T137" s="110"/>
      <c r="U137" s="110"/>
      <c r="V137" s="110"/>
      <c r="W137" s="110"/>
      <c r="X137" s="110"/>
      <c r="Y137" s="110"/>
    </row>
    <row r="138" spans="1:25" customFormat="1" ht="15.75" thickTop="1" x14ac:dyDescent="0.25">
      <c r="A138" s="64"/>
      <c r="B138" s="96"/>
      <c r="C138" s="96"/>
      <c r="D138" s="96"/>
      <c r="E138" s="96"/>
      <c r="F138" s="96"/>
      <c r="G138" s="96"/>
      <c r="H138" s="110"/>
      <c r="I138" s="110"/>
      <c r="J138" s="110"/>
      <c r="K138" s="110"/>
      <c r="L138" s="110"/>
      <c r="M138" s="110"/>
      <c r="N138" s="110"/>
      <c r="O138" s="110"/>
      <c r="P138" s="110"/>
      <c r="Q138" s="110"/>
      <c r="R138" s="110"/>
      <c r="S138" s="110"/>
      <c r="T138" s="110"/>
      <c r="U138" s="110"/>
      <c r="V138" s="110"/>
      <c r="W138" s="110"/>
      <c r="X138" s="110"/>
      <c r="Y138" s="110"/>
    </row>
    <row r="139" spans="1:25" customFormat="1" x14ac:dyDescent="0.25">
      <c r="A139" s="64" t="s">
        <v>462</v>
      </c>
      <c r="B139" s="95">
        <v>0.20161834120026972</v>
      </c>
      <c r="C139" s="95">
        <v>0.40046838407494145</v>
      </c>
      <c r="D139" s="95">
        <v>0.64951456310679612</v>
      </c>
      <c r="E139" s="95">
        <v>0.27358136039083053</v>
      </c>
      <c r="F139" s="95">
        <v>9.4249624591467185E-2</v>
      </c>
      <c r="G139" s="95">
        <v>-1.0058715596330274</v>
      </c>
      <c r="H139" s="110"/>
      <c r="I139" s="110"/>
      <c r="J139" s="110"/>
      <c r="K139" s="110"/>
      <c r="L139" s="110"/>
      <c r="M139" s="110"/>
      <c r="N139" s="110"/>
      <c r="O139" s="110"/>
      <c r="P139" s="110"/>
      <c r="Q139" s="110"/>
      <c r="R139" s="110"/>
      <c r="S139" s="110"/>
      <c r="T139" s="110"/>
      <c r="U139" s="110"/>
      <c r="V139" s="110"/>
      <c r="W139" s="110"/>
      <c r="X139" s="110"/>
      <c r="Y139" s="110"/>
    </row>
    <row r="140" spans="1:25" customFormat="1" x14ac:dyDescent="0.25">
      <c r="A140" s="64" t="s">
        <v>453</v>
      </c>
      <c r="B140" s="94">
        <v>0.22</v>
      </c>
      <c r="C140" s="94">
        <v>0.22</v>
      </c>
      <c r="D140" s="94">
        <v>0.22</v>
      </c>
      <c r="E140" s="94">
        <v>0.22</v>
      </c>
      <c r="F140" s="94">
        <v>0.22</v>
      </c>
      <c r="G140" s="94">
        <v>0.22</v>
      </c>
      <c r="H140" s="110"/>
      <c r="I140" s="110"/>
      <c r="J140" s="110"/>
      <c r="K140" s="110"/>
      <c r="L140" s="110"/>
      <c r="M140" s="110"/>
      <c r="N140" s="110"/>
      <c r="O140" s="110"/>
      <c r="P140" s="110"/>
      <c r="Q140" s="110"/>
      <c r="R140" s="110"/>
      <c r="S140" s="110"/>
      <c r="T140" s="110"/>
      <c r="U140" s="110"/>
      <c r="V140" s="110"/>
      <c r="W140" s="110"/>
      <c r="X140" s="110"/>
      <c r="Y140" s="110"/>
    </row>
    <row r="141" spans="1:25" customFormat="1" x14ac:dyDescent="0.25">
      <c r="A141" s="64" t="s">
        <v>454</v>
      </c>
      <c r="B141" s="65">
        <v>652.52</v>
      </c>
      <c r="C141" s="65">
        <v>375.76</v>
      </c>
      <c r="D141" s="65">
        <v>226.6</v>
      </c>
      <c r="E141" s="65">
        <v>585.41999999999996</v>
      </c>
      <c r="F141" s="65">
        <v>-2490.62</v>
      </c>
      <c r="G141" s="65">
        <v>1199</v>
      </c>
      <c r="H141" s="110"/>
      <c r="I141" s="110"/>
      <c r="J141" s="110"/>
      <c r="K141" s="110"/>
      <c r="L141" s="110"/>
      <c r="M141" s="110"/>
      <c r="N141" s="110"/>
      <c r="O141" s="110"/>
      <c r="P141" s="110"/>
      <c r="Q141" s="110"/>
      <c r="R141" s="110"/>
      <c r="S141" s="110"/>
      <c r="T141" s="110"/>
      <c r="U141" s="110"/>
      <c r="V141" s="110"/>
      <c r="W141" s="110"/>
      <c r="X141" s="110"/>
      <c r="Y141" s="110"/>
    </row>
    <row r="142" spans="1:25" customFormat="1" x14ac:dyDescent="0.25">
      <c r="A142" s="64" t="s">
        <v>455</v>
      </c>
      <c r="B142" s="66">
        <v>598</v>
      </c>
      <c r="C142" s="66">
        <v>684</v>
      </c>
      <c r="D142" s="66">
        <v>669</v>
      </c>
      <c r="E142" s="66">
        <v>728</v>
      </c>
      <c r="F142" s="66">
        <v>-1067</v>
      </c>
      <c r="G142" s="66">
        <v>-5482</v>
      </c>
      <c r="H142" s="110"/>
      <c r="I142" s="110"/>
      <c r="J142" s="110"/>
      <c r="K142" s="110"/>
      <c r="L142" s="110"/>
      <c r="M142" s="110"/>
      <c r="N142" s="110"/>
      <c r="O142" s="110"/>
      <c r="P142" s="110"/>
      <c r="Q142" s="110"/>
      <c r="R142" s="110"/>
      <c r="S142" s="110"/>
      <c r="T142" s="110"/>
      <c r="U142" s="110"/>
      <c r="V142" s="110"/>
      <c r="W142" s="110"/>
      <c r="X142" s="110"/>
      <c r="Y142" s="110"/>
    </row>
    <row r="143" spans="1:25" customFormat="1" ht="15.75" thickBot="1" x14ac:dyDescent="0.3">
      <c r="A143" s="92" t="s">
        <v>279</v>
      </c>
      <c r="B143" s="107">
        <v>-54.519999999999982</v>
      </c>
      <c r="C143" s="107">
        <v>308.24</v>
      </c>
      <c r="D143" s="107">
        <v>442.4</v>
      </c>
      <c r="E143" s="107">
        <v>142.58000000000004</v>
      </c>
      <c r="F143" s="107">
        <v>1423.62</v>
      </c>
      <c r="G143" s="107">
        <v>-6681</v>
      </c>
      <c r="H143" s="110"/>
      <c r="I143" s="110"/>
      <c r="J143" s="110"/>
      <c r="K143" s="110"/>
      <c r="L143" s="110"/>
      <c r="M143" s="110"/>
      <c r="N143" s="110"/>
      <c r="O143" s="110"/>
      <c r="P143" s="110"/>
      <c r="Q143" s="110"/>
      <c r="R143" s="110"/>
      <c r="S143" s="110"/>
      <c r="T143" s="110"/>
      <c r="U143" s="110"/>
      <c r="V143" s="110"/>
      <c r="W143" s="110"/>
      <c r="X143" s="110"/>
      <c r="Y143" s="110"/>
    </row>
    <row r="144" spans="1:25" ht="15.75" thickTop="1" x14ac:dyDescent="0.25">
      <c r="J144" s="28"/>
      <c r="K144" s="28"/>
      <c r="L144" s="28"/>
      <c r="M144" s="28"/>
      <c r="N144" s="28"/>
      <c r="O144" s="28"/>
      <c r="P144" s="28"/>
      <c r="R144" s="28"/>
      <c r="S144" s="28"/>
      <c r="T144" s="28"/>
      <c r="U144" s="28"/>
      <c r="V144" s="28"/>
      <c r="W144" s="28"/>
      <c r="X144" s="28"/>
    </row>
    <row r="145" spans="1:24" s="15" customFormat="1" x14ac:dyDescent="0.25">
      <c r="A145" s="15" t="str">
        <f>+A1</f>
        <v>Kraft Heinz Company</v>
      </c>
      <c r="B145" s="15" t="str">
        <f>+B1</f>
        <v>Recurring</v>
      </c>
      <c r="J145" s="15" t="str">
        <f>+B145</f>
        <v>Recurring</v>
      </c>
      <c r="R145" s="15" t="str">
        <f>+B145</f>
        <v>Recurring</v>
      </c>
    </row>
    <row r="146" spans="1:24" s="15" customFormat="1" x14ac:dyDescent="0.25">
      <c r="A146" s="15" t="s">
        <v>64</v>
      </c>
      <c r="J146" s="15" t="s">
        <v>138</v>
      </c>
      <c r="R146" s="15" t="s">
        <v>131</v>
      </c>
    </row>
    <row r="147" spans="1:24" s="15" customFormat="1" x14ac:dyDescent="0.25">
      <c r="A147" s="15" t="str">
        <f>+A3</f>
        <v>in millions except per share data</v>
      </c>
      <c r="F147" s="15" t="s">
        <v>150</v>
      </c>
      <c r="G147" s="16" t="s">
        <v>125</v>
      </c>
      <c r="H147" s="16"/>
      <c r="O147" s="16" t="s">
        <v>125</v>
      </c>
      <c r="P147" s="16"/>
      <c r="R147" s="15" t="s">
        <v>127</v>
      </c>
      <c r="S147" s="15" t="s">
        <v>129</v>
      </c>
      <c r="T147" s="15" t="s">
        <v>132</v>
      </c>
      <c r="U147" s="15" t="s">
        <v>133</v>
      </c>
      <c r="V147" s="15" t="s">
        <v>134</v>
      </c>
      <c r="W147" s="15" t="s">
        <v>135</v>
      </c>
      <c r="X147" s="15" t="s">
        <v>136</v>
      </c>
    </row>
    <row r="148" spans="1:24" s="15" customFormat="1" ht="15.75" thickBot="1" x14ac:dyDescent="0.3">
      <c r="A148" s="16" t="str">
        <f>+A4</f>
        <v>Year ended near 12/31:</v>
      </c>
      <c r="B148" s="17">
        <v>2022</v>
      </c>
      <c r="C148" s="17">
        <v>2021</v>
      </c>
      <c r="D148" s="17">
        <v>2020</v>
      </c>
      <c r="E148" s="17">
        <v>2019</v>
      </c>
      <c r="F148" s="17">
        <v>2018</v>
      </c>
      <c r="G148" s="17">
        <v>2017</v>
      </c>
      <c r="H148" s="17" t="s">
        <v>157</v>
      </c>
      <c r="J148" s="17">
        <v>2022</v>
      </c>
      <c r="K148" s="17">
        <v>2021</v>
      </c>
      <c r="L148" s="17">
        <v>2020</v>
      </c>
      <c r="M148" s="17">
        <v>2019</v>
      </c>
      <c r="N148" s="17">
        <v>2018</v>
      </c>
      <c r="O148" s="17">
        <v>2017</v>
      </c>
      <c r="P148" s="22"/>
      <c r="R148" s="29" t="s">
        <v>128</v>
      </c>
      <c r="S148" s="29" t="s">
        <v>130</v>
      </c>
      <c r="T148" s="17">
        <v>2022</v>
      </c>
      <c r="U148" s="17">
        <v>2021</v>
      </c>
      <c r="V148" s="17">
        <v>2020</v>
      </c>
      <c r="W148" s="17">
        <v>2019</v>
      </c>
      <c r="X148" s="17">
        <v>2018</v>
      </c>
    </row>
    <row r="149" spans="1:24" x14ac:dyDescent="0.25">
      <c r="A149" s="2" t="s">
        <v>188</v>
      </c>
      <c r="B149" s="8">
        <f>+'Phase 2'!B68</f>
        <v>2368</v>
      </c>
      <c r="C149" s="8">
        <f>+'Phase 2'!C68</f>
        <v>1024</v>
      </c>
      <c r="D149" s="8">
        <f>+'Phase 2'!D68</f>
        <v>361</v>
      </c>
      <c r="E149" s="8">
        <f>+'Phase 2'!E68</f>
        <v>1933</v>
      </c>
      <c r="F149" s="8">
        <f>+'Phase 2'!F68</f>
        <v>-10254</v>
      </c>
      <c r="G149" s="8">
        <f>+'Phase 2'!G68</f>
        <v>10932</v>
      </c>
      <c r="H149" s="8">
        <f t="shared" ref="H149:H162" si="81">SUM(B149:G149)</f>
        <v>6364</v>
      </c>
      <c r="J149" s="28"/>
      <c r="K149" s="28"/>
      <c r="L149" s="28"/>
      <c r="M149" s="28"/>
      <c r="N149" s="28"/>
      <c r="O149" s="28"/>
      <c r="P149" s="28"/>
      <c r="R149" s="28">
        <f t="shared" ref="R149:R169" si="82">RATE(5,0,-G149,B149)</f>
        <v>-0.26356161826246205</v>
      </c>
      <c r="S149" s="28">
        <f t="shared" si="40"/>
        <v>-0.15813412150269723</v>
      </c>
      <c r="T149" s="28">
        <f t="shared" ref="T149:X169" si="83">(+B149-C149)/C149</f>
        <v>1.3125</v>
      </c>
      <c r="U149" s="28">
        <f t="shared" si="83"/>
        <v>1.8365650969529086</v>
      </c>
      <c r="V149" s="28">
        <f t="shared" si="83"/>
        <v>-0.81324366270046555</v>
      </c>
      <c r="W149" s="28">
        <f t="shared" si="83"/>
        <v>-1.1885118002730641</v>
      </c>
      <c r="X149" s="28">
        <f t="shared" si="83"/>
        <v>-1.9379802414928651</v>
      </c>
    </row>
    <row r="150" spans="1:24" x14ac:dyDescent="0.25">
      <c r="A150" s="5" t="s">
        <v>66</v>
      </c>
      <c r="B150" s="2">
        <v>933</v>
      </c>
      <c r="C150" s="2">
        <v>910</v>
      </c>
      <c r="D150" s="2">
        <v>969</v>
      </c>
      <c r="E150" s="2">
        <v>994</v>
      </c>
      <c r="F150" s="2">
        <v>983</v>
      </c>
      <c r="G150" s="2">
        <v>1031</v>
      </c>
      <c r="H150" s="2">
        <f t="shared" si="81"/>
        <v>5820</v>
      </c>
      <c r="J150" s="28"/>
      <c r="K150" s="28"/>
      <c r="L150" s="28"/>
      <c r="M150" s="28"/>
      <c r="N150" s="28"/>
      <c r="O150" s="28"/>
      <c r="P150" s="28"/>
      <c r="R150" s="28">
        <f t="shared" si="82"/>
        <v>-1.9777661112159107E-2</v>
      </c>
      <c r="S150" s="28">
        <f t="shared" si="40"/>
        <v>-1.9226040021655122E-2</v>
      </c>
      <c r="T150" s="28">
        <f t="shared" si="83"/>
        <v>2.5274725274725275E-2</v>
      </c>
      <c r="U150" s="28">
        <f t="shared" si="83"/>
        <v>-6.0887512899896801E-2</v>
      </c>
      <c r="V150" s="28">
        <f t="shared" si="83"/>
        <v>-2.5150905432595575E-2</v>
      </c>
      <c r="W150" s="28">
        <f t="shared" si="83"/>
        <v>1.1190233977619531E-2</v>
      </c>
      <c r="X150" s="28">
        <f t="shared" si="83"/>
        <v>-4.6556741028128033E-2</v>
      </c>
    </row>
    <row r="151" spans="1:24" x14ac:dyDescent="0.25">
      <c r="A151" s="5" t="s">
        <v>67</v>
      </c>
      <c r="B151" s="2">
        <v>-14</v>
      </c>
      <c r="C151" s="2">
        <v>-7</v>
      </c>
      <c r="D151" s="2">
        <v>-122</v>
      </c>
      <c r="E151" s="2">
        <v>-306</v>
      </c>
      <c r="F151" s="2">
        <v>-339</v>
      </c>
      <c r="G151" s="2">
        <v>-328</v>
      </c>
      <c r="H151" s="2">
        <f t="shared" si="81"/>
        <v>-1116</v>
      </c>
      <c r="J151" s="28"/>
      <c r="K151" s="28"/>
      <c r="L151" s="28"/>
      <c r="M151" s="28"/>
      <c r="N151" s="28"/>
      <c r="O151" s="28"/>
      <c r="P151" s="28"/>
      <c r="R151" s="28">
        <f t="shared" si="82"/>
        <v>-0.46782944863591575</v>
      </c>
      <c r="S151" s="28">
        <f t="shared" si="40"/>
        <v>-0.12154773754793299</v>
      </c>
      <c r="T151" s="28">
        <f t="shared" si="83"/>
        <v>1</v>
      </c>
      <c r="U151" s="28">
        <f t="shared" si="83"/>
        <v>-0.94262295081967218</v>
      </c>
      <c r="V151" s="28">
        <f t="shared" si="83"/>
        <v>-0.60130718954248363</v>
      </c>
      <c r="W151" s="28">
        <f t="shared" si="83"/>
        <v>-9.7345132743362831E-2</v>
      </c>
      <c r="X151" s="28">
        <f t="shared" si="83"/>
        <v>3.3536585365853661E-2</v>
      </c>
    </row>
    <row r="152" spans="1:24" x14ac:dyDescent="0.25">
      <c r="A152" s="5" t="s">
        <v>193</v>
      </c>
      <c r="B152" s="2">
        <v>-56</v>
      </c>
      <c r="C152" s="2">
        <v>-4</v>
      </c>
      <c r="D152" s="2">
        <v>0</v>
      </c>
      <c r="E152" s="2">
        <v>0</v>
      </c>
      <c r="F152" s="2">
        <v>0</v>
      </c>
      <c r="G152" s="2">
        <v>0</v>
      </c>
      <c r="H152" s="2">
        <f t="shared" si="81"/>
        <v>-60</v>
      </c>
      <c r="J152" s="28"/>
      <c r="K152" s="28"/>
      <c r="L152" s="28"/>
      <c r="M152" s="28"/>
      <c r="N152" s="28"/>
      <c r="O152" s="28"/>
      <c r="P152" s="28"/>
      <c r="R152" s="28" t="e">
        <f t="shared" si="82"/>
        <v>#NUM!</v>
      </c>
      <c r="S152" s="28" t="e">
        <f t="shared" si="40"/>
        <v>#DIV/0!</v>
      </c>
      <c r="T152" s="28">
        <f t="shared" si="83"/>
        <v>13</v>
      </c>
      <c r="U152" s="28" t="e">
        <f t="shared" si="83"/>
        <v>#DIV/0!</v>
      </c>
      <c r="V152" s="28" t="e">
        <f t="shared" si="83"/>
        <v>#DIV/0!</v>
      </c>
      <c r="W152" s="28" t="e">
        <f t="shared" si="83"/>
        <v>#DIV/0!</v>
      </c>
      <c r="X152" s="28" t="e">
        <f t="shared" si="83"/>
        <v>#DIV/0!</v>
      </c>
    </row>
    <row r="153" spans="1:24" x14ac:dyDescent="0.25">
      <c r="A153" s="5" t="s">
        <v>68</v>
      </c>
      <c r="B153" s="2">
        <v>148</v>
      </c>
      <c r="C153" s="2">
        <v>197</v>
      </c>
      <c r="D153" s="2">
        <v>156</v>
      </c>
      <c r="E153" s="2">
        <v>46</v>
      </c>
      <c r="F153" s="2">
        <v>33</v>
      </c>
      <c r="G153" s="2">
        <v>46</v>
      </c>
      <c r="H153" s="2">
        <f t="shared" si="81"/>
        <v>626</v>
      </c>
      <c r="J153" s="28"/>
      <c r="K153" s="28"/>
      <c r="L153" s="28"/>
      <c r="M153" s="28"/>
      <c r="N153" s="28"/>
      <c r="O153" s="28"/>
      <c r="P153" s="28"/>
      <c r="R153" s="28">
        <f t="shared" si="82"/>
        <v>0.2632833632037212</v>
      </c>
      <c r="S153" s="28">
        <f t="shared" si="40"/>
        <v>0.50334491889336297</v>
      </c>
      <c r="T153" s="28">
        <f t="shared" si="83"/>
        <v>-0.24873096446700507</v>
      </c>
      <c r="U153" s="28">
        <f t="shared" si="83"/>
        <v>0.26282051282051283</v>
      </c>
      <c r="V153" s="28">
        <f t="shared" si="83"/>
        <v>2.3913043478260869</v>
      </c>
      <c r="W153" s="28">
        <f t="shared" si="83"/>
        <v>0.39393939393939392</v>
      </c>
      <c r="X153" s="28">
        <f t="shared" si="83"/>
        <v>-0.28260869565217389</v>
      </c>
    </row>
    <row r="154" spans="1:24" x14ac:dyDescent="0.25">
      <c r="A154" s="5" t="s">
        <v>28</v>
      </c>
      <c r="B154" s="2">
        <v>-278</v>
      </c>
      <c r="C154" s="2">
        <v>-1042</v>
      </c>
      <c r="D154" s="2">
        <v>-343</v>
      </c>
      <c r="E154" s="2">
        <v>-293</v>
      </c>
      <c r="F154" s="2">
        <v>-1967</v>
      </c>
      <c r="G154" s="2">
        <v>-6495</v>
      </c>
      <c r="H154" s="2">
        <f t="shared" si="81"/>
        <v>-10418</v>
      </c>
      <c r="J154" s="28"/>
      <c r="K154" s="28"/>
      <c r="L154" s="28"/>
      <c r="M154" s="28"/>
      <c r="N154" s="28"/>
      <c r="O154" s="28"/>
      <c r="P154" s="28"/>
      <c r="R154" s="28">
        <f t="shared" si="82"/>
        <v>-0.46753247175287116</v>
      </c>
      <c r="S154" s="28">
        <f t="shared" si="40"/>
        <v>-1.4569977367617493E-2</v>
      </c>
      <c r="T154" s="28">
        <f t="shared" si="83"/>
        <v>-0.73320537428023036</v>
      </c>
      <c r="U154" s="28">
        <f t="shared" si="83"/>
        <v>2.0379008746355685</v>
      </c>
      <c r="V154" s="28">
        <f t="shared" si="83"/>
        <v>0.17064846416382254</v>
      </c>
      <c r="W154" s="28">
        <f t="shared" si="83"/>
        <v>-0.85104219623792576</v>
      </c>
      <c r="X154" s="28">
        <f t="shared" si="83"/>
        <v>-0.69715165511932253</v>
      </c>
    </row>
    <row r="155" spans="1:24" x14ac:dyDescent="0.25">
      <c r="A155" s="5" t="s">
        <v>69</v>
      </c>
      <c r="B155" s="2">
        <v>-23</v>
      </c>
      <c r="C155" s="2">
        <v>-27</v>
      </c>
      <c r="D155" s="2">
        <v>-27</v>
      </c>
      <c r="E155" s="2">
        <v>-32</v>
      </c>
      <c r="F155" s="2">
        <v>-76</v>
      </c>
      <c r="G155" s="2">
        <v>-1659</v>
      </c>
      <c r="H155" s="2">
        <f t="shared" si="81"/>
        <v>-1844</v>
      </c>
      <c r="J155" s="28"/>
      <c r="K155" s="28"/>
      <c r="L155" s="28"/>
      <c r="M155" s="28"/>
      <c r="N155" s="28"/>
      <c r="O155" s="28"/>
      <c r="P155" s="28"/>
      <c r="R155" s="28">
        <f t="shared" si="82"/>
        <v>-0.57501236935767197</v>
      </c>
      <c r="S155" s="28">
        <f t="shared" si="40"/>
        <v>-0.36750695744283352</v>
      </c>
      <c r="T155" s="28">
        <f t="shared" si="83"/>
        <v>-0.14814814814814814</v>
      </c>
      <c r="U155" s="28">
        <f t="shared" si="83"/>
        <v>0</v>
      </c>
      <c r="V155" s="28">
        <f t="shared" si="83"/>
        <v>-0.15625</v>
      </c>
      <c r="W155" s="28">
        <f t="shared" si="83"/>
        <v>-0.57894736842105265</v>
      </c>
      <c r="X155" s="28">
        <f t="shared" si="83"/>
        <v>-0.95418927064496684</v>
      </c>
    </row>
    <row r="156" spans="1:24" x14ac:dyDescent="0.25">
      <c r="A156" s="5" t="s">
        <v>70</v>
      </c>
      <c r="B156" s="2">
        <v>913</v>
      </c>
      <c r="C156" s="2">
        <v>1634</v>
      </c>
      <c r="D156" s="2">
        <v>3399</v>
      </c>
      <c r="E156" s="2">
        <v>1899</v>
      </c>
      <c r="F156" s="2">
        <v>15936</v>
      </c>
      <c r="G156" s="2">
        <v>49</v>
      </c>
      <c r="H156" s="2">
        <f t="shared" si="81"/>
        <v>23830</v>
      </c>
      <c r="J156" s="28"/>
      <c r="K156" s="28"/>
      <c r="L156" s="28"/>
      <c r="M156" s="28"/>
      <c r="N156" s="28"/>
      <c r="O156" s="28"/>
      <c r="P156" s="28"/>
      <c r="R156" s="28">
        <f t="shared" si="82"/>
        <v>0.79496068015980603</v>
      </c>
      <c r="S156" s="28">
        <f t="shared" si="40"/>
        <v>64.634604904875033</v>
      </c>
      <c r="T156" s="28">
        <f t="shared" si="83"/>
        <v>-0.44124847001223988</v>
      </c>
      <c r="U156" s="28">
        <f t="shared" si="83"/>
        <v>-0.51927037363930573</v>
      </c>
      <c r="V156" s="28">
        <f t="shared" si="83"/>
        <v>0.78988941548183256</v>
      </c>
      <c r="W156" s="28">
        <f t="shared" si="83"/>
        <v>-0.88083584337349397</v>
      </c>
      <c r="X156" s="28">
        <f t="shared" si="83"/>
        <v>324.22448979591837</v>
      </c>
    </row>
    <row r="157" spans="1:24" x14ac:dyDescent="0.25">
      <c r="A157" s="5" t="s">
        <v>71</v>
      </c>
      <c r="B157" s="2">
        <v>17</v>
      </c>
      <c r="C157" s="2">
        <v>0</v>
      </c>
      <c r="D157" s="2">
        <v>6</v>
      </c>
      <c r="E157" s="2">
        <v>10</v>
      </c>
      <c r="F157" s="2">
        <v>146</v>
      </c>
      <c r="G157" s="2">
        <v>36</v>
      </c>
      <c r="H157" s="2">
        <f t="shared" si="81"/>
        <v>215</v>
      </c>
      <c r="J157" s="28"/>
      <c r="K157" s="28"/>
      <c r="L157" s="28"/>
      <c r="M157" s="28"/>
      <c r="N157" s="28"/>
      <c r="O157" s="28"/>
      <c r="P157" s="28"/>
      <c r="R157" s="28">
        <f t="shared" si="82"/>
        <v>-0.13934462747481444</v>
      </c>
      <c r="S157" s="28" t="e">
        <f t="shared" si="40"/>
        <v>#DIV/0!</v>
      </c>
      <c r="T157" s="28" t="e">
        <f t="shared" si="83"/>
        <v>#DIV/0!</v>
      </c>
      <c r="U157" s="28">
        <f t="shared" si="83"/>
        <v>-1</v>
      </c>
      <c r="V157" s="28">
        <f t="shared" si="83"/>
        <v>-0.4</v>
      </c>
      <c r="W157" s="28">
        <f t="shared" si="83"/>
        <v>-0.93150684931506844</v>
      </c>
      <c r="X157" s="28">
        <f t="shared" si="83"/>
        <v>3.0555555555555554</v>
      </c>
    </row>
    <row r="158" spans="1:24" x14ac:dyDescent="0.25">
      <c r="A158" s="5" t="s">
        <v>72</v>
      </c>
      <c r="B158" s="2">
        <v>-25</v>
      </c>
      <c r="C158" s="2">
        <v>-44</v>
      </c>
      <c r="D158" s="2">
        <v>2</v>
      </c>
      <c r="E158" s="2">
        <v>-420</v>
      </c>
      <c r="F158" s="2">
        <v>15</v>
      </c>
      <c r="G158" s="2">
        <v>0</v>
      </c>
      <c r="H158" s="2">
        <f t="shared" si="81"/>
        <v>-472</v>
      </c>
      <c r="J158" s="28"/>
      <c r="K158" s="28"/>
      <c r="L158" s="28"/>
      <c r="M158" s="28"/>
      <c r="N158" s="28"/>
      <c r="O158" s="28"/>
      <c r="P158" s="28"/>
      <c r="R158" s="28" t="e">
        <f t="shared" si="82"/>
        <v>#NUM!</v>
      </c>
      <c r="S158" s="28" t="e">
        <f t="shared" si="40"/>
        <v>#DIV/0!</v>
      </c>
      <c r="T158" s="28">
        <f t="shared" si="83"/>
        <v>-0.43181818181818182</v>
      </c>
      <c r="U158" s="28">
        <f t="shared" si="83"/>
        <v>-23</v>
      </c>
      <c r="V158" s="28">
        <f t="shared" si="83"/>
        <v>-1.0047619047619047</v>
      </c>
      <c r="W158" s="28">
        <f t="shared" si="83"/>
        <v>-29</v>
      </c>
      <c r="X158" s="28" t="e">
        <f t="shared" si="83"/>
        <v>#DIV/0!</v>
      </c>
    </row>
    <row r="159" spans="1:24" x14ac:dyDescent="0.25">
      <c r="A159" s="5" t="s">
        <v>194</v>
      </c>
      <c r="B159" s="2">
        <v>0</v>
      </c>
      <c r="C159" s="2">
        <v>1587</v>
      </c>
      <c r="D159" s="2">
        <v>0</v>
      </c>
      <c r="E159" s="2">
        <v>0</v>
      </c>
      <c r="F159" s="2">
        <v>0</v>
      </c>
      <c r="G159" s="2">
        <v>0</v>
      </c>
      <c r="H159" s="2">
        <f t="shared" si="81"/>
        <v>1587</v>
      </c>
      <c r="J159" s="28"/>
      <c r="K159" s="28"/>
      <c r="L159" s="28"/>
      <c r="M159" s="28"/>
      <c r="N159" s="28"/>
      <c r="O159" s="28"/>
      <c r="P159" s="28"/>
      <c r="R159" s="28" t="e">
        <f t="shared" si="82"/>
        <v>#NUM!</v>
      </c>
      <c r="S159" s="28" t="e">
        <f t="shared" si="40"/>
        <v>#DIV/0!</v>
      </c>
      <c r="T159" s="28">
        <f t="shared" si="83"/>
        <v>-1</v>
      </c>
      <c r="U159" s="28" t="e">
        <f t="shared" si="83"/>
        <v>#DIV/0!</v>
      </c>
      <c r="V159" s="28" t="e">
        <f t="shared" si="83"/>
        <v>#DIV/0!</v>
      </c>
      <c r="W159" s="28" t="e">
        <f t="shared" si="83"/>
        <v>#DIV/0!</v>
      </c>
      <c r="X159" s="28" t="e">
        <f t="shared" si="83"/>
        <v>#DIV/0!</v>
      </c>
    </row>
    <row r="160" spans="1:24" x14ac:dyDescent="0.25">
      <c r="A160" s="5" t="s">
        <v>74</v>
      </c>
      <c r="B160" s="2">
        <v>-38</v>
      </c>
      <c r="C160" s="2">
        <v>917</v>
      </c>
      <c r="D160" s="2">
        <v>124</v>
      </c>
      <c r="E160" s="2">
        <v>0</v>
      </c>
      <c r="F160" s="2">
        <v>0</v>
      </c>
      <c r="G160" s="2">
        <v>0</v>
      </c>
      <c r="H160" s="2">
        <f t="shared" si="81"/>
        <v>1003</v>
      </c>
      <c r="J160" s="28"/>
      <c r="K160" s="28"/>
      <c r="L160" s="28"/>
      <c r="M160" s="28"/>
      <c r="N160" s="28"/>
      <c r="O160" s="28"/>
      <c r="P160" s="28"/>
      <c r="R160" s="28" t="e">
        <f t="shared" si="82"/>
        <v>#NUM!</v>
      </c>
      <c r="S160" s="28" t="e">
        <f t="shared" si="40"/>
        <v>#DIV/0!</v>
      </c>
      <c r="T160" s="28">
        <f t="shared" si="83"/>
        <v>-1.0414394765539803</v>
      </c>
      <c r="U160" s="28">
        <f t="shared" si="83"/>
        <v>6.395161290322581</v>
      </c>
      <c r="V160" s="28" t="e">
        <f t="shared" si="83"/>
        <v>#DIV/0!</v>
      </c>
      <c r="W160" s="28" t="e">
        <f t="shared" si="83"/>
        <v>#DIV/0!</v>
      </c>
      <c r="X160" s="28" t="e">
        <f t="shared" si="83"/>
        <v>#DIV/0!</v>
      </c>
    </row>
    <row r="161" spans="1:24" x14ac:dyDescent="0.25">
      <c r="A161" s="5" t="s">
        <v>75</v>
      </c>
      <c r="B161" s="2">
        <v>7</v>
      </c>
      <c r="C161" s="2">
        <v>-187</v>
      </c>
      <c r="D161" s="2">
        <v>-54</v>
      </c>
      <c r="E161" s="2">
        <v>-46</v>
      </c>
      <c r="F161" s="2">
        <v>160</v>
      </c>
      <c r="G161" s="2">
        <v>253</v>
      </c>
      <c r="H161" s="2">
        <f t="shared" si="81"/>
        <v>133</v>
      </c>
      <c r="J161" s="28"/>
      <c r="K161" s="28"/>
      <c r="L161" s="28"/>
      <c r="M161" s="28"/>
      <c r="N161" s="28"/>
      <c r="O161" s="28"/>
      <c r="P161" s="28"/>
      <c r="R161" s="30">
        <f t="shared" si="82"/>
        <v>-0.51202732470001944</v>
      </c>
      <c r="S161" s="30">
        <f t="shared" si="40"/>
        <v>-1.1129216289062849E-2</v>
      </c>
      <c r="T161" s="30">
        <f t="shared" si="83"/>
        <v>-1.0374331550802138</v>
      </c>
      <c r="U161" s="30">
        <f t="shared" si="83"/>
        <v>2.4629629629629628</v>
      </c>
      <c r="V161" s="30">
        <f t="shared" si="83"/>
        <v>0.17391304347826086</v>
      </c>
      <c r="W161" s="30">
        <f t="shared" si="83"/>
        <v>-1.2875000000000001</v>
      </c>
      <c r="X161" s="30">
        <f t="shared" si="83"/>
        <v>-0.3675889328063241</v>
      </c>
    </row>
    <row r="162" spans="1:24" x14ac:dyDescent="0.25">
      <c r="A162" s="19" t="s">
        <v>76</v>
      </c>
      <c r="B162" s="20">
        <f>SUM(B149:B161)</f>
        <v>3952</v>
      </c>
      <c r="C162" s="20">
        <f t="shared" ref="C162:G162" si="84">SUM(C149:C161)</f>
        <v>4958</v>
      </c>
      <c r="D162" s="20">
        <f t="shared" si="84"/>
        <v>4471</v>
      </c>
      <c r="E162" s="20">
        <f t="shared" si="84"/>
        <v>3785</v>
      </c>
      <c r="F162" s="20">
        <f t="shared" si="84"/>
        <v>4637</v>
      </c>
      <c r="G162" s="20">
        <f t="shared" si="84"/>
        <v>3865</v>
      </c>
      <c r="H162" s="20">
        <f t="shared" si="81"/>
        <v>25668</v>
      </c>
      <c r="J162" s="28"/>
      <c r="K162" s="28"/>
      <c r="L162" s="28"/>
      <c r="M162" s="28"/>
      <c r="N162" s="28"/>
      <c r="O162" s="28"/>
      <c r="P162" s="28"/>
      <c r="R162" s="28">
        <f t="shared" si="82"/>
        <v>4.461944531612725E-3</v>
      </c>
      <c r="S162" s="28">
        <f t="shared" si="40"/>
        <v>2.0652661175588411E-2</v>
      </c>
      <c r="T162" s="28">
        <f t="shared" si="83"/>
        <v>-0.20290439693424769</v>
      </c>
      <c r="U162" s="28">
        <f t="shared" si="83"/>
        <v>0.1089241780362335</v>
      </c>
      <c r="V162" s="28">
        <f t="shared" si="83"/>
        <v>0.18124174372523116</v>
      </c>
      <c r="W162" s="28">
        <f t="shared" si="83"/>
        <v>-0.18373948673711452</v>
      </c>
      <c r="X162" s="28">
        <f t="shared" si="83"/>
        <v>0.1997412677878396</v>
      </c>
    </row>
    <row r="163" spans="1:24" x14ac:dyDescent="0.25">
      <c r="A163" s="2" t="s">
        <v>77</v>
      </c>
      <c r="J163" s="28"/>
      <c r="K163" s="28"/>
      <c r="L163" s="28"/>
      <c r="M163" s="28"/>
      <c r="N163" s="28"/>
      <c r="O163" s="28"/>
      <c r="P163" s="28"/>
      <c r="R163" s="28" t="e">
        <f t="shared" si="82"/>
        <v>#NUM!</v>
      </c>
      <c r="S163" s="28" t="e">
        <f t="shared" si="40"/>
        <v>#DIV/0!</v>
      </c>
      <c r="T163" s="28" t="e">
        <f t="shared" si="83"/>
        <v>#DIV/0!</v>
      </c>
      <c r="U163" s="28" t="e">
        <f t="shared" si="83"/>
        <v>#DIV/0!</v>
      </c>
      <c r="V163" s="28" t="e">
        <f t="shared" si="83"/>
        <v>#DIV/0!</v>
      </c>
      <c r="W163" s="28" t="e">
        <f t="shared" si="83"/>
        <v>#DIV/0!</v>
      </c>
      <c r="X163" s="28" t="e">
        <f t="shared" si="83"/>
        <v>#DIV/0!</v>
      </c>
    </row>
    <row r="164" spans="1:24" x14ac:dyDescent="0.25">
      <c r="A164" s="5" t="s">
        <v>7</v>
      </c>
      <c r="B164" s="2">
        <v>-228</v>
      </c>
      <c r="C164" s="2">
        <v>87</v>
      </c>
      <c r="D164" s="2">
        <v>-26</v>
      </c>
      <c r="E164" s="2">
        <v>140</v>
      </c>
      <c r="F164" s="2">
        <v>-2280</v>
      </c>
      <c r="G164" s="2">
        <v>-2629</v>
      </c>
      <c r="H164" s="2">
        <f t="shared" ref="H164:H169" si="85">SUM(B164:G164)</f>
        <v>-4936</v>
      </c>
      <c r="J164" s="28"/>
      <c r="K164" s="28"/>
      <c r="L164" s="28"/>
      <c r="M164" s="28"/>
      <c r="N164" s="28"/>
      <c r="O164" s="28"/>
      <c r="P164" s="28"/>
      <c r="R164" s="28">
        <f t="shared" si="82"/>
        <v>-0.38676229142799318</v>
      </c>
      <c r="S164" s="28">
        <f t="shared" si="40"/>
        <v>-2.069342278181133</v>
      </c>
      <c r="T164" s="28">
        <f t="shared" si="83"/>
        <v>-3.6206896551724137</v>
      </c>
      <c r="U164" s="28">
        <f t="shared" si="83"/>
        <v>-4.3461538461538458</v>
      </c>
      <c r="V164" s="28">
        <f t="shared" si="83"/>
        <v>-1.1857142857142857</v>
      </c>
      <c r="W164" s="28">
        <f t="shared" si="83"/>
        <v>-1.0614035087719298</v>
      </c>
      <c r="X164" s="28">
        <f t="shared" si="83"/>
        <v>-0.13275009509319133</v>
      </c>
    </row>
    <row r="165" spans="1:24" x14ac:dyDescent="0.25">
      <c r="A165" s="5" t="s">
        <v>8</v>
      </c>
      <c r="B165" s="2">
        <v>-1121</v>
      </c>
      <c r="C165" s="2">
        <v>-144</v>
      </c>
      <c r="D165" s="2">
        <v>-249</v>
      </c>
      <c r="E165" s="2">
        <v>-277</v>
      </c>
      <c r="F165" s="2">
        <v>-251</v>
      </c>
      <c r="G165" s="2">
        <v>-236</v>
      </c>
      <c r="H165" s="2">
        <f t="shared" si="85"/>
        <v>-2278</v>
      </c>
      <c r="J165" s="28"/>
      <c r="K165" s="28"/>
      <c r="L165" s="28"/>
      <c r="M165" s="28"/>
      <c r="N165" s="28"/>
      <c r="O165" s="28"/>
      <c r="P165" s="28"/>
      <c r="R165" s="28">
        <f t="shared" si="82"/>
        <v>0.36564783932642692</v>
      </c>
      <c r="S165" s="28">
        <f t="shared" si="40"/>
        <v>1.2858194844295423</v>
      </c>
      <c r="T165" s="28">
        <f t="shared" si="83"/>
        <v>6.7847222222222223</v>
      </c>
      <c r="U165" s="28">
        <f t="shared" si="83"/>
        <v>-0.42168674698795183</v>
      </c>
      <c r="V165" s="28">
        <f t="shared" si="83"/>
        <v>-0.10108303249097472</v>
      </c>
      <c r="W165" s="28">
        <f t="shared" si="83"/>
        <v>0.10358565737051793</v>
      </c>
      <c r="X165" s="28">
        <f t="shared" si="83"/>
        <v>6.3559322033898302E-2</v>
      </c>
    </row>
    <row r="166" spans="1:24" x14ac:dyDescent="0.25">
      <c r="A166" s="5" t="s">
        <v>78</v>
      </c>
      <c r="B166" s="2">
        <v>152</v>
      </c>
      <c r="C166" s="2">
        <v>408</v>
      </c>
      <c r="D166" s="2">
        <v>207</v>
      </c>
      <c r="E166" s="2">
        <v>-58</v>
      </c>
      <c r="F166" s="2">
        <v>-23</v>
      </c>
      <c r="G166" s="2">
        <v>441</v>
      </c>
      <c r="H166" s="2">
        <f t="shared" si="85"/>
        <v>1127</v>
      </c>
      <c r="J166" s="28"/>
      <c r="K166" s="28"/>
      <c r="L166" s="28"/>
      <c r="M166" s="28"/>
      <c r="N166" s="28"/>
      <c r="O166" s="28"/>
      <c r="P166" s="28"/>
      <c r="R166" s="28">
        <f t="shared" si="82"/>
        <v>-0.19187042718273711</v>
      </c>
      <c r="S166" s="28">
        <f t="shared" si="40"/>
        <v>-0.75116341389129349</v>
      </c>
      <c r="T166" s="28">
        <f t="shared" si="83"/>
        <v>-0.62745098039215685</v>
      </c>
      <c r="U166" s="28">
        <f t="shared" si="83"/>
        <v>0.97101449275362317</v>
      </c>
      <c r="V166" s="28">
        <f t="shared" si="83"/>
        <v>-4.568965517241379</v>
      </c>
      <c r="W166" s="28">
        <f t="shared" si="83"/>
        <v>1.5217391304347827</v>
      </c>
      <c r="X166" s="28">
        <f t="shared" si="83"/>
        <v>-1.0521541950113378</v>
      </c>
    </row>
    <row r="167" spans="1:24" x14ac:dyDescent="0.25">
      <c r="A167" s="5" t="s">
        <v>10</v>
      </c>
      <c r="B167" s="2">
        <v>-314</v>
      </c>
      <c r="C167" s="2">
        <v>-32</v>
      </c>
      <c r="D167" s="2">
        <v>40</v>
      </c>
      <c r="E167" s="2">
        <v>52</v>
      </c>
      <c r="F167" s="2">
        <v>-146</v>
      </c>
      <c r="G167" s="2">
        <v>-64</v>
      </c>
      <c r="H167" s="2">
        <f t="shared" si="85"/>
        <v>-464</v>
      </c>
      <c r="J167" s="28"/>
      <c r="K167" s="28"/>
      <c r="L167" s="28"/>
      <c r="M167" s="28"/>
      <c r="N167" s="28"/>
      <c r="O167" s="28"/>
      <c r="P167" s="28"/>
      <c r="R167" s="28">
        <f t="shared" si="82"/>
        <v>0.37451642796623941</v>
      </c>
      <c r="S167" s="28">
        <f t="shared" si="40"/>
        <v>1.3413632771338251</v>
      </c>
      <c r="T167" s="28">
        <f t="shared" si="83"/>
        <v>8.8125</v>
      </c>
      <c r="U167" s="28">
        <f t="shared" si="83"/>
        <v>-1.8</v>
      </c>
      <c r="V167" s="28">
        <f t="shared" si="83"/>
        <v>-0.23076923076923078</v>
      </c>
      <c r="W167" s="28">
        <f t="shared" si="83"/>
        <v>-1.3561643835616439</v>
      </c>
      <c r="X167" s="28">
        <f t="shared" si="83"/>
        <v>1.28125</v>
      </c>
    </row>
    <row r="168" spans="1:24" x14ac:dyDescent="0.25">
      <c r="A168" s="5" t="s">
        <v>24</v>
      </c>
      <c r="B168" s="2">
        <v>28</v>
      </c>
      <c r="C168" s="2">
        <v>87</v>
      </c>
      <c r="D168" s="2">
        <v>486</v>
      </c>
      <c r="E168" s="2">
        <v>-90</v>
      </c>
      <c r="F168" s="2">
        <v>637</v>
      </c>
      <c r="G168" s="2">
        <v>-876</v>
      </c>
      <c r="H168" s="2">
        <f t="shared" si="85"/>
        <v>272</v>
      </c>
      <c r="J168" s="28"/>
      <c r="K168" s="28"/>
      <c r="L168" s="28"/>
      <c r="M168" s="28"/>
      <c r="N168" s="28"/>
      <c r="O168" s="28"/>
      <c r="P168" s="28"/>
      <c r="R168" s="28" t="e">
        <f t="shared" si="82"/>
        <v>#NUM!</v>
      </c>
      <c r="S168" s="28">
        <f t="shared" si="40"/>
        <v>-2.1535209615554671</v>
      </c>
      <c r="T168" s="28">
        <f t="shared" si="83"/>
        <v>-0.67816091954022983</v>
      </c>
      <c r="U168" s="28">
        <f t="shared" si="83"/>
        <v>-0.82098765432098764</v>
      </c>
      <c r="V168" s="28">
        <f t="shared" si="83"/>
        <v>-6.4</v>
      </c>
      <c r="W168" s="28">
        <f t="shared" si="83"/>
        <v>-1.141287284144427</v>
      </c>
      <c r="X168" s="28">
        <f t="shared" si="83"/>
        <v>-1.7271689497716896</v>
      </c>
    </row>
    <row r="169" spans="1:24" x14ac:dyDescent="0.25">
      <c r="A169" s="2" t="s">
        <v>79</v>
      </c>
      <c r="B169" s="10">
        <f>SUM(B162:B168)</f>
        <v>2469</v>
      </c>
      <c r="C169" s="10">
        <f t="shared" ref="C169:G169" si="86">SUM(C162:C168)</f>
        <v>5364</v>
      </c>
      <c r="D169" s="10">
        <f t="shared" si="86"/>
        <v>4929</v>
      </c>
      <c r="E169" s="10">
        <f t="shared" si="86"/>
        <v>3552</v>
      </c>
      <c r="F169" s="10">
        <f t="shared" si="86"/>
        <v>2574</v>
      </c>
      <c r="G169" s="10">
        <f t="shared" si="86"/>
        <v>501</v>
      </c>
      <c r="H169" s="10">
        <f t="shared" si="85"/>
        <v>19389</v>
      </c>
      <c r="J169" s="33">
        <f t="shared" ref="J169:O169" si="87">+B169/B$169</f>
        <v>1</v>
      </c>
      <c r="K169" s="33">
        <f t="shared" si="87"/>
        <v>1</v>
      </c>
      <c r="L169" s="33">
        <f t="shared" si="87"/>
        <v>1</v>
      </c>
      <c r="M169" s="33">
        <f t="shared" si="87"/>
        <v>1</v>
      </c>
      <c r="N169" s="33">
        <f t="shared" si="87"/>
        <v>1</v>
      </c>
      <c r="O169" s="33">
        <f t="shared" si="87"/>
        <v>1</v>
      </c>
      <c r="P169" s="33"/>
      <c r="Q169" s="10"/>
      <c r="R169" s="33">
        <f t="shared" si="82"/>
        <v>0.37574097606482232</v>
      </c>
      <c r="S169" s="33">
        <f t="shared" si="40"/>
        <v>0.89077817457706199</v>
      </c>
      <c r="T169" s="33">
        <f t="shared" si="83"/>
        <v>-0.53970917225950787</v>
      </c>
      <c r="U169" s="33">
        <f t="shared" si="83"/>
        <v>8.825319537431528E-2</v>
      </c>
      <c r="V169" s="33">
        <f t="shared" si="83"/>
        <v>0.38766891891891891</v>
      </c>
      <c r="W169" s="33">
        <f t="shared" si="83"/>
        <v>0.37995337995337997</v>
      </c>
      <c r="X169" s="33">
        <f t="shared" si="83"/>
        <v>4.1377245508982039</v>
      </c>
    </row>
    <row r="170" spans="1:24" x14ac:dyDescent="0.25">
      <c r="A170" s="2" t="s">
        <v>180</v>
      </c>
      <c r="B170" s="34"/>
      <c r="C170" s="34"/>
      <c r="D170" s="34"/>
      <c r="E170" s="34"/>
      <c r="F170" s="34"/>
      <c r="G170" s="34"/>
      <c r="H170" s="34"/>
      <c r="J170" s="37"/>
      <c r="K170" s="37"/>
      <c r="L170" s="37"/>
      <c r="M170" s="37"/>
      <c r="N170" s="37"/>
      <c r="O170" s="37"/>
      <c r="P170" s="37"/>
      <c r="Q170" s="34"/>
      <c r="R170" s="37"/>
      <c r="S170" s="37"/>
      <c r="T170" s="37"/>
      <c r="U170" s="37"/>
      <c r="V170" s="37"/>
      <c r="W170" s="37"/>
      <c r="X170" s="37"/>
    </row>
    <row r="171" spans="1:24" x14ac:dyDescent="0.25">
      <c r="A171" s="5" t="s">
        <v>181</v>
      </c>
      <c r="B171" s="36">
        <f t="shared" ref="B171:G171" si="88">+B60+B164</f>
        <v>25685.283018867925</v>
      </c>
      <c r="C171" s="36">
        <f t="shared" si="88"/>
        <v>26085</v>
      </c>
      <c r="D171" s="36">
        <f t="shared" si="88"/>
        <v>26169</v>
      </c>
      <c r="E171" s="36">
        <f t="shared" si="88"/>
        <v>25935.263999999999</v>
      </c>
      <c r="F171" s="36">
        <f t="shared" si="88"/>
        <v>24007</v>
      </c>
      <c r="G171" s="36">
        <f t="shared" si="88"/>
        <v>23447</v>
      </c>
      <c r="H171" s="36">
        <f t="shared" ref="H171:H180" si="89">SUM(B171:G171)</f>
        <v>151328.54701886792</v>
      </c>
      <c r="I171"/>
      <c r="J171" s="37"/>
      <c r="K171" s="37"/>
      <c r="L171" s="37"/>
      <c r="M171" s="37"/>
      <c r="N171" s="37"/>
      <c r="O171" s="37"/>
      <c r="P171" s="37"/>
      <c r="Q171" s="34"/>
      <c r="R171" s="37"/>
      <c r="S171" s="37"/>
      <c r="T171" s="37"/>
      <c r="U171" s="37"/>
      <c r="V171" s="37"/>
      <c r="W171" s="37"/>
      <c r="X171" s="37"/>
    </row>
    <row r="172" spans="1:24" x14ac:dyDescent="0.25">
      <c r="A172" s="5" t="s">
        <v>182</v>
      </c>
      <c r="B172" s="34">
        <f t="shared" ref="B172:G172" si="90">-B61+B165+B166</f>
        <v>-18710.083301886792</v>
      </c>
      <c r="C172" s="34">
        <f t="shared" si="90"/>
        <v>-17096</v>
      </c>
      <c r="D172" s="34">
        <f t="shared" si="90"/>
        <v>-17050</v>
      </c>
      <c r="E172" s="34">
        <f t="shared" si="90"/>
        <v>-17186</v>
      </c>
      <c r="F172" s="34">
        <f t="shared" si="90"/>
        <v>-17636</v>
      </c>
      <c r="G172" s="34">
        <f t="shared" si="90"/>
        <v>-16716</v>
      </c>
      <c r="H172" s="34">
        <f t="shared" si="89"/>
        <v>-104394.0833018868</v>
      </c>
      <c r="J172" s="37"/>
      <c r="K172" s="37"/>
      <c r="L172" s="37"/>
      <c r="M172" s="37"/>
      <c r="N172" s="37"/>
      <c r="O172" s="37"/>
      <c r="P172" s="37"/>
      <c r="Q172" s="34"/>
      <c r="R172" s="37"/>
      <c r="S172" s="37"/>
      <c r="T172" s="37"/>
      <c r="U172" s="37"/>
      <c r="V172" s="37"/>
      <c r="W172" s="37"/>
      <c r="X172" s="37"/>
    </row>
    <row r="173" spans="1:24" x14ac:dyDescent="0.25">
      <c r="A173" s="5" t="s">
        <v>183</v>
      </c>
      <c r="B173" s="41">
        <f>+B171+B172</f>
        <v>6975.199716981133</v>
      </c>
      <c r="C173" s="41">
        <f t="shared" ref="C173:G173" si="91">+C171+C172</f>
        <v>8989</v>
      </c>
      <c r="D173" s="6">
        <f t="shared" si="91"/>
        <v>9119</v>
      </c>
      <c r="E173" s="6">
        <f t="shared" si="91"/>
        <v>8749.2639999999992</v>
      </c>
      <c r="F173" s="6">
        <f t="shared" si="91"/>
        <v>6371</v>
      </c>
      <c r="G173" s="6">
        <f t="shared" si="91"/>
        <v>6731</v>
      </c>
      <c r="H173" s="6">
        <f t="shared" si="89"/>
        <v>46934.463716981132</v>
      </c>
      <c r="J173" s="37"/>
      <c r="K173" s="37"/>
      <c r="L173" s="37"/>
      <c r="M173" s="37"/>
      <c r="N173" s="37"/>
      <c r="O173" s="37"/>
      <c r="P173" s="37"/>
      <c r="Q173" s="34"/>
      <c r="R173" s="37"/>
      <c r="S173" s="37"/>
      <c r="T173" s="37"/>
      <c r="U173" s="37"/>
      <c r="V173" s="37"/>
      <c r="W173" s="37"/>
      <c r="X173" s="37"/>
    </row>
    <row r="174" spans="1:24" x14ac:dyDescent="0.25">
      <c r="A174" s="5" t="s">
        <v>184</v>
      </c>
      <c r="B174" s="34">
        <f t="shared" ref="B174:G175" si="92">-B238</f>
        <v>-937</v>
      </c>
      <c r="C174" s="34">
        <f t="shared" si="92"/>
        <v>-1196</v>
      </c>
      <c r="D174" s="34">
        <f t="shared" si="92"/>
        <v>-1286</v>
      </c>
      <c r="E174" s="34">
        <f t="shared" si="92"/>
        <v>-1306</v>
      </c>
      <c r="F174" s="34">
        <f t="shared" si="92"/>
        <v>-1322</v>
      </c>
      <c r="G174" s="34">
        <f t="shared" si="92"/>
        <v>-1269</v>
      </c>
      <c r="H174" s="34">
        <f t="shared" si="89"/>
        <v>-7316</v>
      </c>
      <c r="J174" s="37"/>
      <c r="K174" s="37"/>
      <c r="L174" s="37"/>
      <c r="M174" s="37"/>
      <c r="N174" s="37"/>
      <c r="O174" s="37"/>
      <c r="P174" s="37"/>
      <c r="Q174" s="34"/>
      <c r="R174" s="37"/>
      <c r="S174" s="37"/>
      <c r="T174" s="37"/>
      <c r="U174" s="37"/>
      <c r="V174" s="37"/>
      <c r="W174" s="37"/>
      <c r="X174" s="37"/>
    </row>
    <row r="175" spans="1:24" x14ac:dyDescent="0.25">
      <c r="A175" s="5" t="s">
        <v>185</v>
      </c>
      <c r="B175" s="34">
        <f t="shared" si="92"/>
        <v>-1260</v>
      </c>
      <c r="C175" s="34">
        <f t="shared" si="92"/>
        <v>-1295</v>
      </c>
      <c r="D175" s="34">
        <f t="shared" si="92"/>
        <v>-1027</v>
      </c>
      <c r="E175" s="34">
        <f t="shared" si="92"/>
        <v>-974</v>
      </c>
      <c r="F175" s="34">
        <f t="shared" si="92"/>
        <v>-543</v>
      </c>
      <c r="G175" s="34">
        <f t="shared" si="92"/>
        <v>-1206</v>
      </c>
      <c r="H175" s="34">
        <f t="shared" si="89"/>
        <v>-6305</v>
      </c>
      <c r="J175" s="37"/>
      <c r="K175" s="37"/>
      <c r="L175" s="37"/>
      <c r="M175" s="37"/>
      <c r="N175" s="37"/>
      <c r="O175" s="37"/>
      <c r="P175" s="37"/>
      <c r="Q175" s="34"/>
      <c r="R175" s="37"/>
      <c r="S175" s="37"/>
      <c r="T175" s="37"/>
      <c r="U175" s="37"/>
      <c r="V175" s="37"/>
      <c r="W175" s="37"/>
      <c r="X175" s="37"/>
    </row>
    <row r="176" spans="1:24" x14ac:dyDescent="0.25">
      <c r="A176" s="5" t="s">
        <v>192</v>
      </c>
      <c r="B176" s="34">
        <f>+B159</f>
        <v>0</v>
      </c>
      <c r="C176" s="38">
        <f t="shared" ref="C176:G176" si="93">+C159</f>
        <v>1587</v>
      </c>
      <c r="D176" s="34">
        <f t="shared" si="93"/>
        <v>0</v>
      </c>
      <c r="E176" s="34">
        <f t="shared" si="93"/>
        <v>0</v>
      </c>
      <c r="F176" s="34">
        <f t="shared" si="93"/>
        <v>0</v>
      </c>
      <c r="G176" s="34">
        <f t="shared" si="93"/>
        <v>0</v>
      </c>
      <c r="H176" s="34">
        <f t="shared" si="89"/>
        <v>1587</v>
      </c>
      <c r="J176" s="37"/>
      <c r="K176" s="37"/>
      <c r="L176" s="37"/>
      <c r="M176" s="37"/>
      <c r="N176" s="37"/>
      <c r="O176" s="37"/>
      <c r="P176" s="37"/>
      <c r="Q176" s="34"/>
      <c r="R176" s="37"/>
      <c r="S176" s="37"/>
      <c r="T176" s="37"/>
      <c r="U176" s="37"/>
      <c r="V176" s="37"/>
      <c r="W176" s="37"/>
      <c r="X176" s="37"/>
    </row>
    <row r="177" spans="1:24" x14ac:dyDescent="0.25">
      <c r="A177" s="5" t="s">
        <v>69</v>
      </c>
      <c r="B177" s="34">
        <f>+B155</f>
        <v>-23</v>
      </c>
      <c r="C177" s="34">
        <f t="shared" ref="C177:G177" si="94">+C155</f>
        <v>-27</v>
      </c>
      <c r="D177" s="34">
        <f t="shared" si="94"/>
        <v>-27</v>
      </c>
      <c r="E177" s="34">
        <f t="shared" si="94"/>
        <v>-32</v>
      </c>
      <c r="F177" s="34">
        <f t="shared" si="94"/>
        <v>-76</v>
      </c>
      <c r="G177" s="38">
        <f t="shared" si="94"/>
        <v>-1659</v>
      </c>
      <c r="H177" s="34">
        <f t="shared" si="89"/>
        <v>-1844</v>
      </c>
      <c r="J177" s="37"/>
      <c r="K177" s="37"/>
      <c r="L177" s="37"/>
      <c r="M177" s="37"/>
      <c r="N177" s="37"/>
      <c r="O177" s="37"/>
      <c r="P177" s="37"/>
      <c r="Q177" s="34"/>
      <c r="R177" s="37"/>
      <c r="S177" s="37"/>
      <c r="T177" s="37"/>
      <c r="U177" s="37"/>
      <c r="V177" s="37"/>
      <c r="W177" s="37"/>
      <c r="X177" s="37"/>
    </row>
    <row r="178" spans="1:24" x14ac:dyDescent="0.25">
      <c r="A178" s="5" t="s">
        <v>186</v>
      </c>
      <c r="B178" s="34">
        <f>-B240</f>
        <v>-173</v>
      </c>
      <c r="C178" s="34">
        <f t="shared" ref="C178:G178" si="95">-C240</f>
        <v>-176</v>
      </c>
      <c r="D178" s="34">
        <f t="shared" si="95"/>
        <v>-173</v>
      </c>
      <c r="E178" s="34">
        <f t="shared" si="95"/>
        <v>-191</v>
      </c>
      <c r="F178" s="34">
        <f t="shared" si="95"/>
        <v>-200</v>
      </c>
      <c r="G178" s="34">
        <f t="shared" si="95"/>
        <v>-244</v>
      </c>
      <c r="H178" s="34">
        <f t="shared" si="89"/>
        <v>-1157</v>
      </c>
      <c r="J178" s="37"/>
      <c r="K178" s="37"/>
      <c r="L178" s="37"/>
      <c r="M178" s="37"/>
      <c r="N178" s="37"/>
      <c r="O178" s="37"/>
      <c r="P178" s="37"/>
      <c r="Q178" s="34"/>
      <c r="R178" s="37"/>
      <c r="S178" s="37"/>
      <c r="T178" s="37"/>
      <c r="U178" s="37"/>
      <c r="V178" s="37"/>
      <c r="W178" s="37"/>
      <c r="X178" s="37"/>
    </row>
    <row r="179" spans="1:24" x14ac:dyDescent="0.25">
      <c r="A179" s="5" t="s">
        <v>187</v>
      </c>
      <c r="B179" s="34">
        <f t="shared" ref="B179:G179" si="96">+B180-SUM(B173:B178)</f>
        <v>-2113.199716981133</v>
      </c>
      <c r="C179" s="38">
        <f t="shared" si="96"/>
        <v>-2518</v>
      </c>
      <c r="D179" s="38">
        <f t="shared" si="96"/>
        <v>-1677</v>
      </c>
      <c r="E179" s="34">
        <f t="shared" si="96"/>
        <v>-2694.2639999999992</v>
      </c>
      <c r="F179" s="34">
        <f t="shared" si="96"/>
        <v>-1656</v>
      </c>
      <c r="G179" s="34">
        <f t="shared" si="96"/>
        <v>-1852</v>
      </c>
      <c r="H179" s="34">
        <f t="shared" si="89"/>
        <v>-12510.463716981132</v>
      </c>
      <c r="J179" s="37"/>
      <c r="K179" s="37"/>
      <c r="L179" s="37"/>
      <c r="M179" s="37"/>
      <c r="N179" s="37"/>
      <c r="O179" s="37"/>
      <c r="P179" s="37"/>
      <c r="Q179" s="34"/>
      <c r="R179" s="37"/>
      <c r="S179" s="37"/>
      <c r="T179" s="37"/>
      <c r="U179" s="37"/>
      <c r="V179" s="37"/>
      <c r="W179" s="37"/>
      <c r="X179" s="37"/>
    </row>
    <row r="180" spans="1:24" x14ac:dyDescent="0.25">
      <c r="A180" s="2" t="s">
        <v>79</v>
      </c>
      <c r="B180" s="10">
        <f>+B169</f>
        <v>2469</v>
      </c>
      <c r="C180" s="10">
        <f t="shared" ref="C180:G180" si="97">+C169</f>
        <v>5364</v>
      </c>
      <c r="D180" s="10">
        <f t="shared" si="97"/>
        <v>4929</v>
      </c>
      <c r="E180" s="10">
        <f t="shared" si="97"/>
        <v>3552</v>
      </c>
      <c r="F180" s="10">
        <f t="shared" si="97"/>
        <v>2574</v>
      </c>
      <c r="G180" s="10">
        <f t="shared" si="97"/>
        <v>501</v>
      </c>
      <c r="H180" s="10">
        <f t="shared" si="89"/>
        <v>19389</v>
      </c>
      <c r="J180" s="37"/>
      <c r="K180" s="37"/>
      <c r="L180" s="37"/>
      <c r="M180" s="37"/>
      <c r="N180" s="37"/>
      <c r="O180" s="37"/>
      <c r="P180" s="37"/>
      <c r="Q180" s="34"/>
      <c r="R180" s="37"/>
      <c r="S180" s="37"/>
      <c r="T180" s="37"/>
      <c r="U180" s="37"/>
      <c r="V180" s="37"/>
      <c r="W180" s="37"/>
      <c r="X180" s="37"/>
    </row>
    <row r="181" spans="1:24" x14ac:dyDescent="0.25">
      <c r="A181" s="2" t="s">
        <v>81</v>
      </c>
      <c r="J181" s="28"/>
      <c r="K181" s="28"/>
      <c r="L181" s="28"/>
      <c r="M181" s="28"/>
      <c r="N181" s="28"/>
      <c r="O181" s="28"/>
      <c r="P181" s="28"/>
      <c r="R181" s="28"/>
      <c r="S181" s="28"/>
      <c r="T181" s="28"/>
      <c r="U181" s="28"/>
      <c r="V181" s="28"/>
      <c r="W181" s="28"/>
      <c r="X181" s="28"/>
    </row>
    <row r="182" spans="1:24" x14ac:dyDescent="0.25">
      <c r="A182" s="5" t="s">
        <v>82</v>
      </c>
      <c r="B182" s="2">
        <v>-916</v>
      </c>
      <c r="C182" s="2">
        <v>-905</v>
      </c>
      <c r="D182" s="2">
        <v>-596</v>
      </c>
      <c r="E182" s="2">
        <v>-768</v>
      </c>
      <c r="F182" s="2">
        <v>-826</v>
      </c>
      <c r="G182" s="2">
        <v>-1194</v>
      </c>
      <c r="H182" s="2">
        <f t="shared" ref="H182:H188" si="98">SUM(B182:G182)</f>
        <v>-5205</v>
      </c>
      <c r="J182" s="28">
        <f t="shared" ref="J182:O188" si="99">+B182/B$169</f>
        <v>-0.37100040502227621</v>
      </c>
      <c r="K182" s="28">
        <f t="shared" si="99"/>
        <v>-0.16871737509321402</v>
      </c>
      <c r="L182" s="28">
        <f t="shared" si="99"/>
        <v>-0.12091702170825726</v>
      </c>
      <c r="M182" s="28">
        <f t="shared" si="99"/>
        <v>-0.21621621621621623</v>
      </c>
      <c r="N182" s="28">
        <f t="shared" si="99"/>
        <v>-0.3209013209013209</v>
      </c>
      <c r="O182" s="28">
        <f t="shared" si="99"/>
        <v>-2.3832335329341316</v>
      </c>
      <c r="P182" s="28"/>
      <c r="R182" s="28">
        <f t="shared" ref="R182:R188" si="100">RATE(5,0,-G182,B182)</f>
        <v>-5.1629078507473856E-2</v>
      </c>
      <c r="S182" s="28">
        <f t="shared" si="40"/>
        <v>-1.4354576845997035E-2</v>
      </c>
      <c r="T182" s="28">
        <f t="shared" ref="T182:X188" si="101">(+B182-C182)/C182</f>
        <v>1.2154696132596685E-2</v>
      </c>
      <c r="U182" s="28">
        <f t="shared" si="101"/>
        <v>0.51845637583892612</v>
      </c>
      <c r="V182" s="28">
        <f t="shared" si="101"/>
        <v>-0.22395833333333334</v>
      </c>
      <c r="W182" s="28">
        <f t="shared" si="101"/>
        <v>-7.0217917675544791E-2</v>
      </c>
      <c r="X182" s="28">
        <f t="shared" si="101"/>
        <v>-0.3082077051926298</v>
      </c>
    </row>
    <row r="183" spans="1:24" x14ac:dyDescent="0.25">
      <c r="A183" s="5" t="s">
        <v>121</v>
      </c>
      <c r="B183" s="2">
        <v>0</v>
      </c>
      <c r="C183" s="2">
        <v>0</v>
      </c>
      <c r="D183" s="2">
        <v>0</v>
      </c>
      <c r="E183" s="2">
        <v>0</v>
      </c>
      <c r="F183" s="2">
        <v>1296</v>
      </c>
      <c r="G183" s="2">
        <v>2286</v>
      </c>
      <c r="H183" s="2">
        <f t="shared" si="98"/>
        <v>3582</v>
      </c>
      <c r="J183" s="28">
        <f t="shared" si="99"/>
        <v>0</v>
      </c>
      <c r="K183" s="28">
        <f t="shared" si="99"/>
        <v>0</v>
      </c>
      <c r="L183" s="28">
        <f t="shared" si="99"/>
        <v>0</v>
      </c>
      <c r="M183" s="28">
        <f t="shared" si="99"/>
        <v>0</v>
      </c>
      <c r="N183" s="28">
        <f t="shared" si="99"/>
        <v>0.50349650349650354</v>
      </c>
      <c r="O183" s="28">
        <f t="shared" si="99"/>
        <v>4.5628742514970062</v>
      </c>
      <c r="P183" s="28"/>
      <c r="R183" s="28">
        <f t="shared" si="100"/>
        <v>-0.99999940914518248</v>
      </c>
      <c r="S183" s="28" t="e">
        <f t="shared" si="40"/>
        <v>#DIV/0!</v>
      </c>
      <c r="T183" s="28" t="e">
        <f t="shared" si="101"/>
        <v>#DIV/0!</v>
      </c>
      <c r="U183" s="28" t="e">
        <f t="shared" si="101"/>
        <v>#DIV/0!</v>
      </c>
      <c r="V183" s="28" t="e">
        <f t="shared" si="101"/>
        <v>#DIV/0!</v>
      </c>
      <c r="W183" s="28">
        <f t="shared" si="101"/>
        <v>-1</v>
      </c>
      <c r="X183" s="28">
        <f t="shared" si="101"/>
        <v>-0.43307086614173229</v>
      </c>
    </row>
    <row r="184" spans="1:24" x14ac:dyDescent="0.25">
      <c r="A184" s="5" t="s">
        <v>83</v>
      </c>
      <c r="B184" s="2">
        <v>-481</v>
      </c>
      <c r="C184" s="2">
        <v>-74</v>
      </c>
      <c r="D184" s="2">
        <v>0</v>
      </c>
      <c r="E184" s="2">
        <v>-199</v>
      </c>
      <c r="F184" s="2">
        <v>-248</v>
      </c>
      <c r="G184" s="2">
        <v>0</v>
      </c>
      <c r="H184" s="2">
        <f t="shared" si="98"/>
        <v>-1002</v>
      </c>
      <c r="J184" s="28">
        <f t="shared" si="99"/>
        <v>-0.19481571486431754</v>
      </c>
      <c r="K184" s="28">
        <f t="shared" si="99"/>
        <v>-1.3795674869500374E-2</v>
      </c>
      <c r="L184" s="28">
        <f t="shared" si="99"/>
        <v>0</v>
      </c>
      <c r="M184" s="28">
        <f t="shared" si="99"/>
        <v>-5.6024774774774772E-2</v>
      </c>
      <c r="N184" s="28">
        <f t="shared" si="99"/>
        <v>-9.6348096348096351E-2</v>
      </c>
      <c r="O184" s="28">
        <f t="shared" si="99"/>
        <v>0</v>
      </c>
      <c r="P184" s="28"/>
      <c r="R184" s="28" t="e">
        <f t="shared" si="100"/>
        <v>#NUM!</v>
      </c>
      <c r="S184" s="28" t="e">
        <f t="shared" si="40"/>
        <v>#DIV/0!</v>
      </c>
      <c r="T184" s="28">
        <f t="shared" si="101"/>
        <v>5.5</v>
      </c>
      <c r="U184" s="28" t="e">
        <f t="shared" si="101"/>
        <v>#DIV/0!</v>
      </c>
      <c r="V184" s="28">
        <f t="shared" si="101"/>
        <v>-1</v>
      </c>
      <c r="W184" s="28">
        <f t="shared" si="101"/>
        <v>-0.19758064516129031</v>
      </c>
      <c r="X184" s="28" t="e">
        <f t="shared" si="101"/>
        <v>#DIV/0!</v>
      </c>
    </row>
    <row r="185" spans="1:24" x14ac:dyDescent="0.25">
      <c r="A185" s="5" t="s">
        <v>84</v>
      </c>
      <c r="B185" s="2">
        <v>208</v>
      </c>
      <c r="C185" s="2">
        <v>-28</v>
      </c>
      <c r="D185" s="2">
        <v>25</v>
      </c>
      <c r="E185" s="2">
        <v>590</v>
      </c>
      <c r="F185" s="2">
        <v>24</v>
      </c>
      <c r="G185" s="2">
        <v>0</v>
      </c>
      <c r="H185" s="2">
        <f t="shared" si="98"/>
        <v>819</v>
      </c>
      <c r="J185" s="28">
        <f t="shared" si="99"/>
        <v>8.4244633454840012E-2</v>
      </c>
      <c r="K185" s="28">
        <f t="shared" si="99"/>
        <v>-5.219985085756898E-3</v>
      </c>
      <c r="L185" s="28">
        <f t="shared" si="99"/>
        <v>5.0720227226617974E-3</v>
      </c>
      <c r="M185" s="28">
        <f t="shared" si="99"/>
        <v>0.1661036036036036</v>
      </c>
      <c r="N185" s="28">
        <f t="shared" si="99"/>
        <v>9.324009324009324E-3</v>
      </c>
      <c r="O185" s="28">
        <f t="shared" si="99"/>
        <v>0</v>
      </c>
      <c r="P185" s="28"/>
      <c r="R185" s="28" t="e">
        <f t="shared" si="100"/>
        <v>#NUM!</v>
      </c>
      <c r="S185" s="28" t="e">
        <f t="shared" si="40"/>
        <v>#DIV/0!</v>
      </c>
      <c r="T185" s="28">
        <f t="shared" si="101"/>
        <v>-8.4285714285714288</v>
      </c>
      <c r="U185" s="28">
        <f t="shared" si="101"/>
        <v>-2.12</v>
      </c>
      <c r="V185" s="28">
        <f t="shared" si="101"/>
        <v>-0.9576271186440678</v>
      </c>
      <c r="W185" s="28">
        <f t="shared" si="101"/>
        <v>23.583333333333332</v>
      </c>
      <c r="X185" s="28" t="e">
        <f t="shared" si="101"/>
        <v>#DIV/0!</v>
      </c>
    </row>
    <row r="186" spans="1:24" x14ac:dyDescent="0.25">
      <c r="A186" s="5" t="s">
        <v>85</v>
      </c>
      <c r="B186" s="2">
        <v>88</v>
      </c>
      <c r="C186" s="2">
        <v>5014</v>
      </c>
      <c r="D186" s="2">
        <v>0</v>
      </c>
      <c r="E186" s="2">
        <v>1875</v>
      </c>
      <c r="F186" s="2">
        <v>18</v>
      </c>
      <c r="G186" s="2">
        <v>0</v>
      </c>
      <c r="H186" s="2">
        <f t="shared" si="98"/>
        <v>6995</v>
      </c>
      <c r="J186" s="28">
        <f t="shared" si="99"/>
        <v>3.5641960307816932E-2</v>
      </c>
      <c r="K186" s="28">
        <f t="shared" si="99"/>
        <v>0.93475018642803875</v>
      </c>
      <c r="L186" s="28">
        <f t="shared" si="99"/>
        <v>0</v>
      </c>
      <c r="M186" s="28">
        <f t="shared" si="99"/>
        <v>0.5278716216216216</v>
      </c>
      <c r="N186" s="28">
        <f t="shared" si="99"/>
        <v>6.993006993006993E-3</v>
      </c>
      <c r="O186" s="28">
        <f t="shared" si="99"/>
        <v>0</v>
      </c>
      <c r="P186" s="28"/>
      <c r="R186" s="28" t="e">
        <f t="shared" si="100"/>
        <v>#NUM!</v>
      </c>
      <c r="S186" s="28" t="e">
        <f t="shared" si="40"/>
        <v>#DIV/0!</v>
      </c>
      <c r="T186" s="28">
        <f t="shared" si="101"/>
        <v>-0.98244914240127645</v>
      </c>
      <c r="U186" s="28" t="e">
        <f t="shared" si="101"/>
        <v>#DIV/0!</v>
      </c>
      <c r="V186" s="28">
        <f t="shared" si="101"/>
        <v>-1</v>
      </c>
      <c r="W186" s="28">
        <f t="shared" si="101"/>
        <v>103.16666666666667</v>
      </c>
      <c r="X186" s="28" t="e">
        <f t="shared" si="101"/>
        <v>#DIV/0!</v>
      </c>
    </row>
    <row r="187" spans="1:24" x14ac:dyDescent="0.25">
      <c r="A187" s="5" t="s">
        <v>86</v>
      </c>
      <c r="B187" s="2">
        <v>10</v>
      </c>
      <c r="C187" s="2">
        <v>31</v>
      </c>
      <c r="D187" s="2">
        <v>49</v>
      </c>
      <c r="E187" s="2">
        <v>13</v>
      </c>
      <c r="F187" s="2">
        <v>24</v>
      </c>
      <c r="G187" s="2">
        <v>85</v>
      </c>
      <c r="H187" s="2">
        <f t="shared" si="98"/>
        <v>212</v>
      </c>
      <c r="J187" s="28">
        <f t="shared" si="99"/>
        <v>4.0502227622519239E-3</v>
      </c>
      <c r="K187" s="28">
        <f t="shared" si="99"/>
        <v>5.779269202087994E-3</v>
      </c>
      <c r="L187" s="28">
        <f t="shared" si="99"/>
        <v>9.9411645364171231E-3</v>
      </c>
      <c r="M187" s="28">
        <f t="shared" si="99"/>
        <v>3.6599099099099098E-3</v>
      </c>
      <c r="N187" s="28">
        <f t="shared" si="99"/>
        <v>9.324009324009324E-3</v>
      </c>
      <c r="O187" s="28">
        <f t="shared" si="99"/>
        <v>0.16966067864271456</v>
      </c>
      <c r="P187" s="28"/>
      <c r="R187" s="28">
        <f t="shared" si="100"/>
        <v>-0.34819721036856505</v>
      </c>
      <c r="S187" s="28">
        <f t="shared" si="40"/>
        <v>0.10969681669193732</v>
      </c>
      <c r="T187" s="28">
        <f t="shared" si="101"/>
        <v>-0.67741935483870963</v>
      </c>
      <c r="U187" s="28">
        <f t="shared" si="101"/>
        <v>-0.36734693877551022</v>
      </c>
      <c r="V187" s="28">
        <f t="shared" si="101"/>
        <v>2.7692307692307692</v>
      </c>
      <c r="W187" s="28">
        <f t="shared" si="101"/>
        <v>-0.45833333333333331</v>
      </c>
      <c r="X187" s="28">
        <f t="shared" si="101"/>
        <v>-0.71764705882352942</v>
      </c>
    </row>
    <row r="188" spans="1:24" x14ac:dyDescent="0.25">
      <c r="A188" s="2" t="s">
        <v>87</v>
      </c>
      <c r="B188" s="10">
        <f>SUM(B182:B187)</f>
        <v>-1091</v>
      </c>
      <c r="C188" s="10">
        <f t="shared" ref="C188:G188" si="102">SUM(C182:C187)</f>
        <v>4038</v>
      </c>
      <c r="D188" s="10">
        <f t="shared" si="102"/>
        <v>-522</v>
      </c>
      <c r="E188" s="10">
        <f t="shared" si="102"/>
        <v>1511</v>
      </c>
      <c r="F188" s="10">
        <f t="shared" si="102"/>
        <v>288</v>
      </c>
      <c r="G188" s="10">
        <f t="shared" si="102"/>
        <v>1177</v>
      </c>
      <c r="H188" s="10">
        <f t="shared" si="98"/>
        <v>5401</v>
      </c>
      <c r="J188" s="33">
        <f t="shared" si="99"/>
        <v>-0.44187930336168491</v>
      </c>
      <c r="K188" s="33">
        <f t="shared" si="99"/>
        <v>0.75279642058165552</v>
      </c>
      <c r="L188" s="33">
        <f t="shared" si="99"/>
        <v>-0.10590383444917834</v>
      </c>
      <c r="M188" s="33">
        <f t="shared" si="99"/>
        <v>0.42539414414414417</v>
      </c>
      <c r="N188" s="33">
        <f t="shared" si="99"/>
        <v>0.11188811188811189</v>
      </c>
      <c r="O188" s="33">
        <f t="shared" si="99"/>
        <v>2.3493013972055889</v>
      </c>
      <c r="P188" s="33"/>
      <c r="Q188" s="10"/>
      <c r="R188" s="33" t="e">
        <f t="shared" si="100"/>
        <v>#NUM!</v>
      </c>
      <c r="S188" s="33">
        <f t="shared" si="40"/>
        <v>-1.5720128708089158</v>
      </c>
      <c r="T188" s="33">
        <f t="shared" si="101"/>
        <v>-1.2701832590391282</v>
      </c>
      <c r="U188" s="33">
        <f t="shared" si="101"/>
        <v>-8.7356321839080469</v>
      </c>
      <c r="V188" s="33">
        <f t="shared" si="101"/>
        <v>-1.3454665784248843</v>
      </c>
      <c r="W188" s="33">
        <f t="shared" si="101"/>
        <v>4.2465277777777777</v>
      </c>
      <c r="X188" s="33">
        <f t="shared" si="101"/>
        <v>-0.75531011045029739</v>
      </c>
    </row>
    <row r="189" spans="1:24" x14ac:dyDescent="0.25">
      <c r="A189" s="2" t="s">
        <v>88</v>
      </c>
      <c r="J189" s="28"/>
      <c r="K189" s="28"/>
      <c r="L189" s="28"/>
      <c r="M189" s="28"/>
      <c r="N189" s="28"/>
      <c r="O189" s="28"/>
      <c r="P189" s="28"/>
      <c r="R189" s="28"/>
      <c r="S189" s="28"/>
      <c r="T189" s="28"/>
      <c r="U189" s="28"/>
      <c r="V189" s="28"/>
      <c r="W189" s="28"/>
      <c r="X189" s="28"/>
    </row>
    <row r="190" spans="1:24" x14ac:dyDescent="0.25">
      <c r="A190" s="35" t="s">
        <v>89</v>
      </c>
      <c r="B190" s="2">
        <v>-1465</v>
      </c>
      <c r="C190" s="2">
        <v>-6202</v>
      </c>
      <c r="D190" s="2">
        <v>-4697</v>
      </c>
      <c r="E190" s="2">
        <v>-4795</v>
      </c>
      <c r="F190" s="2">
        <v>-2713</v>
      </c>
      <c r="G190" s="2">
        <v>-2641</v>
      </c>
      <c r="H190" s="2">
        <f t="shared" ref="H190:H202" si="103">SUM(B190:G190)</f>
        <v>-22513</v>
      </c>
      <c r="J190" s="28">
        <f t="shared" ref="J190:O196" si="104">+B190/B$169</f>
        <v>-0.59335763466990687</v>
      </c>
      <c r="K190" s="28">
        <f t="shared" si="104"/>
        <v>-1.1562266964951529</v>
      </c>
      <c r="L190" s="28">
        <f t="shared" si="104"/>
        <v>-0.95293162913369855</v>
      </c>
      <c r="M190" s="28">
        <f t="shared" si="104"/>
        <v>-1.3499436936936937</v>
      </c>
      <c r="N190" s="28">
        <f t="shared" si="104"/>
        <v>-1.0540015540015539</v>
      </c>
      <c r="O190" s="28">
        <f t="shared" si="104"/>
        <v>-5.2714570858283434</v>
      </c>
      <c r="P190" s="28"/>
      <c r="R190" s="28">
        <f t="shared" ref="R190:R196" si="105">RATE(5,0,-G190,B190)</f>
        <v>-0.11117994623485696</v>
      </c>
      <c r="S190" s="28">
        <f t="shared" si="40"/>
        <v>6.6174400199464883E-2</v>
      </c>
      <c r="T190" s="28">
        <f t="shared" ref="T190:X196" si="106">(+B190-C190)/C190</f>
        <v>-0.76378587552402455</v>
      </c>
      <c r="U190" s="28">
        <f t="shared" si="106"/>
        <v>0.32041728763040239</v>
      </c>
      <c r="V190" s="28">
        <f t="shared" si="106"/>
        <v>-2.0437956204379562E-2</v>
      </c>
      <c r="W190" s="28">
        <f t="shared" si="106"/>
        <v>0.76741614448949502</v>
      </c>
      <c r="X190" s="28">
        <f t="shared" si="106"/>
        <v>2.7262400605831124E-2</v>
      </c>
    </row>
    <row r="191" spans="1:24" x14ac:dyDescent="0.25">
      <c r="A191" s="35" t="s">
        <v>90</v>
      </c>
      <c r="B191" s="2">
        <v>0</v>
      </c>
      <c r="C191" s="2">
        <v>0</v>
      </c>
      <c r="D191" s="2">
        <v>3500</v>
      </c>
      <c r="E191" s="2">
        <v>2967</v>
      </c>
      <c r="F191" s="2">
        <v>2990</v>
      </c>
      <c r="G191" s="2">
        <v>1496</v>
      </c>
      <c r="H191" s="2">
        <f t="shared" si="103"/>
        <v>10953</v>
      </c>
      <c r="J191" s="28">
        <f t="shared" si="104"/>
        <v>0</v>
      </c>
      <c r="K191" s="28">
        <f t="shared" si="104"/>
        <v>0</v>
      </c>
      <c r="L191" s="28">
        <f t="shared" si="104"/>
        <v>0.71008318117265168</v>
      </c>
      <c r="M191" s="28">
        <f t="shared" si="104"/>
        <v>0.83530405405405406</v>
      </c>
      <c r="N191" s="28">
        <f t="shared" si="104"/>
        <v>1.1616161616161615</v>
      </c>
      <c r="O191" s="28">
        <f t="shared" si="104"/>
        <v>2.9860279441117763</v>
      </c>
      <c r="P191" s="28"/>
      <c r="R191" s="28">
        <f t="shared" si="105"/>
        <v>-0.99999940914518248</v>
      </c>
      <c r="S191" s="28" t="e">
        <f t="shared" si="40"/>
        <v>#DIV/0!</v>
      </c>
      <c r="T191" s="28" t="e">
        <f t="shared" si="106"/>
        <v>#DIV/0!</v>
      </c>
      <c r="U191" s="28">
        <f t="shared" si="106"/>
        <v>-1</v>
      </c>
      <c r="V191" s="28">
        <f t="shared" si="106"/>
        <v>0.17964273677114931</v>
      </c>
      <c r="W191" s="28">
        <f t="shared" si="106"/>
        <v>-7.6923076923076927E-3</v>
      </c>
      <c r="X191" s="28">
        <f t="shared" si="106"/>
        <v>0.99866310160427807</v>
      </c>
    </row>
    <row r="192" spans="1:24" x14ac:dyDescent="0.25">
      <c r="A192" s="35" t="s">
        <v>91</v>
      </c>
      <c r="B192" s="2">
        <v>10</v>
      </c>
      <c r="C192" s="2">
        <v>-924</v>
      </c>
      <c r="D192" s="2">
        <v>-116</v>
      </c>
      <c r="E192" s="2">
        <v>-99</v>
      </c>
      <c r="F192" s="2">
        <v>0</v>
      </c>
      <c r="G192" s="2">
        <v>0</v>
      </c>
      <c r="H192" s="2">
        <f t="shared" si="103"/>
        <v>-1129</v>
      </c>
      <c r="J192" s="28">
        <f t="shared" si="104"/>
        <v>4.0502227622519239E-3</v>
      </c>
      <c r="K192" s="28">
        <f t="shared" si="104"/>
        <v>-0.17225950782997762</v>
      </c>
      <c r="L192" s="28">
        <f t="shared" si="104"/>
        <v>-2.353418543315074E-2</v>
      </c>
      <c r="M192" s="28">
        <f t="shared" si="104"/>
        <v>-2.7871621621621621E-2</v>
      </c>
      <c r="N192" s="28">
        <f t="shared" si="104"/>
        <v>0</v>
      </c>
      <c r="O192" s="28">
        <f t="shared" si="104"/>
        <v>0</v>
      </c>
      <c r="P192" s="28"/>
      <c r="R192" s="28" t="e">
        <f t="shared" si="105"/>
        <v>#NUM!</v>
      </c>
      <c r="S192" s="28" t="e">
        <f t="shared" si="40"/>
        <v>#DIV/0!</v>
      </c>
      <c r="T192" s="28">
        <f t="shared" si="106"/>
        <v>-1.0108225108225108</v>
      </c>
      <c r="U192" s="28">
        <f t="shared" si="106"/>
        <v>6.9655172413793105</v>
      </c>
      <c r="V192" s="28">
        <f t="shared" si="106"/>
        <v>0.17171717171717171</v>
      </c>
      <c r="W192" s="28" t="e">
        <f t="shared" si="106"/>
        <v>#DIV/0!</v>
      </c>
      <c r="X192" s="28" t="e">
        <f t="shared" si="106"/>
        <v>#DIV/0!</v>
      </c>
    </row>
    <row r="193" spans="1:24" x14ac:dyDescent="0.25">
      <c r="A193" s="35" t="s">
        <v>92</v>
      </c>
      <c r="B193" s="2">
        <v>0</v>
      </c>
      <c r="C193" s="2">
        <v>0</v>
      </c>
      <c r="D193" s="2">
        <v>4000</v>
      </c>
      <c r="E193" s="2">
        <v>0</v>
      </c>
      <c r="F193" s="2">
        <v>0</v>
      </c>
      <c r="G193" s="2">
        <v>0</v>
      </c>
      <c r="H193" s="2">
        <f t="shared" si="103"/>
        <v>4000</v>
      </c>
      <c r="J193" s="28">
        <f t="shared" si="104"/>
        <v>0</v>
      </c>
      <c r="K193" s="28">
        <f t="shared" si="104"/>
        <v>0</v>
      </c>
      <c r="L193" s="28">
        <f t="shared" si="104"/>
        <v>0.81152363562588758</v>
      </c>
      <c r="M193" s="28">
        <f t="shared" si="104"/>
        <v>0</v>
      </c>
      <c r="N193" s="28">
        <f t="shared" si="104"/>
        <v>0</v>
      </c>
      <c r="O193" s="28">
        <f t="shared" si="104"/>
        <v>0</v>
      </c>
      <c r="P193" s="28"/>
      <c r="R193" s="28" t="e">
        <f t="shared" si="105"/>
        <v>#NUM!</v>
      </c>
      <c r="S193" s="28" t="e">
        <f t="shared" si="40"/>
        <v>#DIV/0!</v>
      </c>
      <c r="T193" s="28" t="e">
        <f t="shared" si="106"/>
        <v>#DIV/0!</v>
      </c>
      <c r="U193" s="28">
        <f t="shared" si="106"/>
        <v>-1</v>
      </c>
      <c r="V193" s="28" t="e">
        <f t="shared" si="106"/>
        <v>#DIV/0!</v>
      </c>
      <c r="W193" s="28" t="e">
        <f t="shared" si="106"/>
        <v>#DIV/0!</v>
      </c>
      <c r="X193" s="28" t="e">
        <f t="shared" si="106"/>
        <v>#DIV/0!</v>
      </c>
    </row>
    <row r="194" spans="1:24" x14ac:dyDescent="0.25">
      <c r="A194" s="35" t="s">
        <v>93</v>
      </c>
      <c r="B194" s="2">
        <v>0</v>
      </c>
      <c r="C194" s="2">
        <v>0</v>
      </c>
      <c r="D194" s="2">
        <v>-4000</v>
      </c>
      <c r="E194" s="2">
        <v>0</v>
      </c>
      <c r="F194" s="2">
        <v>0</v>
      </c>
      <c r="G194" s="2">
        <v>0</v>
      </c>
      <c r="H194" s="2">
        <f t="shared" si="103"/>
        <v>-4000</v>
      </c>
      <c r="J194" s="28">
        <f t="shared" si="104"/>
        <v>0</v>
      </c>
      <c r="K194" s="28">
        <f t="shared" si="104"/>
        <v>0</v>
      </c>
      <c r="L194" s="28">
        <f t="shared" si="104"/>
        <v>-0.81152363562588758</v>
      </c>
      <c r="M194" s="28">
        <f t="shared" si="104"/>
        <v>0</v>
      </c>
      <c r="N194" s="28">
        <f t="shared" si="104"/>
        <v>0</v>
      </c>
      <c r="O194" s="28">
        <f t="shared" si="104"/>
        <v>0</v>
      </c>
      <c r="P194" s="28"/>
      <c r="R194" s="28" t="e">
        <f t="shared" si="105"/>
        <v>#NUM!</v>
      </c>
      <c r="S194" s="28" t="e">
        <f t="shared" si="40"/>
        <v>#DIV/0!</v>
      </c>
      <c r="T194" s="28" t="e">
        <f t="shared" si="106"/>
        <v>#DIV/0!</v>
      </c>
      <c r="U194" s="28">
        <f t="shared" si="106"/>
        <v>-1</v>
      </c>
      <c r="V194" s="28" t="e">
        <f t="shared" si="106"/>
        <v>#DIV/0!</v>
      </c>
      <c r="W194" s="28" t="e">
        <f t="shared" si="106"/>
        <v>#DIV/0!</v>
      </c>
      <c r="X194" s="28" t="e">
        <f t="shared" si="106"/>
        <v>#DIV/0!</v>
      </c>
    </row>
    <row r="195" spans="1:24" x14ac:dyDescent="0.25">
      <c r="A195" s="35" t="s">
        <v>94</v>
      </c>
      <c r="B195" s="2">
        <v>228</v>
      </c>
      <c r="C195" s="2">
        <v>0</v>
      </c>
      <c r="D195" s="2">
        <v>0</v>
      </c>
      <c r="E195" s="2">
        <v>557</v>
      </c>
      <c r="F195" s="2">
        <v>2784</v>
      </c>
      <c r="G195" s="2">
        <v>6043</v>
      </c>
      <c r="H195" s="2">
        <f t="shared" si="103"/>
        <v>9612</v>
      </c>
      <c r="J195" s="28">
        <f t="shared" si="104"/>
        <v>9.2345078979343867E-2</v>
      </c>
      <c r="K195" s="28">
        <f t="shared" si="104"/>
        <v>0</v>
      </c>
      <c r="L195" s="28">
        <f t="shared" si="104"/>
        <v>0</v>
      </c>
      <c r="M195" s="28">
        <f t="shared" si="104"/>
        <v>0.15681306306306306</v>
      </c>
      <c r="N195" s="28">
        <f t="shared" si="104"/>
        <v>1.0815850815850816</v>
      </c>
      <c r="O195" s="28">
        <f t="shared" si="104"/>
        <v>12.061876247504991</v>
      </c>
      <c r="P195" s="28"/>
      <c r="R195" s="28">
        <f t="shared" si="105"/>
        <v>-0.48079788783255906</v>
      </c>
      <c r="S195" s="28" t="e">
        <f t="shared" si="40"/>
        <v>#DIV/0!</v>
      </c>
      <c r="T195" s="28" t="e">
        <f t="shared" si="106"/>
        <v>#DIV/0!</v>
      </c>
      <c r="U195" s="28" t="e">
        <f t="shared" si="106"/>
        <v>#DIV/0!</v>
      </c>
      <c r="V195" s="28">
        <f t="shared" si="106"/>
        <v>-1</v>
      </c>
      <c r="W195" s="28">
        <f t="shared" si="106"/>
        <v>-0.79992816091954022</v>
      </c>
      <c r="X195" s="28">
        <f t="shared" si="106"/>
        <v>-0.53930167135528706</v>
      </c>
    </row>
    <row r="196" spans="1:24" x14ac:dyDescent="0.25">
      <c r="A196" s="35" t="s">
        <v>95</v>
      </c>
      <c r="B196" s="2">
        <v>-228</v>
      </c>
      <c r="C196" s="2">
        <v>0</v>
      </c>
      <c r="D196" s="2">
        <v>0</v>
      </c>
      <c r="E196" s="2">
        <v>-557</v>
      </c>
      <c r="F196" s="2">
        <v>-3213</v>
      </c>
      <c r="G196" s="2">
        <v>-6249</v>
      </c>
      <c r="H196" s="2">
        <f t="shared" si="103"/>
        <v>-10247</v>
      </c>
      <c r="J196" s="28">
        <f t="shared" si="104"/>
        <v>-9.2345078979343867E-2</v>
      </c>
      <c r="K196" s="28">
        <f t="shared" si="104"/>
        <v>0</v>
      </c>
      <c r="L196" s="28">
        <f t="shared" si="104"/>
        <v>0</v>
      </c>
      <c r="M196" s="28">
        <f t="shared" si="104"/>
        <v>-0.15681306306306306</v>
      </c>
      <c r="N196" s="28">
        <f t="shared" si="104"/>
        <v>-1.2482517482517483</v>
      </c>
      <c r="O196" s="28">
        <f t="shared" si="104"/>
        <v>-12.473053892215569</v>
      </c>
      <c r="P196" s="28"/>
      <c r="R196" s="28">
        <f t="shared" si="105"/>
        <v>-0.48426706751700083</v>
      </c>
      <c r="S196" s="28" t="e">
        <f t="shared" si="40"/>
        <v>#DIV/0!</v>
      </c>
      <c r="T196" s="28" t="e">
        <f t="shared" si="106"/>
        <v>#DIV/0!</v>
      </c>
      <c r="U196" s="28" t="e">
        <f t="shared" si="106"/>
        <v>#DIV/0!</v>
      </c>
      <c r="V196" s="28">
        <f t="shared" si="106"/>
        <v>-1</v>
      </c>
      <c r="W196" s="28">
        <f t="shared" si="106"/>
        <v>-0.82664176781823839</v>
      </c>
      <c r="X196" s="28">
        <f t="shared" si="106"/>
        <v>-0.48583773403744601</v>
      </c>
    </row>
    <row r="197" spans="1:24" x14ac:dyDescent="0.25">
      <c r="A197" s="5" t="s">
        <v>189</v>
      </c>
      <c r="B197" s="6">
        <f>SUM(B190:B196)</f>
        <v>-1455</v>
      </c>
      <c r="C197" s="6">
        <f t="shared" ref="C197:G197" si="107">SUM(C190:C196)</f>
        <v>-7126</v>
      </c>
      <c r="D197" s="6">
        <f t="shared" si="107"/>
        <v>-1313</v>
      </c>
      <c r="E197" s="6">
        <f t="shared" si="107"/>
        <v>-1927</v>
      </c>
      <c r="F197" s="6">
        <f t="shared" si="107"/>
        <v>-152</v>
      </c>
      <c r="G197" s="6">
        <f t="shared" si="107"/>
        <v>-1351</v>
      </c>
      <c r="H197" s="6">
        <f t="shared" si="103"/>
        <v>-13324</v>
      </c>
      <c r="J197" s="28"/>
      <c r="K197" s="28"/>
      <c r="L197" s="28"/>
      <c r="M197" s="28"/>
      <c r="N197" s="28"/>
      <c r="O197" s="28"/>
      <c r="P197" s="28"/>
      <c r="R197" s="28"/>
      <c r="S197" s="28"/>
      <c r="T197" s="28"/>
      <c r="U197" s="28"/>
      <c r="V197" s="28"/>
      <c r="W197" s="28"/>
      <c r="X197" s="28"/>
    </row>
    <row r="198" spans="1:24" x14ac:dyDescent="0.25">
      <c r="A198" s="5" t="s">
        <v>96</v>
      </c>
      <c r="B198" s="2">
        <v>-1960</v>
      </c>
      <c r="C198" s="2">
        <v>-1959</v>
      </c>
      <c r="D198" s="2">
        <v>-1958</v>
      </c>
      <c r="E198" s="2">
        <v>-1953</v>
      </c>
      <c r="F198" s="2">
        <v>-3183</v>
      </c>
      <c r="G198" s="2">
        <v>-2888</v>
      </c>
      <c r="H198" s="2">
        <f t="shared" si="103"/>
        <v>-13901</v>
      </c>
      <c r="J198" s="28">
        <f t="shared" ref="J198:O204" si="108">+B198/B$169</f>
        <v>-0.79384366140137708</v>
      </c>
      <c r="K198" s="28">
        <f t="shared" si="108"/>
        <v>-0.36521252796420584</v>
      </c>
      <c r="L198" s="28">
        <f t="shared" si="108"/>
        <v>-0.39724081963887198</v>
      </c>
      <c r="M198" s="28">
        <f t="shared" si="108"/>
        <v>-0.54983108108108103</v>
      </c>
      <c r="N198" s="28">
        <f t="shared" si="108"/>
        <v>-1.2365967365967365</v>
      </c>
      <c r="O198" s="28">
        <f t="shared" si="108"/>
        <v>-5.764471057884232</v>
      </c>
      <c r="P198" s="28"/>
      <c r="R198" s="28">
        <f t="shared" ref="R198:R204" si="109">RATE(5,0,-G198,B198)</f>
        <v>-7.4595138905815289E-2</v>
      </c>
      <c r="S198" s="28">
        <f t="shared" si="40"/>
        <v>-5.6139946040355194E-2</v>
      </c>
      <c r="T198" s="28">
        <f t="shared" ref="T198:X204" si="110">(+B198-C198)/C198</f>
        <v>5.1046452271567128E-4</v>
      </c>
      <c r="U198" s="28">
        <f t="shared" si="110"/>
        <v>5.1072522982635344E-4</v>
      </c>
      <c r="V198" s="28">
        <f t="shared" si="110"/>
        <v>2.5601638504864311E-3</v>
      </c>
      <c r="W198" s="28">
        <f t="shared" si="110"/>
        <v>-0.38642789820923656</v>
      </c>
      <c r="X198" s="28">
        <f t="shared" si="110"/>
        <v>0.10214681440443213</v>
      </c>
    </row>
    <row r="199" spans="1:24" x14ac:dyDescent="0.25">
      <c r="A199" s="5" t="s">
        <v>97</v>
      </c>
      <c r="B199" s="2">
        <v>-299</v>
      </c>
      <c r="C199" s="2">
        <v>-259</v>
      </c>
      <c r="D199" s="2">
        <v>-60</v>
      </c>
      <c r="E199" s="2">
        <v>-33</v>
      </c>
      <c r="F199" s="2">
        <v>-28</v>
      </c>
      <c r="G199" s="2">
        <v>18</v>
      </c>
      <c r="H199" s="2">
        <f t="shared" si="103"/>
        <v>-661</v>
      </c>
      <c r="J199" s="28">
        <f t="shared" si="108"/>
        <v>-0.12110166059133252</v>
      </c>
      <c r="K199" s="28">
        <f t="shared" si="108"/>
        <v>-4.8284862043251303E-2</v>
      </c>
      <c r="L199" s="28">
        <f t="shared" si="108"/>
        <v>-1.2172854534388313E-2</v>
      </c>
      <c r="M199" s="28">
        <f t="shared" si="108"/>
        <v>-9.2905405405405411E-3</v>
      </c>
      <c r="N199" s="28">
        <f t="shared" si="108"/>
        <v>-1.0878010878010878E-2</v>
      </c>
      <c r="O199" s="28">
        <f t="shared" si="108"/>
        <v>3.5928143712574849E-2</v>
      </c>
      <c r="P199" s="28"/>
      <c r="R199" s="28" t="e">
        <f t="shared" si="109"/>
        <v>#NUM!</v>
      </c>
      <c r="S199" s="28">
        <f t="shared" si="40"/>
        <v>0.38246090246090264</v>
      </c>
      <c r="T199" s="28">
        <f t="shared" si="110"/>
        <v>0.15444015444015444</v>
      </c>
      <c r="U199" s="28">
        <f t="shared" si="110"/>
        <v>3.3166666666666669</v>
      </c>
      <c r="V199" s="28">
        <f t="shared" si="110"/>
        <v>0.81818181818181823</v>
      </c>
      <c r="W199" s="28">
        <f t="shared" si="110"/>
        <v>0.17857142857142858</v>
      </c>
      <c r="X199" s="28">
        <f t="shared" si="110"/>
        <v>-2.5555555555555554</v>
      </c>
    </row>
    <row r="200" spans="1:24" x14ac:dyDescent="0.25">
      <c r="A200" s="2" t="s">
        <v>98</v>
      </c>
      <c r="B200" s="10">
        <f>SUM(B197:B199)</f>
        <v>-3714</v>
      </c>
      <c r="C200" s="10">
        <f t="shared" ref="C200:G200" si="111">SUM(C197:C199)</f>
        <v>-9344</v>
      </c>
      <c r="D200" s="10">
        <f t="shared" si="111"/>
        <v>-3331</v>
      </c>
      <c r="E200" s="10">
        <f t="shared" si="111"/>
        <v>-3913</v>
      </c>
      <c r="F200" s="10">
        <f t="shared" si="111"/>
        <v>-3363</v>
      </c>
      <c r="G200" s="10">
        <f t="shared" si="111"/>
        <v>-4221</v>
      </c>
      <c r="H200" s="10">
        <f t="shared" si="103"/>
        <v>-27886</v>
      </c>
      <c r="J200" s="33">
        <f t="shared" si="108"/>
        <v>-1.5042527339003646</v>
      </c>
      <c r="K200" s="33">
        <f t="shared" si="108"/>
        <v>-1.7419835943325876</v>
      </c>
      <c r="L200" s="33">
        <f t="shared" si="108"/>
        <v>-0.6757963075674579</v>
      </c>
      <c r="M200" s="33">
        <f t="shared" si="108"/>
        <v>-1.101632882882883</v>
      </c>
      <c r="N200" s="33">
        <f t="shared" si="108"/>
        <v>-1.3065268065268065</v>
      </c>
      <c r="O200" s="33">
        <f t="shared" si="108"/>
        <v>-8.4251497005988032</v>
      </c>
      <c r="P200" s="33"/>
      <c r="Q200" s="10"/>
      <c r="R200" s="33">
        <f t="shared" si="109"/>
        <v>-2.5267808183075099E-2</v>
      </c>
      <c r="S200" s="33">
        <f t="shared" ref="S200:S204" si="112">AVERAGE(T200:X200)</f>
        <v>0.20283560611242665</v>
      </c>
      <c r="T200" s="33">
        <f t="shared" si="110"/>
        <v>-0.60252568493150682</v>
      </c>
      <c r="U200" s="33">
        <f t="shared" si="110"/>
        <v>1.805163614530171</v>
      </c>
      <c r="V200" s="33">
        <f t="shared" si="110"/>
        <v>-0.14873498594428827</v>
      </c>
      <c r="W200" s="33">
        <f t="shared" si="110"/>
        <v>0.16354445435622955</v>
      </c>
      <c r="X200" s="33">
        <f t="shared" si="110"/>
        <v>-0.20326936744847193</v>
      </c>
    </row>
    <row r="201" spans="1:24" x14ac:dyDescent="0.25">
      <c r="A201" s="2" t="s">
        <v>99</v>
      </c>
      <c r="B201" s="2">
        <v>-69</v>
      </c>
      <c r="C201" s="2">
        <v>-30</v>
      </c>
      <c r="D201" s="2">
        <v>62</v>
      </c>
      <c r="E201" s="2">
        <v>-6</v>
      </c>
      <c r="F201" s="2">
        <v>-132</v>
      </c>
      <c r="G201" s="2">
        <v>57</v>
      </c>
      <c r="H201" s="2">
        <f t="shared" si="103"/>
        <v>-118</v>
      </c>
      <c r="J201" s="33">
        <f t="shared" si="108"/>
        <v>-2.7946537059538274E-2</v>
      </c>
      <c r="K201" s="33">
        <f t="shared" si="108"/>
        <v>-5.5928411633109623E-3</v>
      </c>
      <c r="L201" s="33">
        <f t="shared" si="108"/>
        <v>1.2578616352201259E-2</v>
      </c>
      <c r="M201" s="33">
        <f t="shared" si="108"/>
        <v>-1.6891891891891893E-3</v>
      </c>
      <c r="N201" s="33">
        <f t="shared" si="108"/>
        <v>-5.128205128205128E-2</v>
      </c>
      <c r="O201" s="33">
        <f t="shared" si="108"/>
        <v>0.11377245508982035</v>
      </c>
      <c r="P201" s="33"/>
      <c r="Q201" s="10"/>
      <c r="R201" s="33" t="e">
        <f t="shared" si="109"/>
        <v>#NUM!</v>
      </c>
      <c r="S201" s="33">
        <f t="shared" si="112"/>
        <v>-3.1575078458609869</v>
      </c>
      <c r="T201" s="33">
        <f t="shared" si="110"/>
        <v>1.3</v>
      </c>
      <c r="U201" s="33">
        <f t="shared" si="110"/>
        <v>-1.4838709677419355</v>
      </c>
      <c r="V201" s="33">
        <f t="shared" si="110"/>
        <v>-11.333333333333334</v>
      </c>
      <c r="W201" s="33">
        <f t="shared" si="110"/>
        <v>-0.95454545454545459</v>
      </c>
      <c r="X201" s="33">
        <f t="shared" si="110"/>
        <v>-3.3157894736842106</v>
      </c>
    </row>
    <row r="202" spans="1:24" x14ac:dyDescent="0.25">
      <c r="A202" s="2" t="s">
        <v>100</v>
      </c>
      <c r="B202" s="6">
        <f t="shared" ref="B202:G202" si="113">+B201+B200+B188+B169</f>
        <v>-2405</v>
      </c>
      <c r="C202" s="6">
        <f t="shared" si="113"/>
        <v>28</v>
      </c>
      <c r="D202" s="6">
        <f t="shared" si="113"/>
        <v>1138</v>
      </c>
      <c r="E202" s="6">
        <f t="shared" si="113"/>
        <v>1144</v>
      </c>
      <c r="F202" s="6">
        <f t="shared" si="113"/>
        <v>-633</v>
      </c>
      <c r="G202" s="6">
        <f t="shared" si="113"/>
        <v>-2486</v>
      </c>
      <c r="H202" s="6">
        <f t="shared" si="103"/>
        <v>-3214</v>
      </c>
      <c r="J202" s="28">
        <f t="shared" si="108"/>
        <v>-0.97407857432158773</v>
      </c>
      <c r="K202" s="28">
        <f t="shared" si="108"/>
        <v>5.219985085756898E-3</v>
      </c>
      <c r="L202" s="28">
        <f t="shared" si="108"/>
        <v>0.23087847433556502</v>
      </c>
      <c r="M202" s="28">
        <f t="shared" si="108"/>
        <v>0.32207207207207206</v>
      </c>
      <c r="N202" s="28">
        <f t="shared" si="108"/>
        <v>-0.24592074592074592</v>
      </c>
      <c r="O202" s="28">
        <f t="shared" si="108"/>
        <v>-4.9620758483033933</v>
      </c>
      <c r="P202" s="28"/>
      <c r="R202" s="28">
        <f t="shared" si="109"/>
        <v>-6.6031208578273834E-3</v>
      </c>
      <c r="S202" s="28">
        <f t="shared" si="112"/>
        <v>-18.285227681247186</v>
      </c>
      <c r="T202" s="28">
        <f t="shared" si="110"/>
        <v>-86.892857142857139</v>
      </c>
      <c r="U202" s="28">
        <f t="shared" si="110"/>
        <v>-0.97539543057996481</v>
      </c>
      <c r="V202" s="28">
        <f t="shared" si="110"/>
        <v>-5.244755244755245E-3</v>
      </c>
      <c r="W202" s="28">
        <f t="shared" si="110"/>
        <v>-2.807266982622433</v>
      </c>
      <c r="X202" s="28">
        <f t="shared" si="110"/>
        <v>-0.7453740949316171</v>
      </c>
    </row>
    <row r="203" spans="1:24" x14ac:dyDescent="0.25">
      <c r="A203" s="2" t="s">
        <v>101</v>
      </c>
      <c r="B203" s="2">
        <f>+C204</f>
        <v>3446</v>
      </c>
      <c r="C203" s="2">
        <f t="shared" ref="C203:E203" si="114">+D204</f>
        <v>3418</v>
      </c>
      <c r="D203" s="2">
        <v>2280</v>
      </c>
      <c r="E203" s="2">
        <f t="shared" si="114"/>
        <v>1136</v>
      </c>
      <c r="F203" s="2">
        <v>1769</v>
      </c>
      <c r="G203" s="2">
        <v>4255</v>
      </c>
      <c r="H203" s="2">
        <f>+G203</f>
        <v>4255</v>
      </c>
      <c r="J203" s="28">
        <f t="shared" si="108"/>
        <v>1.3957067638720129</v>
      </c>
      <c r="K203" s="28">
        <f t="shared" si="108"/>
        <v>0.63721103653989564</v>
      </c>
      <c r="L203" s="28">
        <f t="shared" si="108"/>
        <v>0.46256847230675591</v>
      </c>
      <c r="M203" s="28">
        <f t="shared" si="108"/>
        <v>0.31981981981981983</v>
      </c>
      <c r="N203" s="28">
        <f t="shared" si="108"/>
        <v>0.68725718725718721</v>
      </c>
      <c r="O203" s="28">
        <f t="shared" si="108"/>
        <v>8.4930139720558877</v>
      </c>
      <c r="P203" s="28"/>
      <c r="R203" s="28">
        <f t="shared" si="109"/>
        <v>-4.1299085289094761E-2</v>
      </c>
      <c r="S203" s="28">
        <f t="shared" si="112"/>
        <v>0.11445477690487413</v>
      </c>
      <c r="T203" s="28">
        <f t="shared" si="110"/>
        <v>8.1919251023990641E-3</v>
      </c>
      <c r="U203" s="28">
        <f t="shared" si="110"/>
        <v>0.49912280701754386</v>
      </c>
      <c r="V203" s="28">
        <f t="shared" si="110"/>
        <v>1.0070422535211268</v>
      </c>
      <c r="W203" s="28">
        <f t="shared" si="110"/>
        <v>-0.35782928208027132</v>
      </c>
      <c r="X203" s="28">
        <f t="shared" si="110"/>
        <v>-0.5842538190364277</v>
      </c>
    </row>
    <row r="204" spans="1:24" ht="15.75" thickBot="1" x14ac:dyDescent="0.3">
      <c r="A204" s="2" t="s">
        <v>102</v>
      </c>
      <c r="B204" s="9">
        <f>+B203+B202</f>
        <v>1041</v>
      </c>
      <c r="C204" s="9">
        <f t="shared" ref="C204:G204" si="115">+C203+C202</f>
        <v>3446</v>
      </c>
      <c r="D204" s="9">
        <f t="shared" si="115"/>
        <v>3418</v>
      </c>
      <c r="E204" s="9">
        <f t="shared" si="115"/>
        <v>2280</v>
      </c>
      <c r="F204" s="9">
        <f t="shared" si="115"/>
        <v>1136</v>
      </c>
      <c r="G204" s="9">
        <f t="shared" si="115"/>
        <v>1769</v>
      </c>
      <c r="H204" s="9">
        <f>+H203+H202</f>
        <v>1041</v>
      </c>
      <c r="J204" s="32">
        <f t="shared" si="108"/>
        <v>0.42162818955042525</v>
      </c>
      <c r="K204" s="32">
        <f t="shared" si="108"/>
        <v>0.64243102162565247</v>
      </c>
      <c r="L204" s="32">
        <f t="shared" si="108"/>
        <v>0.69344694664232098</v>
      </c>
      <c r="M204" s="32">
        <f t="shared" si="108"/>
        <v>0.64189189189189189</v>
      </c>
      <c r="N204" s="32">
        <f t="shared" si="108"/>
        <v>0.44133644133644134</v>
      </c>
      <c r="O204" s="32">
        <f t="shared" si="108"/>
        <v>3.5309381237524948</v>
      </c>
      <c r="P204" s="32"/>
      <c r="Q204" s="11"/>
      <c r="R204" s="32">
        <f t="shared" si="109"/>
        <v>-0.10061719678040582</v>
      </c>
      <c r="S204" s="32">
        <f t="shared" si="112"/>
        <v>9.1723416510186367E-2</v>
      </c>
      <c r="T204" s="32">
        <f t="shared" si="110"/>
        <v>-0.69791062100986656</v>
      </c>
      <c r="U204" s="32">
        <f t="shared" si="110"/>
        <v>8.1919251023990641E-3</v>
      </c>
      <c r="V204" s="32">
        <f t="shared" si="110"/>
        <v>0.49912280701754386</v>
      </c>
      <c r="W204" s="32">
        <f t="shared" si="110"/>
        <v>1.0070422535211268</v>
      </c>
      <c r="X204" s="32">
        <f t="shared" si="110"/>
        <v>-0.35782928208027132</v>
      </c>
    </row>
    <row r="205" spans="1:24" ht="15.75" thickTop="1" x14ac:dyDescent="0.25">
      <c r="A205" s="3" t="s">
        <v>190</v>
      </c>
      <c r="B205" s="2">
        <f t="shared" ref="B205:G205" si="116">+B204-B6</f>
        <v>1</v>
      </c>
      <c r="C205" s="2">
        <f t="shared" si="116"/>
        <v>1</v>
      </c>
      <c r="D205" s="2">
        <f t="shared" si="116"/>
        <v>1</v>
      </c>
      <c r="E205" s="2">
        <f t="shared" si="116"/>
        <v>1</v>
      </c>
      <c r="F205" s="2">
        <f t="shared" si="116"/>
        <v>6</v>
      </c>
      <c r="G205" s="2">
        <f t="shared" si="116"/>
        <v>140</v>
      </c>
    </row>
    <row r="206" spans="1:24" x14ac:dyDescent="0.25">
      <c r="A206" s="3"/>
    </row>
    <row r="207" spans="1:24" s="15" customFormat="1" x14ac:dyDescent="0.25">
      <c r="A207" s="15" t="s">
        <v>326</v>
      </c>
      <c r="B207" s="15" t="s">
        <v>460</v>
      </c>
      <c r="R207" s="15" t="str">
        <f>+B207</f>
        <v>Recurring</v>
      </c>
    </row>
    <row r="208" spans="1:24" s="15" customFormat="1" x14ac:dyDescent="0.25">
      <c r="A208" s="15" t="s">
        <v>327</v>
      </c>
      <c r="R208" s="15" t="s">
        <v>131</v>
      </c>
    </row>
    <row r="209" spans="1:24" s="15" customFormat="1" x14ac:dyDescent="0.25">
      <c r="A209" s="15" t="s">
        <v>2</v>
      </c>
      <c r="F209" s="15" t="s">
        <v>150</v>
      </c>
      <c r="G209" s="16" t="s">
        <v>125</v>
      </c>
      <c r="H209" s="16"/>
      <c r="O209" s="16"/>
      <c r="P209" s="16"/>
      <c r="R209" s="15" t="s">
        <v>127</v>
      </c>
      <c r="S209" s="15" t="s">
        <v>129</v>
      </c>
      <c r="T209" s="15" t="s">
        <v>132</v>
      </c>
      <c r="U209" s="15" t="s">
        <v>133</v>
      </c>
      <c r="V209" s="15" t="s">
        <v>134</v>
      </c>
      <c r="W209" s="15" t="s">
        <v>135</v>
      </c>
      <c r="X209" s="15" t="s">
        <v>136</v>
      </c>
    </row>
    <row r="210" spans="1:24" s="15" customFormat="1" ht="15.75" thickBot="1" x14ac:dyDescent="0.3">
      <c r="A210" s="16" t="s">
        <v>328</v>
      </c>
      <c r="B210" s="17">
        <v>2022</v>
      </c>
      <c r="C210" s="17">
        <v>2021</v>
      </c>
      <c r="D210" s="17">
        <v>2020</v>
      </c>
      <c r="E210" s="17">
        <v>2019</v>
      </c>
      <c r="F210" s="17">
        <v>2018</v>
      </c>
      <c r="G210" s="17">
        <v>2017</v>
      </c>
      <c r="H210" s="17" t="s">
        <v>157</v>
      </c>
      <c r="J210" s="17"/>
      <c r="K210" s="17"/>
      <c r="L210" s="17"/>
      <c r="M210" s="17"/>
      <c r="N210" s="17"/>
      <c r="O210" s="17"/>
      <c r="P210" s="22"/>
      <c r="R210" s="29" t="s">
        <v>128</v>
      </c>
      <c r="S210" s="29" t="s">
        <v>130</v>
      </c>
      <c r="T210" s="17">
        <v>2022</v>
      </c>
      <c r="U210" s="17">
        <v>2021</v>
      </c>
      <c r="V210" s="17">
        <v>2020</v>
      </c>
      <c r="W210" s="17">
        <v>2019</v>
      </c>
      <c r="X210" s="17">
        <v>2018</v>
      </c>
    </row>
    <row r="211" spans="1:24" customFormat="1" x14ac:dyDescent="0.25">
      <c r="A211" t="s">
        <v>332</v>
      </c>
      <c r="B211" s="63">
        <f>B60</f>
        <v>25913.283018867925</v>
      </c>
      <c r="C211" s="63">
        <f t="shared" ref="C211:G211" si="117">C60</f>
        <v>25998</v>
      </c>
      <c r="D211" s="63">
        <f t="shared" si="117"/>
        <v>26195</v>
      </c>
      <c r="E211" s="63">
        <f t="shared" si="117"/>
        <v>25795.263999999999</v>
      </c>
      <c r="F211" s="63">
        <f t="shared" si="117"/>
        <v>26287</v>
      </c>
      <c r="G211" s="63">
        <f t="shared" si="117"/>
        <v>26076</v>
      </c>
      <c r="R211" s="28">
        <f>_xlfn.RRI(5,G211,B211)</f>
        <v>-1.2511478514974916E-3</v>
      </c>
      <c r="S211" s="28">
        <f>AVERAGE(T211:X211)</f>
        <v>-1.1794656423519925E-3</v>
      </c>
      <c r="T211" s="28">
        <f t="shared" ref="T211:W211" si="118">(B211-C211)/C211</f>
        <v>-3.2585960893943603E-3</v>
      </c>
      <c r="U211" s="28">
        <f t="shared" si="118"/>
        <v>-7.5205191830502007E-3</v>
      </c>
      <c r="V211" s="28">
        <f t="shared" si="118"/>
        <v>1.5496488037494045E-2</v>
      </c>
      <c r="W211" s="28">
        <f t="shared" si="118"/>
        <v>-1.8706432837524281E-2</v>
      </c>
      <c r="X211" s="28">
        <f>(F211-G211)/G211</f>
        <v>8.0917318607148341E-3</v>
      </c>
    </row>
    <row r="212" spans="1:24" customFormat="1" x14ac:dyDescent="0.25">
      <c r="A212" s="64" t="s">
        <v>330</v>
      </c>
      <c r="B212" s="30">
        <f>B213/B211</f>
        <v>0.15250865732151647</v>
      </c>
      <c r="C212" s="30">
        <f t="shared" ref="C212:G212" si="119">C213/C211</f>
        <v>0.19070697745980461</v>
      </c>
      <c r="D212" s="30">
        <f t="shared" si="119"/>
        <v>0.17068142775338804</v>
      </c>
      <c r="E212" s="30">
        <f t="shared" si="119"/>
        <v>0.14673236141331991</v>
      </c>
      <c r="F212" s="30">
        <f t="shared" si="119"/>
        <v>0.17639898048465022</v>
      </c>
      <c r="G212" s="30">
        <f t="shared" si="119"/>
        <v>0.14822058597944471</v>
      </c>
      <c r="R212" s="28">
        <f t="shared" ref="R212:R236" si="120">_xlfn.RRI(5,G212,B212)</f>
        <v>5.7202492606827082E-3</v>
      </c>
      <c r="S212" s="28">
        <f t="shared" ref="S212:S236" si="121">AVERAGE(T212:X212)</f>
        <v>2.0435333685880221E-2</v>
      </c>
      <c r="T212" s="28">
        <f t="shared" ref="T212:T236" si="122">(B212-C212)/C212</f>
        <v>-0.2002984927299748</v>
      </c>
      <c r="U212" s="28">
        <f t="shared" ref="U212:U236" si="123">(C212-D212)/D212</f>
        <v>0.11732705760670589</v>
      </c>
      <c r="V212" s="28">
        <f t="shared" ref="V212:V236" si="124">(D212-E212)/E212</f>
        <v>0.16321598118773348</v>
      </c>
      <c r="W212" s="28">
        <f t="shared" ref="W212:W236" si="125">(E212-F212)/F212</f>
        <v>-0.16817908465129605</v>
      </c>
      <c r="X212" s="28">
        <f t="shared" ref="X212:X236" si="126">(F212-G212)/G212</f>
        <v>0.19011120701623258</v>
      </c>
    </row>
    <row r="213" spans="1:24" customFormat="1" x14ac:dyDescent="0.25">
      <c r="A213" t="s">
        <v>331</v>
      </c>
      <c r="B213" s="65">
        <f>B162</f>
        <v>3952</v>
      </c>
      <c r="C213" s="65">
        <f t="shared" ref="C213:G213" si="127">C162</f>
        <v>4958</v>
      </c>
      <c r="D213" s="65">
        <f t="shared" si="127"/>
        <v>4471</v>
      </c>
      <c r="E213" s="65">
        <f t="shared" si="127"/>
        <v>3785</v>
      </c>
      <c r="F213" s="65">
        <f t="shared" si="127"/>
        <v>4637</v>
      </c>
      <c r="G213" s="65">
        <f t="shared" si="127"/>
        <v>3865</v>
      </c>
      <c r="H213" s="89"/>
      <c r="R213" s="28">
        <f t="shared" si="120"/>
        <v>4.4619445316125272E-3</v>
      </c>
      <c r="S213" s="28">
        <f t="shared" si="121"/>
        <v>2.0652661175588411E-2</v>
      </c>
      <c r="T213" s="28">
        <f t="shared" si="122"/>
        <v>-0.20290439693424769</v>
      </c>
      <c r="U213" s="28">
        <f t="shared" si="123"/>
        <v>0.1089241780362335</v>
      </c>
      <c r="V213" s="28">
        <f t="shared" si="124"/>
        <v>0.18124174372523116</v>
      </c>
      <c r="W213" s="28">
        <f t="shared" si="125"/>
        <v>-0.18373948673711452</v>
      </c>
      <c r="X213" s="28">
        <f t="shared" si="126"/>
        <v>0.1997412677878396</v>
      </c>
    </row>
    <row r="214" spans="1:24" customFormat="1" x14ac:dyDescent="0.25">
      <c r="A214" s="64" t="s">
        <v>333</v>
      </c>
      <c r="B214" s="66">
        <f>B215-B213</f>
        <v>-1483</v>
      </c>
      <c r="C214" s="66">
        <f t="shared" ref="C214:G214" si="128">C215-C213</f>
        <v>406</v>
      </c>
      <c r="D214" s="66">
        <f t="shared" si="128"/>
        <v>458</v>
      </c>
      <c r="E214" s="66">
        <f t="shared" si="128"/>
        <v>-233</v>
      </c>
      <c r="F214" s="66">
        <f t="shared" si="128"/>
        <v>-2063</v>
      </c>
      <c r="G214" s="66">
        <f t="shared" si="128"/>
        <v>-3364</v>
      </c>
      <c r="R214" s="28"/>
      <c r="S214" s="28"/>
      <c r="T214" s="28"/>
      <c r="U214" s="28"/>
      <c r="V214" s="28"/>
      <c r="W214" s="28"/>
      <c r="X214" s="28"/>
    </row>
    <row r="215" spans="1:24" customFormat="1" x14ac:dyDescent="0.25">
      <c r="A215" t="s">
        <v>308</v>
      </c>
      <c r="B215" s="65">
        <f>B180</f>
        <v>2469</v>
      </c>
      <c r="C215" s="65">
        <f t="shared" ref="C215:G215" si="129">C180</f>
        <v>5364</v>
      </c>
      <c r="D215" s="65">
        <f t="shared" si="129"/>
        <v>4929</v>
      </c>
      <c r="E215" s="65">
        <f t="shared" si="129"/>
        <v>3552</v>
      </c>
      <c r="F215" s="65">
        <f t="shared" si="129"/>
        <v>2574</v>
      </c>
      <c r="G215" s="65">
        <f t="shared" si="129"/>
        <v>501</v>
      </c>
      <c r="R215" s="28">
        <f t="shared" si="120"/>
        <v>0.37574097606482249</v>
      </c>
      <c r="S215" s="28">
        <f t="shared" si="121"/>
        <v>0.89077817457706199</v>
      </c>
      <c r="T215" s="28">
        <f t="shared" si="122"/>
        <v>-0.53970917225950787</v>
      </c>
      <c r="U215" s="28">
        <f t="shared" si="123"/>
        <v>8.825319537431528E-2</v>
      </c>
      <c r="V215" s="28">
        <f t="shared" si="124"/>
        <v>0.38766891891891891</v>
      </c>
      <c r="W215" s="28">
        <f t="shared" si="125"/>
        <v>0.37995337995337997</v>
      </c>
      <c r="X215" s="28">
        <f t="shared" si="126"/>
        <v>4.1377245508982039</v>
      </c>
    </row>
    <row r="216" spans="1:24" customFormat="1" x14ac:dyDescent="0.25">
      <c r="A216" s="64" t="s">
        <v>334</v>
      </c>
      <c r="B216" s="66">
        <f>B182</f>
        <v>-916</v>
      </c>
      <c r="C216" s="66">
        <f t="shared" ref="C216:G216" si="130">C182</f>
        <v>-905</v>
      </c>
      <c r="D216" s="66">
        <f t="shared" si="130"/>
        <v>-596</v>
      </c>
      <c r="E216" s="66">
        <f t="shared" si="130"/>
        <v>-768</v>
      </c>
      <c r="F216" s="66">
        <f t="shared" si="130"/>
        <v>-826</v>
      </c>
      <c r="G216" s="66">
        <f t="shared" si="130"/>
        <v>-1194</v>
      </c>
      <c r="R216" s="28">
        <f t="shared" si="120"/>
        <v>-5.1629078508061976E-2</v>
      </c>
      <c r="S216" s="28">
        <f t="shared" si="121"/>
        <v>-1.4354576845997035E-2</v>
      </c>
      <c r="T216" s="28">
        <f t="shared" si="122"/>
        <v>1.2154696132596685E-2</v>
      </c>
      <c r="U216" s="28">
        <f t="shared" si="123"/>
        <v>0.51845637583892612</v>
      </c>
      <c r="V216" s="28">
        <f t="shared" si="124"/>
        <v>-0.22395833333333334</v>
      </c>
      <c r="W216" s="28">
        <f t="shared" si="125"/>
        <v>-7.0217917675544791E-2</v>
      </c>
      <c r="X216" s="28">
        <f t="shared" si="126"/>
        <v>-0.3082077051926298</v>
      </c>
    </row>
    <row r="217" spans="1:24" customFormat="1" x14ac:dyDescent="0.25">
      <c r="A217" t="s">
        <v>195</v>
      </c>
      <c r="B217" s="65">
        <f>SUM(B215:B216)</f>
        <v>1553</v>
      </c>
      <c r="C217" s="65">
        <f t="shared" ref="C217:G217" si="131">SUM(C215:C216)</f>
        <v>4459</v>
      </c>
      <c r="D217" s="65">
        <f t="shared" si="131"/>
        <v>4333</v>
      </c>
      <c r="E217" s="65">
        <f t="shared" si="131"/>
        <v>2784</v>
      </c>
      <c r="F217" s="65">
        <f t="shared" si="131"/>
        <v>1748</v>
      </c>
      <c r="G217" s="65">
        <f t="shared" si="131"/>
        <v>-693</v>
      </c>
      <c r="R217" s="28"/>
      <c r="S217" s="28"/>
      <c r="T217" s="28"/>
      <c r="U217" s="28"/>
      <c r="V217" s="28"/>
      <c r="W217" s="28"/>
      <c r="X217" s="28"/>
    </row>
    <row r="218" spans="1:24" customFormat="1" x14ac:dyDescent="0.25">
      <c r="A218" s="64" t="s">
        <v>344</v>
      </c>
      <c r="B218" s="65">
        <f>B185</f>
        <v>208</v>
      </c>
      <c r="C218" s="65">
        <f t="shared" ref="C218:G218" si="132">C185</f>
        <v>-28</v>
      </c>
      <c r="D218" s="65">
        <f t="shared" si="132"/>
        <v>25</v>
      </c>
      <c r="E218" s="65">
        <f t="shared" si="132"/>
        <v>590</v>
      </c>
      <c r="F218" s="65">
        <f t="shared" si="132"/>
        <v>24</v>
      </c>
      <c r="G218" s="65">
        <f t="shared" si="132"/>
        <v>0</v>
      </c>
      <c r="R218" s="28"/>
      <c r="S218" s="28"/>
      <c r="T218" s="28"/>
      <c r="U218" s="28"/>
      <c r="V218" s="28"/>
      <c r="W218" s="28"/>
      <c r="X218" s="28"/>
    </row>
    <row r="219" spans="1:24" customFormat="1" x14ac:dyDescent="0.25">
      <c r="A219" s="64" t="s">
        <v>83</v>
      </c>
      <c r="B219" s="65">
        <f>B184</f>
        <v>-481</v>
      </c>
      <c r="C219" s="65">
        <f t="shared" ref="C219:G219" si="133">C184</f>
        <v>-74</v>
      </c>
      <c r="D219" s="65">
        <f t="shared" si="133"/>
        <v>0</v>
      </c>
      <c r="E219" s="65">
        <f t="shared" si="133"/>
        <v>-199</v>
      </c>
      <c r="F219" s="65">
        <f t="shared" si="133"/>
        <v>-248</v>
      </c>
      <c r="G219" s="65">
        <f t="shared" si="133"/>
        <v>0</v>
      </c>
      <c r="R219" s="28"/>
      <c r="S219" s="28"/>
      <c r="T219" s="28"/>
      <c r="U219" s="28"/>
      <c r="V219" s="28"/>
      <c r="W219" s="28"/>
      <c r="X219" s="28"/>
    </row>
    <row r="220" spans="1:24" customFormat="1" x14ac:dyDescent="0.25">
      <c r="A220" s="64" t="s">
        <v>335</v>
      </c>
      <c r="B220" s="65">
        <f>B197</f>
        <v>-1455</v>
      </c>
      <c r="C220" s="65">
        <f t="shared" ref="C220:G220" si="134">C197</f>
        <v>-7126</v>
      </c>
      <c r="D220" s="65">
        <f t="shared" si="134"/>
        <v>-1313</v>
      </c>
      <c r="E220" s="65">
        <f t="shared" si="134"/>
        <v>-1927</v>
      </c>
      <c r="F220" s="65">
        <f t="shared" si="134"/>
        <v>-152</v>
      </c>
      <c r="G220" s="65">
        <f t="shared" si="134"/>
        <v>-1351</v>
      </c>
      <c r="R220" s="28">
        <f t="shared" si="120"/>
        <v>1.4942710789694003E-2</v>
      </c>
      <c r="S220" s="28">
        <f t="shared" si="121"/>
        <v>2.820591701851435</v>
      </c>
      <c r="T220" s="28">
        <f t="shared" si="122"/>
        <v>-0.79581813078866126</v>
      </c>
      <c r="U220" s="28">
        <f t="shared" si="123"/>
        <v>4.4272658035034276</v>
      </c>
      <c r="V220" s="28">
        <f t="shared" si="124"/>
        <v>-0.3186299948105864</v>
      </c>
      <c r="W220" s="28">
        <f t="shared" si="125"/>
        <v>11.677631578947368</v>
      </c>
      <c r="X220" s="28">
        <f t="shared" si="126"/>
        <v>-0.88749074759437452</v>
      </c>
    </row>
    <row r="221" spans="1:24" customFormat="1" x14ac:dyDescent="0.25">
      <c r="A221" s="64" t="s">
        <v>345</v>
      </c>
      <c r="B221" s="65">
        <f>B183</f>
        <v>0</v>
      </c>
      <c r="C221" s="65">
        <f t="shared" ref="C221:G221" si="135">C183</f>
        <v>0</v>
      </c>
      <c r="D221" s="65">
        <f t="shared" si="135"/>
        <v>0</v>
      </c>
      <c r="E221" s="65">
        <f t="shared" si="135"/>
        <v>0</v>
      </c>
      <c r="F221" s="65">
        <f t="shared" si="135"/>
        <v>1296</v>
      </c>
      <c r="G221" s="65">
        <f t="shared" si="135"/>
        <v>2286</v>
      </c>
      <c r="R221" s="28"/>
      <c r="S221" s="28"/>
      <c r="T221" s="28"/>
      <c r="U221" s="28"/>
      <c r="V221" s="28"/>
      <c r="W221" s="28"/>
      <c r="X221" s="28"/>
    </row>
    <row r="222" spans="1:24" customFormat="1" x14ac:dyDescent="0.25">
      <c r="A222" s="64" t="s">
        <v>346</v>
      </c>
      <c r="B222" s="65">
        <f>B186</f>
        <v>88</v>
      </c>
      <c r="C222" s="65">
        <f t="shared" ref="C222:G222" si="136">C186</f>
        <v>5014</v>
      </c>
      <c r="D222" s="65">
        <f t="shared" si="136"/>
        <v>0</v>
      </c>
      <c r="E222" s="65">
        <f t="shared" si="136"/>
        <v>1875</v>
      </c>
      <c r="F222" s="65">
        <f t="shared" si="136"/>
        <v>18</v>
      </c>
      <c r="G222" s="65">
        <f t="shared" si="136"/>
        <v>0</v>
      </c>
      <c r="R222" s="28"/>
      <c r="S222" s="28"/>
      <c r="T222" s="28"/>
      <c r="U222" s="28"/>
      <c r="V222" s="28"/>
      <c r="W222" s="28"/>
      <c r="X222" s="28"/>
    </row>
    <row r="223" spans="1:24" customFormat="1" x14ac:dyDescent="0.25">
      <c r="A223" s="64" t="s">
        <v>336</v>
      </c>
      <c r="B223" s="65">
        <f>B198</f>
        <v>-1960</v>
      </c>
      <c r="C223" s="65">
        <f t="shared" ref="C223:G223" si="137">C198</f>
        <v>-1959</v>
      </c>
      <c r="D223" s="65">
        <f t="shared" si="137"/>
        <v>-1958</v>
      </c>
      <c r="E223" s="65">
        <f t="shared" si="137"/>
        <v>-1953</v>
      </c>
      <c r="F223" s="65">
        <f t="shared" si="137"/>
        <v>-3183</v>
      </c>
      <c r="G223" s="65">
        <f t="shared" si="137"/>
        <v>-2888</v>
      </c>
      <c r="R223" s="28">
        <f t="shared" si="120"/>
        <v>-7.4595138905815372E-2</v>
      </c>
      <c r="S223" s="28">
        <f t="shared" si="121"/>
        <v>-5.6139946040355194E-2</v>
      </c>
      <c r="T223" s="28">
        <f t="shared" si="122"/>
        <v>5.1046452271567128E-4</v>
      </c>
      <c r="U223" s="28">
        <f t="shared" si="123"/>
        <v>5.1072522982635344E-4</v>
      </c>
      <c r="V223" s="28">
        <f t="shared" si="124"/>
        <v>2.5601638504864311E-3</v>
      </c>
      <c r="W223" s="28">
        <f t="shared" si="125"/>
        <v>-0.38642789820923656</v>
      </c>
      <c r="X223" s="28">
        <f t="shared" si="126"/>
        <v>0.10214681440443213</v>
      </c>
    </row>
    <row r="224" spans="1:24" customFormat="1" x14ac:dyDescent="0.25">
      <c r="A224" s="64" t="s">
        <v>337</v>
      </c>
      <c r="B224" s="65">
        <f>B225-SUM(B217:B223)</f>
        <v>-358</v>
      </c>
      <c r="C224" s="65">
        <f t="shared" ref="C224:G224" si="138">C225-SUM(C217:C223)</f>
        <v>-258</v>
      </c>
      <c r="D224" s="65">
        <f t="shared" si="138"/>
        <v>51</v>
      </c>
      <c r="E224" s="65">
        <f t="shared" si="138"/>
        <v>-26</v>
      </c>
      <c r="F224" s="65">
        <f t="shared" si="138"/>
        <v>-136</v>
      </c>
      <c r="G224" s="65">
        <f t="shared" si="138"/>
        <v>160</v>
      </c>
      <c r="R224" s="28"/>
      <c r="S224" s="28"/>
      <c r="T224" s="28"/>
      <c r="U224" s="28"/>
      <c r="V224" s="28"/>
      <c r="W224" s="28"/>
      <c r="X224" s="28"/>
    </row>
    <row r="225" spans="1:24" customFormat="1" ht="15.75" thickBot="1" x14ac:dyDescent="0.3">
      <c r="A225" t="s">
        <v>338</v>
      </c>
      <c r="B225" s="9">
        <f>B202</f>
        <v>-2405</v>
      </c>
      <c r="C225" s="9">
        <f t="shared" ref="C225:G225" si="139">C202</f>
        <v>28</v>
      </c>
      <c r="D225" s="9">
        <f t="shared" si="139"/>
        <v>1138</v>
      </c>
      <c r="E225" s="9">
        <f t="shared" si="139"/>
        <v>1144</v>
      </c>
      <c r="F225" s="9">
        <f t="shared" si="139"/>
        <v>-633</v>
      </c>
      <c r="G225" s="9">
        <f t="shared" si="139"/>
        <v>-2486</v>
      </c>
      <c r="H225" s="8"/>
      <c r="I225" s="65"/>
      <c r="J225" s="65"/>
      <c r="K225" s="65"/>
      <c r="L225" s="65"/>
      <c r="R225" s="28">
        <f t="shared" si="120"/>
        <v>-6.6031208578278822E-3</v>
      </c>
      <c r="S225" s="28">
        <f t="shared" si="121"/>
        <v>-18.285227681247186</v>
      </c>
      <c r="T225" s="28">
        <f t="shared" si="122"/>
        <v>-86.892857142857139</v>
      </c>
      <c r="U225" s="28">
        <f t="shared" si="123"/>
        <v>-0.97539543057996481</v>
      </c>
      <c r="V225" s="28">
        <f t="shared" si="124"/>
        <v>-5.244755244755245E-3</v>
      </c>
      <c r="W225" s="28">
        <f t="shared" si="125"/>
        <v>-2.807266982622433</v>
      </c>
      <c r="X225" s="28">
        <f t="shared" si="126"/>
        <v>-0.7453740949316171</v>
      </c>
    </row>
    <row r="226" spans="1:24" customFormat="1" ht="15.75" thickTop="1" x14ac:dyDescent="0.25">
      <c r="R226" s="28"/>
      <c r="S226" s="28"/>
      <c r="T226" s="28"/>
      <c r="U226" s="28"/>
      <c r="V226" s="28"/>
      <c r="W226" s="28"/>
      <c r="X226" s="28"/>
    </row>
    <row r="227" spans="1:24" customFormat="1" x14ac:dyDescent="0.25">
      <c r="A227" s="64" t="s">
        <v>331</v>
      </c>
      <c r="B227" s="8">
        <f>B162</f>
        <v>3952</v>
      </c>
      <c r="C227" s="8">
        <f>C162</f>
        <v>4958</v>
      </c>
      <c r="D227" s="8">
        <f t="shared" ref="D227:G227" si="140">D162</f>
        <v>4471</v>
      </c>
      <c r="E227" s="8">
        <f t="shared" si="140"/>
        <v>3785</v>
      </c>
      <c r="F227" s="8">
        <f t="shared" si="140"/>
        <v>4637</v>
      </c>
      <c r="G227" s="8">
        <f t="shared" si="140"/>
        <v>3865</v>
      </c>
      <c r="R227" s="28">
        <f t="shared" si="120"/>
        <v>4.4619445316125272E-3</v>
      </c>
      <c r="S227" s="28">
        <f t="shared" si="121"/>
        <v>2.0652661175588411E-2</v>
      </c>
      <c r="T227" s="28">
        <f t="shared" si="122"/>
        <v>-0.20290439693424769</v>
      </c>
      <c r="U227" s="28">
        <f t="shared" si="123"/>
        <v>0.1089241780362335</v>
      </c>
      <c r="V227" s="28">
        <f t="shared" si="124"/>
        <v>0.18124174372523116</v>
      </c>
      <c r="W227" s="28">
        <f t="shared" si="125"/>
        <v>-0.18373948673711452</v>
      </c>
      <c r="X227" s="28">
        <f t="shared" si="126"/>
        <v>0.1997412677878396</v>
      </c>
    </row>
    <row r="228" spans="1:24" customFormat="1" x14ac:dyDescent="0.25">
      <c r="A228" s="64" t="s">
        <v>195</v>
      </c>
      <c r="B228" s="69">
        <f>B217</f>
        <v>1553</v>
      </c>
      <c r="C228" s="69">
        <f>C217</f>
        <v>4459</v>
      </c>
      <c r="D228" s="69">
        <f t="shared" ref="D228:G228" si="141">D217</f>
        <v>4333</v>
      </c>
      <c r="E228" s="69">
        <f t="shared" si="141"/>
        <v>2784</v>
      </c>
      <c r="F228" s="69">
        <f t="shared" si="141"/>
        <v>1748</v>
      </c>
      <c r="G228" s="69">
        <f t="shared" si="141"/>
        <v>-693</v>
      </c>
      <c r="R228" s="28"/>
      <c r="S228" s="28"/>
      <c r="T228" s="28"/>
      <c r="U228" s="28"/>
      <c r="V228" s="28"/>
      <c r="W228" s="28"/>
      <c r="X228" s="28"/>
    </row>
    <row r="229" spans="1:24" customFormat="1" x14ac:dyDescent="0.25">
      <c r="A229" s="64" t="s">
        <v>306</v>
      </c>
      <c r="B229" s="69">
        <f t="shared" ref="B229:G229" si="142">B228+(B70*0.75)</f>
        <v>2243.75</v>
      </c>
      <c r="C229" s="69">
        <f t="shared" si="142"/>
        <v>5306.5</v>
      </c>
      <c r="D229" s="69">
        <f t="shared" si="142"/>
        <v>5378.5</v>
      </c>
      <c r="E229" s="69">
        <f t="shared" si="142"/>
        <v>3804.75</v>
      </c>
      <c r="F229" s="69">
        <f t="shared" si="142"/>
        <v>2711</v>
      </c>
      <c r="G229" s="69">
        <f t="shared" si="142"/>
        <v>232.5</v>
      </c>
      <c r="R229" s="28">
        <f t="shared" si="120"/>
        <v>0.57365781095448454</v>
      </c>
      <c r="S229" s="28">
        <f t="shared" si="121"/>
        <v>2.1773471053530442</v>
      </c>
      <c r="T229" s="28">
        <f t="shared" si="122"/>
        <v>-0.57716950909262221</v>
      </c>
      <c r="U229" s="28">
        <f t="shared" si="123"/>
        <v>-1.3386631960583806E-2</v>
      </c>
      <c r="V229" s="28">
        <f t="shared" si="124"/>
        <v>0.41362770221433737</v>
      </c>
      <c r="W229" s="28">
        <f t="shared" si="125"/>
        <v>0.40344891184064918</v>
      </c>
      <c r="X229" s="28">
        <f t="shared" si="126"/>
        <v>10.660215053763441</v>
      </c>
    </row>
    <row r="230" spans="1:24" customFormat="1" x14ac:dyDescent="0.25">
      <c r="A230" s="64" t="s">
        <v>347</v>
      </c>
      <c r="B230" s="8">
        <f>B229+B220</f>
        <v>788.75</v>
      </c>
      <c r="C230" s="8">
        <f>C229+C220</f>
        <v>-1819.5</v>
      </c>
      <c r="D230" s="8">
        <f t="shared" ref="D230:G230" si="143">D229+D220</f>
        <v>4065.5</v>
      </c>
      <c r="E230" s="8">
        <f t="shared" si="143"/>
        <v>1877.75</v>
      </c>
      <c r="F230" s="8">
        <f t="shared" si="143"/>
        <v>2559</v>
      </c>
      <c r="G230" s="8">
        <f t="shared" si="143"/>
        <v>-1118.5</v>
      </c>
      <c r="R230" s="28"/>
      <c r="S230" s="28"/>
      <c r="T230" s="28"/>
      <c r="U230" s="28"/>
      <c r="V230" s="28"/>
      <c r="W230" s="28"/>
      <c r="X230" s="28"/>
    </row>
    <row r="231" spans="1:24" customFormat="1" x14ac:dyDescent="0.25">
      <c r="A231" s="64"/>
      <c r="R231" s="28"/>
      <c r="S231" s="28"/>
      <c r="T231" s="28"/>
      <c r="U231" s="28"/>
      <c r="V231" s="28"/>
      <c r="W231" s="28"/>
      <c r="X231" s="28"/>
    </row>
    <row r="232" spans="1:24" customFormat="1" x14ac:dyDescent="0.25">
      <c r="A232" s="64" t="s">
        <v>329</v>
      </c>
      <c r="B232" s="70">
        <f>-B182/B150</f>
        <v>0.98177920685959275</v>
      </c>
      <c r="C232" s="70">
        <f t="shared" ref="C232:F232" si="144">-C182/C150</f>
        <v>0.99450549450549453</v>
      </c>
      <c r="D232" s="70">
        <f t="shared" si="144"/>
        <v>0.61506707946336425</v>
      </c>
      <c r="E232" s="70">
        <f t="shared" si="144"/>
        <v>0.77263581488933597</v>
      </c>
      <c r="F232" s="70">
        <f t="shared" si="144"/>
        <v>0.84028484231943035</v>
      </c>
      <c r="G232" s="70">
        <f>-G182/G150</f>
        <v>1.1580989330746847</v>
      </c>
      <c r="R232" s="28">
        <f t="shared" si="120"/>
        <v>-3.2494074183246902E-2</v>
      </c>
      <c r="S232" s="28">
        <f t="shared" si="121"/>
        <v>9.0475722976537717E-3</v>
      </c>
      <c r="T232" s="28">
        <f t="shared" si="122"/>
        <v>-1.2796598627370849E-2</v>
      </c>
      <c r="U232" s="28">
        <f t="shared" si="123"/>
        <v>0.61690574526145014</v>
      </c>
      <c r="V232" s="28">
        <f t="shared" si="124"/>
        <v>-0.20393661850705194</v>
      </c>
      <c r="W232" s="28">
        <f t="shared" si="125"/>
        <v>-8.0507256614749112E-2</v>
      </c>
      <c r="X232" s="28">
        <f t="shared" si="126"/>
        <v>-0.27442741002400944</v>
      </c>
    </row>
    <row r="233" spans="1:24" customFormat="1" x14ac:dyDescent="0.25">
      <c r="A233" s="64" t="s">
        <v>339</v>
      </c>
      <c r="B233" s="70">
        <f t="shared" ref="B233:G233" si="145">B15/B150</f>
        <v>11.738478027867096</v>
      </c>
      <c r="C233" s="70">
        <f t="shared" si="145"/>
        <v>11.729670329670329</v>
      </c>
      <c r="D233" s="70">
        <f t="shared" si="145"/>
        <v>3.6769865841073273</v>
      </c>
      <c r="E233" s="70">
        <f t="shared" si="145"/>
        <v>10.303822937625755</v>
      </c>
      <c r="F233" s="70">
        <f t="shared" si="145"/>
        <v>9.8290946083418103</v>
      </c>
      <c r="G233" s="70">
        <f t="shared" si="145"/>
        <v>8.874878758486906</v>
      </c>
      <c r="R233" s="28">
        <f t="shared" si="120"/>
        <v>5.7523124008223459E-2</v>
      </c>
      <c r="S233" s="28">
        <f t="shared" si="121"/>
        <v>0.34068941202725911</v>
      </c>
      <c r="T233" s="28">
        <f t="shared" si="122"/>
        <v>7.5089051518250336E-4</v>
      </c>
      <c r="U233" s="28">
        <f t="shared" si="123"/>
        <v>2.1900226071991433</v>
      </c>
      <c r="V233" s="28">
        <f t="shared" si="124"/>
        <v>-0.64314346176501824</v>
      </c>
      <c r="W233" s="28">
        <f t="shared" si="125"/>
        <v>4.8298276514812437E-2</v>
      </c>
      <c r="X233" s="28">
        <f t="shared" si="126"/>
        <v>0.10751874767217555</v>
      </c>
    </row>
    <row r="234" spans="1:24" customFormat="1" x14ac:dyDescent="0.25">
      <c r="A234" s="64" t="s">
        <v>340</v>
      </c>
      <c r="B234" s="70">
        <f t="shared" ref="B234:G234" si="146">-B16/B150</f>
        <v>4.514469453376206</v>
      </c>
      <c r="C234" s="70">
        <f t="shared" si="146"/>
        <v>4.2505494505494505</v>
      </c>
      <c r="D234" s="70">
        <f t="shared" si="146"/>
        <v>3.6769865841073273</v>
      </c>
      <c r="E234" s="70">
        <f t="shared" si="146"/>
        <v>3.2062374245472838</v>
      </c>
      <c r="F234" s="70">
        <f t="shared" si="146"/>
        <v>2.6286876907426246</v>
      </c>
      <c r="G234" s="70">
        <f t="shared" si="146"/>
        <v>2.0261881668283221</v>
      </c>
      <c r="R234" s="28">
        <f t="shared" si="120"/>
        <v>0.1737764418723724</v>
      </c>
      <c r="S234" s="28">
        <f t="shared" si="121"/>
        <v>0.17639347495007301</v>
      </c>
      <c r="T234" s="28">
        <f t="shared" si="122"/>
        <v>6.2090796942178762E-2</v>
      </c>
      <c r="U234" s="28">
        <f t="shared" si="123"/>
        <v>0.15598720673096195</v>
      </c>
      <c r="V234" s="28">
        <f t="shared" si="124"/>
        <v>0.14682292582450054</v>
      </c>
      <c r="W234" s="28">
        <f t="shared" si="125"/>
        <v>0.21971028960138542</v>
      </c>
      <c r="X234" s="28">
        <f t="shared" si="126"/>
        <v>0.29735615565133838</v>
      </c>
    </row>
    <row r="235" spans="1:24" customFormat="1" x14ac:dyDescent="0.25">
      <c r="A235" s="64" t="s">
        <v>341</v>
      </c>
      <c r="B235" s="70">
        <f>B233-B234</f>
        <v>7.22400857449089</v>
      </c>
      <c r="C235" s="70">
        <f t="shared" ref="C235:G235" si="147">C233-C234</f>
        <v>7.4791208791208783</v>
      </c>
      <c r="D235" s="70">
        <f t="shared" si="147"/>
        <v>0</v>
      </c>
      <c r="E235" s="70">
        <f t="shared" si="147"/>
        <v>7.0975855130784709</v>
      </c>
      <c r="F235" s="70">
        <f t="shared" si="147"/>
        <v>7.2004069175991852</v>
      </c>
      <c r="G235" s="70">
        <f t="shared" si="147"/>
        <v>6.8486905916585838</v>
      </c>
      <c r="R235" s="28">
        <f t="shared" si="120"/>
        <v>1.072763757867623E-2</v>
      </c>
      <c r="S235" s="28" t="e">
        <f t="shared" si="121"/>
        <v>#DIV/0!</v>
      </c>
      <c r="T235" s="28">
        <f t="shared" si="122"/>
        <v>-3.4109932003128035E-2</v>
      </c>
      <c r="U235" s="28" t="e">
        <f t="shared" si="123"/>
        <v>#DIV/0!</v>
      </c>
      <c r="V235" s="28">
        <f t="shared" si="124"/>
        <v>-1</v>
      </c>
      <c r="W235" s="28">
        <f t="shared" si="125"/>
        <v>-1.4279943577827378E-2</v>
      </c>
      <c r="X235" s="28">
        <f t="shared" si="126"/>
        <v>5.1355265832709239E-2</v>
      </c>
    </row>
    <row r="236" spans="1:24" customFormat="1" x14ac:dyDescent="0.25">
      <c r="A236" s="64" t="s">
        <v>342</v>
      </c>
      <c r="B236" s="28">
        <f>B234/B233</f>
        <v>0.38458728999269537</v>
      </c>
      <c r="C236" s="28">
        <f t="shared" ref="C236:G236" si="148">C234/C233</f>
        <v>0.36237586659171822</v>
      </c>
      <c r="D236" s="28">
        <f t="shared" si="148"/>
        <v>1</v>
      </c>
      <c r="E236" s="28">
        <f t="shared" si="148"/>
        <v>0.31116969341925405</v>
      </c>
      <c r="F236" s="28">
        <f t="shared" si="148"/>
        <v>0.26743945352928999</v>
      </c>
      <c r="G236" s="28">
        <f t="shared" si="148"/>
        <v>0.22830601092896177</v>
      </c>
      <c r="R236" s="28">
        <f t="shared" si="120"/>
        <v>0.10992981167496896</v>
      </c>
      <c r="S236" s="28">
        <f t="shared" si="121"/>
        <v>0.39445454368318034</v>
      </c>
      <c r="T236" s="28">
        <f t="shared" si="122"/>
        <v>6.129388143278957E-2</v>
      </c>
      <c r="U236" s="28">
        <f t="shared" si="123"/>
        <v>-0.63762413340828172</v>
      </c>
      <c r="V236" s="28">
        <f t="shared" si="124"/>
        <v>2.2136805773454662</v>
      </c>
      <c r="W236" s="28">
        <f t="shared" si="125"/>
        <v>0.16351454249877426</v>
      </c>
      <c r="X236" s="28">
        <f t="shared" si="126"/>
        <v>0.17140785054715327</v>
      </c>
    </row>
    <row r="237" spans="1:24" customFormat="1" ht="15.75" thickBot="1" x14ac:dyDescent="0.3">
      <c r="A237" s="64" t="s">
        <v>343</v>
      </c>
      <c r="B237" s="87">
        <v>0</v>
      </c>
      <c r="C237" s="87">
        <v>0</v>
      </c>
      <c r="D237" s="87">
        <v>0</v>
      </c>
      <c r="E237" s="87">
        <v>0</v>
      </c>
      <c r="F237" s="87">
        <v>0</v>
      </c>
      <c r="G237" s="87">
        <v>0</v>
      </c>
    </row>
    <row r="238" spans="1:24" ht="15.75" hidden="1" thickTop="1" x14ac:dyDescent="0.25">
      <c r="A238" s="2" t="s">
        <v>103</v>
      </c>
      <c r="B238" s="8">
        <v>937</v>
      </c>
      <c r="C238" s="8">
        <v>1196</v>
      </c>
      <c r="D238" s="8">
        <v>1286</v>
      </c>
      <c r="E238" s="8">
        <v>1306</v>
      </c>
      <c r="F238" s="8">
        <v>1322</v>
      </c>
      <c r="G238" s="8">
        <v>1269</v>
      </c>
      <c r="H238" s="8"/>
    </row>
    <row r="239" spans="1:24" ht="15.75" hidden="1" thickTop="1" x14ac:dyDescent="0.25">
      <c r="A239" s="2" t="s">
        <v>104</v>
      </c>
      <c r="B239" s="2">
        <v>1260</v>
      </c>
      <c r="C239" s="2">
        <v>1295</v>
      </c>
      <c r="D239" s="2">
        <v>1027</v>
      </c>
      <c r="E239" s="2">
        <v>974</v>
      </c>
      <c r="F239" s="2">
        <v>543</v>
      </c>
      <c r="G239" s="2">
        <v>1206</v>
      </c>
    </row>
    <row r="240" spans="1:24" ht="15.75" hidden="1" thickTop="1" x14ac:dyDescent="0.25">
      <c r="A240" s="2" t="s">
        <v>105</v>
      </c>
      <c r="B240" s="8">
        <v>173</v>
      </c>
      <c r="C240" s="8">
        <v>176</v>
      </c>
      <c r="D240" s="8">
        <v>173</v>
      </c>
      <c r="E240" s="8">
        <v>191</v>
      </c>
      <c r="F240" s="8">
        <v>200</v>
      </c>
      <c r="G240" s="8">
        <v>244</v>
      </c>
      <c r="H240" s="8"/>
    </row>
    <row r="241" spans="1:24" ht="15.75" thickTop="1" x14ac:dyDescent="0.25"/>
    <row r="242" spans="1:24" s="15" customFormat="1" x14ac:dyDescent="0.25">
      <c r="A242" s="15" t="s">
        <v>0</v>
      </c>
      <c r="B242" s="15" t="s">
        <v>460</v>
      </c>
      <c r="J242" s="78"/>
      <c r="K242" s="78"/>
      <c r="L242" s="78"/>
      <c r="M242" s="78"/>
      <c r="N242" s="78"/>
      <c r="O242" s="78"/>
      <c r="P242" s="78"/>
      <c r="Q242" s="78"/>
      <c r="R242" s="78"/>
      <c r="S242" s="78"/>
      <c r="T242" s="78"/>
      <c r="U242" s="78"/>
      <c r="V242" s="78"/>
      <c r="W242" s="78"/>
      <c r="X242" s="78"/>
    </row>
    <row r="243" spans="1:24" s="15" customFormat="1" x14ac:dyDescent="0.25">
      <c r="A243" s="15" t="s">
        <v>348</v>
      </c>
      <c r="J243" s="78"/>
      <c r="K243" s="78"/>
      <c r="L243" s="78"/>
      <c r="M243" s="78"/>
      <c r="N243" s="78"/>
      <c r="O243" s="78"/>
      <c r="P243" s="78"/>
      <c r="Q243" s="78"/>
      <c r="R243" s="78"/>
      <c r="S243" s="78"/>
      <c r="T243" s="78"/>
      <c r="U243" s="78"/>
      <c r="V243" s="78"/>
      <c r="W243" s="78"/>
      <c r="X243" s="78"/>
    </row>
    <row r="244" spans="1:24" s="15" customFormat="1" x14ac:dyDescent="0.25">
      <c r="A244" s="15" t="s">
        <v>2</v>
      </c>
      <c r="F244" s="15" t="s">
        <v>150</v>
      </c>
      <c r="G244" s="16" t="s">
        <v>125</v>
      </c>
      <c r="H244" s="16"/>
      <c r="J244" s="78"/>
      <c r="K244" s="78"/>
      <c r="L244" s="78"/>
      <c r="M244" s="78"/>
      <c r="N244" s="78"/>
      <c r="O244" s="79"/>
      <c r="P244" s="79"/>
      <c r="Q244" s="78"/>
      <c r="R244" s="78"/>
      <c r="S244" s="78"/>
      <c r="T244" s="78"/>
      <c r="U244" s="78"/>
      <c r="V244" s="78"/>
      <c r="W244" s="78"/>
      <c r="X244" s="78"/>
    </row>
    <row r="245" spans="1:24" s="15" customFormat="1" ht="15.75" thickBot="1" x14ac:dyDescent="0.3">
      <c r="A245" s="16" t="s">
        <v>3</v>
      </c>
      <c r="B245" s="17">
        <v>2022</v>
      </c>
      <c r="C245" s="17">
        <v>2021</v>
      </c>
      <c r="D245" s="17">
        <v>2020</v>
      </c>
      <c r="E245" s="17">
        <v>2019</v>
      </c>
      <c r="F245" s="17">
        <v>2018</v>
      </c>
      <c r="G245" s="17">
        <v>2017</v>
      </c>
      <c r="H245" s="22"/>
      <c r="J245" s="22"/>
      <c r="K245" s="22"/>
      <c r="L245" s="22"/>
      <c r="M245" s="22"/>
      <c r="N245" s="22"/>
      <c r="O245" s="22"/>
      <c r="P245" s="22"/>
      <c r="Q245" s="78"/>
      <c r="R245" s="78"/>
      <c r="S245" s="78"/>
      <c r="T245" s="22"/>
      <c r="U245" s="22"/>
      <c r="V245" s="22"/>
      <c r="W245" s="22"/>
      <c r="X245" s="22"/>
    </row>
    <row r="246" spans="1:24" x14ac:dyDescent="0.25">
      <c r="A246" s="5" t="s">
        <v>305</v>
      </c>
      <c r="B246" s="8">
        <f t="shared" ref="B246:G246" si="149">B11-B28</f>
        <v>-1131</v>
      </c>
      <c r="C246" s="8">
        <f t="shared" si="149"/>
        <v>-70</v>
      </c>
      <c r="D246" s="8">
        <f t="shared" si="149"/>
        <v>2761</v>
      </c>
      <c r="E246" s="8">
        <f t="shared" si="149"/>
        <v>222</v>
      </c>
      <c r="F246" s="8">
        <f t="shared" si="149"/>
        <v>1572</v>
      </c>
      <c r="G246" s="8">
        <f t="shared" si="149"/>
        <v>-2953</v>
      </c>
    </row>
    <row r="247" spans="1:24" x14ac:dyDescent="0.25">
      <c r="A247" s="5" t="s">
        <v>349</v>
      </c>
      <c r="B247" s="8">
        <f t="shared" ref="B247:G247" si="150">(B11-B6-B7)-(B28-B23)</f>
        <v>-1334</v>
      </c>
      <c r="C247" s="8">
        <f t="shared" si="150"/>
        <v>-2761</v>
      </c>
      <c r="D247" s="8">
        <f t="shared" si="150"/>
        <v>-420</v>
      </c>
      <c r="E247" s="8">
        <f t="shared" si="150"/>
        <v>-1029</v>
      </c>
      <c r="F247" s="8">
        <f t="shared" si="150"/>
        <v>840</v>
      </c>
      <c r="G247" s="8">
        <f t="shared" si="150"/>
        <v>-1387</v>
      </c>
    </row>
    <row r="248" spans="1:24" x14ac:dyDescent="0.25">
      <c r="A248" s="5" t="s">
        <v>350</v>
      </c>
      <c r="B248" s="71">
        <f t="shared" ref="B248:G248" si="151">B11/B28</f>
        <v>0.87472308373947716</v>
      </c>
      <c r="C248" s="71">
        <f t="shared" si="151"/>
        <v>0.99227714033539272</v>
      </c>
      <c r="D248" s="71">
        <f t="shared" si="151"/>
        <v>1.342513335814415</v>
      </c>
      <c r="E248" s="71">
        <f t="shared" si="151"/>
        <v>1.0281904761904761</v>
      </c>
      <c r="F248" s="71">
        <f t="shared" si="151"/>
        <v>1.2095161935225909</v>
      </c>
      <c r="G248" s="71">
        <f t="shared" si="151"/>
        <v>0.70917864880835135</v>
      </c>
    </row>
    <row r="249" spans="1:24" x14ac:dyDescent="0.25">
      <c r="A249" s="5" t="s">
        <v>351</v>
      </c>
      <c r="B249" s="71">
        <f t="shared" ref="B249:G249" si="152">(B6+B7+B8)/B28</f>
        <v>0.3500221533008418</v>
      </c>
      <c r="C249" s="71">
        <f t="shared" si="152"/>
        <v>0.59598411297440423</v>
      </c>
      <c r="D249" s="71">
        <f t="shared" si="152"/>
        <v>0.67981639995037835</v>
      </c>
      <c r="E249" s="71">
        <f t="shared" si="152"/>
        <v>0.53993650793650794</v>
      </c>
      <c r="F249" s="71">
        <f t="shared" si="152"/>
        <v>0.43435958949753434</v>
      </c>
      <c r="G249" s="71">
        <f t="shared" si="152"/>
        <v>0.25113255859759703</v>
      </c>
    </row>
    <row r="250" spans="1:24" x14ac:dyDescent="0.25">
      <c r="A250" s="5" t="s">
        <v>352</v>
      </c>
      <c r="B250" s="71">
        <f t="shared" ref="B250:G250" si="153">(B6+B7)/B28</f>
        <v>0.11519716437749225</v>
      </c>
      <c r="C250" s="71">
        <f t="shared" si="153"/>
        <v>0.38007502206531335</v>
      </c>
      <c r="D250" s="71">
        <f t="shared" si="153"/>
        <v>0.423892817268329</v>
      </c>
      <c r="E250" s="71">
        <f t="shared" si="153"/>
        <v>0.28939682539682537</v>
      </c>
      <c r="F250" s="71">
        <f t="shared" si="153"/>
        <v>0.15060642409702785</v>
      </c>
      <c r="G250" s="71">
        <f t="shared" si="153"/>
        <v>0.16042938743352372</v>
      </c>
    </row>
    <row r="251" spans="1:24" x14ac:dyDescent="0.25">
      <c r="A251" s="18" t="s">
        <v>353</v>
      </c>
      <c r="B251" s="71"/>
      <c r="C251" s="71"/>
      <c r="D251" s="71"/>
      <c r="E251" s="71"/>
      <c r="F251" s="71"/>
      <c r="G251" s="71"/>
    </row>
    <row r="252" spans="1:24" x14ac:dyDescent="0.25">
      <c r="A252" s="5" t="s">
        <v>354</v>
      </c>
      <c r="B252" s="71">
        <f t="shared" ref="B252:G253" si="154">B60/(AVERAGE(B8:C8))</f>
        <v>12.711936727430917</v>
      </c>
      <c r="C252" s="71">
        <f t="shared" si="154"/>
        <v>12.934328358208955</v>
      </c>
      <c r="D252" s="71">
        <f t="shared" si="154"/>
        <v>12.980673934588701</v>
      </c>
      <c r="E252" s="71">
        <f t="shared" si="154"/>
        <v>12.576920526572403</v>
      </c>
      <c r="F252" s="71">
        <f t="shared" si="154"/>
        <v>17.237377049180328</v>
      </c>
      <c r="G252" s="71">
        <f t="shared" si="154"/>
        <v>28.312703583061889</v>
      </c>
    </row>
    <row r="253" spans="1:24" x14ac:dyDescent="0.25">
      <c r="A253" s="5" t="s">
        <v>355</v>
      </c>
      <c r="B253" s="71">
        <f t="shared" si="154"/>
        <v>5.5614681197137283</v>
      </c>
      <c r="C253" s="71">
        <f t="shared" si="154"/>
        <v>6.5720234715123986</v>
      </c>
      <c r="D253" s="71">
        <f t="shared" si="154"/>
        <v>6.4485308056872039</v>
      </c>
      <c r="E253" s="71">
        <f t="shared" si="154"/>
        <v>6.2550111358574609</v>
      </c>
      <c r="F253" s="71">
        <f t="shared" si="154"/>
        <v>6.3983784779804678</v>
      </c>
      <c r="G253" s="71">
        <f t="shared" si="154"/>
        <v>6.130797101449275</v>
      </c>
    </row>
    <row r="254" spans="1:24" x14ac:dyDescent="0.25">
      <c r="A254" s="5" t="s">
        <v>356</v>
      </c>
      <c r="B254" s="71">
        <f t="shared" ref="B254:G254" si="155">B268/AVERAGE(B24:C24)</f>
        <v>3.9291913971225481</v>
      </c>
      <c r="C254" s="71">
        <f t="shared" si="155"/>
        <v>3.8652975598984209</v>
      </c>
      <c r="D254" s="71">
        <f t="shared" si="155"/>
        <v>4.1548091970627183</v>
      </c>
      <c r="E254" s="71">
        <f t="shared" si="155"/>
        <v>4.200098087297695</v>
      </c>
      <c r="F254" s="71">
        <f t="shared" si="155"/>
        <v>4.1369348209042869</v>
      </c>
      <c r="G254" s="71">
        <f t="shared" si="155"/>
        <v>3.9332874828060524</v>
      </c>
    </row>
    <row r="255" spans="1:24" x14ac:dyDescent="0.25">
      <c r="A255" s="18" t="s">
        <v>357</v>
      </c>
      <c r="B255" s="71"/>
      <c r="C255" s="71"/>
      <c r="D255" s="71"/>
      <c r="E255" s="71"/>
      <c r="F255" s="71"/>
      <c r="G255" s="71"/>
    </row>
    <row r="256" spans="1:24" x14ac:dyDescent="0.25">
      <c r="A256" s="5" t="s">
        <v>358</v>
      </c>
      <c r="B256" s="71">
        <f>360/B252</f>
        <v>28.319838882076944</v>
      </c>
      <c r="C256" s="71">
        <f t="shared" ref="C256:G257" si="156">360/C252</f>
        <v>27.832910223863376</v>
      </c>
      <c r="D256" s="71">
        <f t="shared" si="156"/>
        <v>27.733536934529493</v>
      </c>
      <c r="E256" s="71">
        <f t="shared" si="156"/>
        <v>28.623859015360342</v>
      </c>
      <c r="F256" s="71">
        <f t="shared" si="156"/>
        <v>20.88484802373797</v>
      </c>
      <c r="G256" s="71">
        <f t="shared" si="156"/>
        <v>12.715140358950759</v>
      </c>
    </row>
    <row r="257" spans="1:7" x14ac:dyDescent="0.25">
      <c r="A257" s="5" t="s">
        <v>359</v>
      </c>
      <c r="B257" s="75">
        <f>360/B253</f>
        <v>64.731109169520991</v>
      </c>
      <c r="C257" s="75">
        <f t="shared" si="156"/>
        <v>54.777649769585253</v>
      </c>
      <c r="D257" s="75">
        <f t="shared" si="156"/>
        <v>55.826669802445906</v>
      </c>
      <c r="E257" s="75">
        <f t="shared" si="156"/>
        <v>57.553854370660495</v>
      </c>
      <c r="F257" s="75">
        <f t="shared" si="156"/>
        <v>56.264255270130171</v>
      </c>
      <c r="G257" s="75">
        <f t="shared" si="156"/>
        <v>58.719933810058514</v>
      </c>
    </row>
    <row r="258" spans="1:7" x14ac:dyDescent="0.25">
      <c r="A258" s="72" t="s">
        <v>374</v>
      </c>
      <c r="B258" s="90">
        <f>SUM(B256:B257)</f>
        <v>93.050948051597942</v>
      </c>
      <c r="C258" s="90">
        <f t="shared" ref="C258:G258" si="157">SUM(C256:C257)</f>
        <v>82.610559993448632</v>
      </c>
      <c r="D258" s="90">
        <f t="shared" si="157"/>
        <v>83.560206736975402</v>
      </c>
      <c r="E258" s="90">
        <f t="shared" si="157"/>
        <v>86.177713386020841</v>
      </c>
      <c r="F258" s="90">
        <f t="shared" si="157"/>
        <v>77.149103293868137</v>
      </c>
      <c r="G258" s="90">
        <f t="shared" si="157"/>
        <v>71.435074169009269</v>
      </c>
    </row>
    <row r="259" spans="1:7" x14ac:dyDescent="0.25">
      <c r="A259" s="72" t="s">
        <v>360</v>
      </c>
      <c r="B259" s="71"/>
      <c r="C259" s="71"/>
      <c r="D259" s="71"/>
      <c r="E259" s="71"/>
      <c r="F259" s="71"/>
      <c r="G259" s="71"/>
    </row>
    <row r="260" spans="1:7" x14ac:dyDescent="0.25">
      <c r="A260" s="5" t="s">
        <v>361</v>
      </c>
      <c r="B260" s="71">
        <f>360/B254</f>
        <v>91.62190476738742</v>
      </c>
      <c r="C260" s="71">
        <f t="shared" ref="C260:F260" si="158">360/C254</f>
        <v>93.136425959780624</v>
      </c>
      <c r="D260" s="71">
        <f t="shared" si="158"/>
        <v>86.646578200150657</v>
      </c>
      <c r="E260" s="71">
        <f t="shared" si="158"/>
        <v>85.712283979448856</v>
      </c>
      <c r="F260" s="71">
        <f t="shared" si="158"/>
        <v>87.02095043433826</v>
      </c>
      <c r="G260" s="71">
        <f>360/G254</f>
        <v>91.526490645217692</v>
      </c>
    </row>
    <row r="261" spans="1:7" x14ac:dyDescent="0.25">
      <c r="A261" s="5" t="s">
        <v>362</v>
      </c>
      <c r="B261" s="71">
        <f>B258-B260</f>
        <v>1.4290432842105218</v>
      </c>
      <c r="C261" s="71">
        <f t="shared" ref="C261:G261" si="159">C258-C260</f>
        <v>-10.525865966331992</v>
      </c>
      <c r="D261" s="71">
        <f t="shared" si="159"/>
        <v>-3.0863714631752543</v>
      </c>
      <c r="E261" s="71">
        <f t="shared" si="159"/>
        <v>0.46542940657198528</v>
      </c>
      <c r="F261" s="71">
        <f t="shared" si="159"/>
        <v>-9.8718471404701233</v>
      </c>
      <c r="G261" s="71">
        <f t="shared" si="159"/>
        <v>-20.091416476208423</v>
      </c>
    </row>
    <row r="262" spans="1:7" x14ac:dyDescent="0.25">
      <c r="A262" s="18" t="s">
        <v>363</v>
      </c>
      <c r="B262" s="71"/>
      <c r="C262" s="71"/>
      <c r="D262" s="71"/>
      <c r="E262" s="71"/>
      <c r="F262" s="71"/>
      <c r="G262" s="71"/>
    </row>
    <row r="263" spans="1:7" x14ac:dyDescent="0.25">
      <c r="A263" s="5" t="s">
        <v>364</v>
      </c>
      <c r="B263" s="71">
        <f>B24/(B60/360)</f>
        <v>67.350786804174149</v>
      </c>
      <c r="C263" s="71">
        <f t="shared" ref="C263:G263" si="160">C24/(C60/360)</f>
        <v>65.815831987075924</v>
      </c>
      <c r="D263" s="71">
        <f t="shared" si="160"/>
        <v>59.15021950753961</v>
      </c>
      <c r="E263" s="71">
        <f t="shared" si="160"/>
        <v>55.866069058258134</v>
      </c>
      <c r="F263" s="71">
        <f t="shared" si="160"/>
        <v>56.875261536120512</v>
      </c>
      <c r="G263" s="71">
        <f t="shared" si="160"/>
        <v>60.220892774965485</v>
      </c>
    </row>
    <row r="264" spans="1:7" x14ac:dyDescent="0.25">
      <c r="A264" s="5" t="s">
        <v>365</v>
      </c>
      <c r="B264" s="71">
        <f>B9/(B61/360)</f>
        <v>74.085667579285627</v>
      </c>
      <c r="C264" s="71">
        <f t="shared" ref="C264:G264" si="161">C9/(C61/360)</f>
        <v>56.592165898617509</v>
      </c>
      <c r="D264" s="71">
        <f t="shared" si="161"/>
        <v>54.059266227657567</v>
      </c>
      <c r="E264" s="71">
        <f t="shared" si="161"/>
        <v>58.130674737404313</v>
      </c>
      <c r="F264" s="71">
        <f t="shared" si="161"/>
        <v>55.300080635871446</v>
      </c>
      <c r="G264" s="71">
        <f t="shared" si="161"/>
        <v>58.719933810058507</v>
      </c>
    </row>
    <row r="265" spans="1:7" x14ac:dyDescent="0.25">
      <c r="A265" s="5" t="s">
        <v>366</v>
      </c>
      <c r="B265" s="71">
        <f>B24/(B269/360)</f>
        <v>93.280183302230384</v>
      </c>
      <c r="C265" s="71">
        <f t="shared" ref="C265:G265" si="162">C24/(C269/360)</f>
        <v>100.08656995788489</v>
      </c>
      <c r="D265" s="71">
        <f t="shared" si="162"/>
        <v>90.876246334310849</v>
      </c>
      <c r="E265" s="71">
        <f t="shared" si="162"/>
        <v>83.851972535784938</v>
      </c>
      <c r="F265" s="71">
        <f t="shared" si="162"/>
        <v>84.774325243819462</v>
      </c>
      <c r="G265" s="71">
        <f t="shared" si="162"/>
        <v>93.94113424264178</v>
      </c>
    </row>
    <row r="266" spans="1:7" x14ac:dyDescent="0.25">
      <c r="A266" s="72" t="s">
        <v>373</v>
      </c>
      <c r="B266" s="71"/>
      <c r="C266" s="71"/>
      <c r="D266" s="71"/>
      <c r="E266" s="71"/>
      <c r="F266" s="71"/>
      <c r="G266" s="71"/>
    </row>
    <row r="267" spans="1:7" x14ac:dyDescent="0.25">
      <c r="A267" s="5" t="s">
        <v>367</v>
      </c>
      <c r="B267" s="8">
        <f t="shared" ref="B267:G267" si="163">B60+B164</f>
        <v>25685.283018867925</v>
      </c>
      <c r="C267" s="8">
        <f t="shared" si="163"/>
        <v>26085</v>
      </c>
      <c r="D267" s="8">
        <f t="shared" si="163"/>
        <v>26169</v>
      </c>
      <c r="E267" s="8">
        <f t="shared" si="163"/>
        <v>25935.263999999999</v>
      </c>
      <c r="F267" s="8">
        <f t="shared" si="163"/>
        <v>24007</v>
      </c>
      <c r="G267" s="8">
        <f t="shared" si="163"/>
        <v>23447</v>
      </c>
    </row>
    <row r="268" spans="1:7" x14ac:dyDescent="0.25">
      <c r="A268" s="5" t="s">
        <v>368</v>
      </c>
      <c r="B268" s="76">
        <f t="shared" ref="B268:G268" si="164">B61-B165</f>
        <v>18862.083301886792</v>
      </c>
      <c r="C268" s="76">
        <f t="shared" si="164"/>
        <v>17504</v>
      </c>
      <c r="D268" s="76">
        <f t="shared" si="164"/>
        <v>17257</v>
      </c>
      <c r="E268" s="76">
        <f t="shared" si="164"/>
        <v>17128</v>
      </c>
      <c r="F268" s="76">
        <f t="shared" si="164"/>
        <v>17613</v>
      </c>
      <c r="G268" s="76">
        <f t="shared" si="164"/>
        <v>17157</v>
      </c>
    </row>
    <row r="269" spans="1:7" x14ac:dyDescent="0.25">
      <c r="A269" s="5" t="s">
        <v>369</v>
      </c>
      <c r="B269" s="73">
        <f t="shared" ref="B269:G269" si="165">B268-B166</f>
        <v>18710.083301886792</v>
      </c>
      <c r="C269" s="73">
        <f t="shared" si="165"/>
        <v>17096</v>
      </c>
      <c r="D269" s="73">
        <f t="shared" si="165"/>
        <v>17050</v>
      </c>
      <c r="E269" s="73">
        <f t="shared" si="165"/>
        <v>17186</v>
      </c>
      <c r="F269" s="73">
        <f t="shared" si="165"/>
        <v>17636</v>
      </c>
      <c r="G269" s="73">
        <f t="shared" si="165"/>
        <v>16716</v>
      </c>
    </row>
    <row r="270" spans="1:7" x14ac:dyDescent="0.25">
      <c r="A270" s="5" t="s">
        <v>370</v>
      </c>
      <c r="B270" s="73">
        <f t="shared" ref="B270:G270" si="166">B267-B215</f>
        <v>23216.283018867925</v>
      </c>
      <c r="C270" s="73">
        <f t="shared" si="166"/>
        <v>20721</v>
      </c>
      <c r="D270" s="73">
        <f t="shared" si="166"/>
        <v>21240</v>
      </c>
      <c r="E270" s="73">
        <f t="shared" si="166"/>
        <v>22383.263999999999</v>
      </c>
      <c r="F270" s="73">
        <f t="shared" si="166"/>
        <v>21433</v>
      </c>
      <c r="G270" s="73">
        <f t="shared" si="166"/>
        <v>22946</v>
      </c>
    </row>
    <row r="271" spans="1:7" x14ac:dyDescent="0.25">
      <c r="A271" s="5" t="s">
        <v>371</v>
      </c>
      <c r="B271" s="73">
        <f>B267/360</f>
        <v>71.348008385744237</v>
      </c>
      <c r="C271" s="73">
        <f t="shared" ref="C271:G272" si="167">C267/360</f>
        <v>72.458333333333329</v>
      </c>
      <c r="D271" s="73">
        <f t="shared" si="167"/>
        <v>72.691666666666663</v>
      </c>
      <c r="E271" s="73">
        <f t="shared" si="167"/>
        <v>72.042400000000001</v>
      </c>
      <c r="F271" s="73">
        <f t="shared" si="167"/>
        <v>66.686111111111117</v>
      </c>
      <c r="G271" s="73">
        <f t="shared" si="167"/>
        <v>65.13055555555556</v>
      </c>
    </row>
    <row r="272" spans="1:7" ht="15.75" thickBot="1" x14ac:dyDescent="0.3">
      <c r="A272" s="82" t="s">
        <v>372</v>
      </c>
      <c r="B272" s="61">
        <f>B268/360</f>
        <v>52.394675838574422</v>
      </c>
      <c r="C272" s="61">
        <f t="shared" si="167"/>
        <v>48.62222222222222</v>
      </c>
      <c r="D272" s="61">
        <f t="shared" si="167"/>
        <v>47.93611111111111</v>
      </c>
      <c r="E272" s="61">
        <f t="shared" si="167"/>
        <v>47.577777777777776</v>
      </c>
      <c r="F272" s="61">
        <f t="shared" si="167"/>
        <v>48.924999999999997</v>
      </c>
      <c r="G272" s="61">
        <f t="shared" si="167"/>
        <v>47.658333333333331</v>
      </c>
    </row>
    <row r="273" spans="1:24" ht="15.75" thickTop="1" x14ac:dyDescent="0.25"/>
    <row r="274" spans="1:24" x14ac:dyDescent="0.25">
      <c r="A274" s="18" t="s">
        <v>378</v>
      </c>
    </row>
    <row r="275" spans="1:24" x14ac:dyDescent="0.25">
      <c r="A275" s="5" t="s">
        <v>375</v>
      </c>
      <c r="B275" s="1">
        <f t="shared" ref="B275:F276" si="168">(AVERAGE(B8:C8))/(B60/360)</f>
        <v>28.319838882076937</v>
      </c>
      <c r="C275" s="1">
        <f t="shared" si="168"/>
        <v>27.832910223863372</v>
      </c>
      <c r="D275" s="1">
        <f t="shared" si="168"/>
        <v>27.733536934529493</v>
      </c>
      <c r="E275" s="1">
        <f t="shared" si="168"/>
        <v>28.623859015360338</v>
      </c>
      <c r="F275" s="1">
        <f t="shared" si="168"/>
        <v>20.88484802373797</v>
      </c>
      <c r="G275" s="1">
        <f>(AVERAGE(G8:G8))/(G60/360)</f>
        <v>12.715140358950759</v>
      </c>
    </row>
    <row r="276" spans="1:24" x14ac:dyDescent="0.25">
      <c r="A276" s="5" t="s">
        <v>376</v>
      </c>
      <c r="B276" s="74">
        <f t="shared" si="168"/>
        <v>64.731109169520991</v>
      </c>
      <c r="C276" s="74">
        <f t="shared" si="168"/>
        <v>54.777649769585253</v>
      </c>
      <c r="D276" s="74">
        <f t="shared" si="168"/>
        <v>55.826669802445906</v>
      </c>
      <c r="E276" s="74">
        <f t="shared" si="168"/>
        <v>57.553854370660495</v>
      </c>
      <c r="F276" s="74">
        <f t="shared" si="168"/>
        <v>56.264255270130171</v>
      </c>
      <c r="G276" s="74">
        <f>(AVERAGE(G9:G9))/(G61/360)</f>
        <v>58.719933810058507</v>
      </c>
    </row>
    <row r="277" spans="1:24" x14ac:dyDescent="0.25">
      <c r="A277" s="18" t="s">
        <v>374</v>
      </c>
      <c r="B277" s="77">
        <f>SUM(B275:B276)</f>
        <v>93.050948051597928</v>
      </c>
      <c r="C277" s="77">
        <f t="shared" ref="C277:G277" si="169">SUM(C275:C276)</f>
        <v>82.610559993448618</v>
      </c>
      <c r="D277" s="77">
        <f t="shared" si="169"/>
        <v>83.560206736975402</v>
      </c>
      <c r="E277" s="77">
        <f t="shared" si="169"/>
        <v>86.177713386020827</v>
      </c>
      <c r="F277" s="77">
        <f t="shared" si="169"/>
        <v>77.149103293868137</v>
      </c>
      <c r="G277" s="77">
        <f t="shared" si="169"/>
        <v>71.435074169009269</v>
      </c>
    </row>
    <row r="278" spans="1:24" ht="15.75" thickBot="1" x14ac:dyDescent="0.3">
      <c r="A278" s="82" t="s">
        <v>377</v>
      </c>
      <c r="B278" s="80">
        <f>(AVERAGE(B24:C24))/(B61/360)</f>
        <v>97.411187952440613</v>
      </c>
      <c r="C278" s="80">
        <f>(AVERAGE(C24:D24))/(C61/360)</f>
        <v>93.908986175115203</v>
      </c>
      <c r="D278" s="80">
        <f>(AVERAGE(D24:E24))/(D61/360)</f>
        <v>87.915098777046097</v>
      </c>
      <c r="E278" s="80">
        <f>(AVERAGE(E24:F24))/(E61/360)</f>
        <v>87.121239095602647</v>
      </c>
      <c r="F278" s="80">
        <f>(AVERAGE(F24:G24))/(F61/360)</f>
        <v>88.279000115194108</v>
      </c>
      <c r="G278" s="80">
        <f>(AVERAGE(G24:G24))/(G61/360)</f>
        <v>92.80302582589681</v>
      </c>
    </row>
    <row r="279" spans="1:24" ht="15.75" thickTop="1" x14ac:dyDescent="0.25"/>
    <row r="280" spans="1:24" s="15" customFormat="1" x14ac:dyDescent="0.25">
      <c r="A280" s="15" t="s">
        <v>0</v>
      </c>
      <c r="B280" s="15" t="s">
        <v>460</v>
      </c>
      <c r="J280" s="78"/>
      <c r="K280" s="78"/>
      <c r="L280" s="78"/>
      <c r="M280" s="78"/>
      <c r="N280" s="78"/>
      <c r="O280" s="78"/>
      <c r="P280" s="78"/>
      <c r="Q280" s="78"/>
      <c r="R280" s="78"/>
      <c r="S280" s="78"/>
      <c r="T280" s="78"/>
      <c r="U280" s="78"/>
      <c r="V280" s="78"/>
      <c r="W280" s="78"/>
      <c r="X280" s="78"/>
    </row>
    <row r="281" spans="1:24" s="15" customFormat="1" x14ac:dyDescent="0.25">
      <c r="A281" s="15" t="s">
        <v>379</v>
      </c>
      <c r="J281" s="78"/>
      <c r="K281" s="78"/>
      <c r="L281" s="78"/>
      <c r="M281" s="78"/>
      <c r="N281" s="78"/>
      <c r="O281" s="78"/>
      <c r="P281" s="78"/>
      <c r="Q281" s="78"/>
      <c r="R281" s="78"/>
      <c r="S281" s="78"/>
      <c r="T281" s="78"/>
      <c r="U281" s="78"/>
      <c r="V281" s="78"/>
      <c r="W281" s="78"/>
      <c r="X281" s="78"/>
    </row>
    <row r="282" spans="1:24" s="15" customFormat="1" x14ac:dyDescent="0.25">
      <c r="A282" s="15" t="s">
        <v>2</v>
      </c>
      <c r="F282" s="15" t="s">
        <v>150</v>
      </c>
      <c r="G282" s="16" t="s">
        <v>125</v>
      </c>
      <c r="H282" s="16"/>
      <c r="J282" s="78"/>
      <c r="K282" s="78"/>
      <c r="L282" s="78"/>
      <c r="M282" s="78"/>
      <c r="N282" s="78"/>
      <c r="O282" s="79"/>
      <c r="P282" s="79"/>
      <c r="Q282" s="78"/>
      <c r="R282" s="78"/>
      <c r="S282" s="78"/>
      <c r="T282" s="78"/>
      <c r="U282" s="78"/>
      <c r="V282" s="78"/>
      <c r="W282" s="78"/>
      <c r="X282" s="78"/>
    </row>
    <row r="283" spans="1:24" s="15" customFormat="1" ht="15.75" thickBot="1" x14ac:dyDescent="0.3">
      <c r="A283" s="16" t="s">
        <v>3</v>
      </c>
      <c r="B283" s="17">
        <v>2022</v>
      </c>
      <c r="C283" s="17">
        <v>2021</v>
      </c>
      <c r="D283" s="17">
        <v>2020</v>
      </c>
      <c r="E283" s="17">
        <v>2019</v>
      </c>
      <c r="F283" s="17">
        <v>2018</v>
      </c>
      <c r="G283" s="17">
        <v>2017</v>
      </c>
      <c r="H283" s="22"/>
      <c r="J283" s="22"/>
      <c r="K283" s="22"/>
      <c r="L283" s="22"/>
      <c r="M283" s="22"/>
      <c r="N283" s="22"/>
      <c r="O283" s="22"/>
      <c r="P283" s="22"/>
      <c r="Q283" s="78"/>
      <c r="R283" s="78"/>
      <c r="S283" s="78"/>
      <c r="T283" s="22"/>
      <c r="U283" s="22"/>
      <c r="V283" s="22"/>
      <c r="W283" s="22"/>
      <c r="X283" s="22"/>
    </row>
    <row r="284" spans="1:24" x14ac:dyDescent="0.25">
      <c r="A284" s="18" t="s">
        <v>387</v>
      </c>
    </row>
    <row r="285" spans="1:24" x14ac:dyDescent="0.25">
      <c r="A285" s="5" t="s">
        <v>383</v>
      </c>
      <c r="B285" s="8">
        <f>B32</f>
        <v>41643</v>
      </c>
      <c r="C285" s="8">
        <f t="shared" ref="C285:G285" si="170">C32</f>
        <v>43942</v>
      </c>
      <c r="D285" s="8">
        <f t="shared" si="170"/>
        <v>49587</v>
      </c>
      <c r="E285" s="8">
        <f t="shared" si="170"/>
        <v>49701</v>
      </c>
      <c r="F285" s="8">
        <f t="shared" si="170"/>
        <v>51683</v>
      </c>
      <c r="G285" s="8">
        <f t="shared" si="170"/>
        <v>54016</v>
      </c>
    </row>
    <row r="286" spans="1:24" x14ac:dyDescent="0.25">
      <c r="A286" s="5" t="s">
        <v>382</v>
      </c>
      <c r="B286" s="31">
        <f>B23+B29</f>
        <v>20070</v>
      </c>
      <c r="C286" s="31">
        <f t="shared" ref="C286:G286" si="171">C23+C29</f>
        <v>21815</v>
      </c>
      <c r="D286" s="31">
        <f t="shared" si="171"/>
        <v>28306</v>
      </c>
      <c r="E286" s="31">
        <f t="shared" si="171"/>
        <v>29244</v>
      </c>
      <c r="F286" s="31">
        <f t="shared" si="171"/>
        <v>31168</v>
      </c>
      <c r="G286" s="31">
        <f t="shared" si="171"/>
        <v>31503</v>
      </c>
    </row>
    <row r="287" spans="1:24" x14ac:dyDescent="0.25">
      <c r="A287" s="72" t="s">
        <v>381</v>
      </c>
      <c r="B287" s="18">
        <f>B285-B286</f>
        <v>21573</v>
      </c>
      <c r="C287" s="18">
        <f t="shared" ref="C287:G287" si="172">C285-C286</f>
        <v>22127</v>
      </c>
      <c r="D287" s="18">
        <f t="shared" si="172"/>
        <v>21281</v>
      </c>
      <c r="E287" s="18">
        <f t="shared" si="172"/>
        <v>20457</v>
      </c>
      <c r="F287" s="18">
        <f t="shared" si="172"/>
        <v>20515</v>
      </c>
      <c r="G287" s="18">
        <f t="shared" si="172"/>
        <v>22513</v>
      </c>
    </row>
    <row r="288" spans="1:24" x14ac:dyDescent="0.25">
      <c r="A288" s="5" t="s">
        <v>384</v>
      </c>
      <c r="B288" s="2">
        <v>0</v>
      </c>
      <c r="C288" s="2">
        <v>0</v>
      </c>
      <c r="D288" s="2">
        <v>0</v>
      </c>
      <c r="E288" s="2">
        <v>0</v>
      </c>
      <c r="F288" s="2">
        <v>0</v>
      </c>
      <c r="G288" s="2">
        <v>0</v>
      </c>
    </row>
    <row r="289" spans="1:7" x14ac:dyDescent="0.25">
      <c r="A289" s="5" t="s">
        <v>216</v>
      </c>
      <c r="B289" s="31">
        <f t="shared" ref="B289:G289" si="173">B34</f>
        <v>48830</v>
      </c>
      <c r="C289" s="31">
        <f t="shared" si="173"/>
        <v>49448</v>
      </c>
      <c r="D289" s="31">
        <f t="shared" si="173"/>
        <v>50243</v>
      </c>
      <c r="E289" s="31">
        <f t="shared" si="173"/>
        <v>51749</v>
      </c>
      <c r="F289" s="31">
        <f t="shared" si="173"/>
        <v>51775</v>
      </c>
      <c r="G289" s="31">
        <f t="shared" si="173"/>
        <v>66070</v>
      </c>
    </row>
    <row r="290" spans="1:7" x14ac:dyDescent="0.25">
      <c r="A290" s="72" t="s">
        <v>385</v>
      </c>
      <c r="B290" s="18">
        <f>SUM(B288:B289)</f>
        <v>48830</v>
      </c>
      <c r="C290" s="18">
        <f t="shared" ref="C290:G290" si="174">SUM(C288:C289)</f>
        <v>49448</v>
      </c>
      <c r="D290" s="18">
        <f t="shared" si="174"/>
        <v>50243</v>
      </c>
      <c r="E290" s="18">
        <f t="shared" si="174"/>
        <v>51749</v>
      </c>
      <c r="F290" s="18">
        <f t="shared" si="174"/>
        <v>51775</v>
      </c>
      <c r="G290" s="18">
        <f t="shared" si="174"/>
        <v>66070</v>
      </c>
    </row>
    <row r="291" spans="1:7" x14ac:dyDescent="0.25">
      <c r="A291" s="5" t="s">
        <v>17</v>
      </c>
      <c r="B291" s="8">
        <f t="shared" ref="B291:G291" si="175">B21</f>
        <v>90513</v>
      </c>
      <c r="C291" s="8">
        <f t="shared" si="175"/>
        <v>93394</v>
      </c>
      <c r="D291" s="8">
        <f t="shared" si="175"/>
        <v>99830</v>
      </c>
      <c r="E291" s="8">
        <f t="shared" si="175"/>
        <v>101450</v>
      </c>
      <c r="F291" s="8">
        <f t="shared" si="175"/>
        <v>103461</v>
      </c>
      <c r="G291" s="8">
        <f t="shared" si="175"/>
        <v>120092</v>
      </c>
    </row>
    <row r="292" spans="1:7" x14ac:dyDescent="0.25">
      <c r="A292" s="18" t="s">
        <v>386</v>
      </c>
    </row>
    <row r="293" spans="1:7" x14ac:dyDescent="0.25">
      <c r="A293" s="5" t="s">
        <v>381</v>
      </c>
      <c r="B293" s="28">
        <f>B287/B291</f>
        <v>0.23834145371383117</v>
      </c>
      <c r="C293" s="28">
        <f t="shared" ref="C293:G293" si="176">C287/C291</f>
        <v>0.23692100134912308</v>
      </c>
      <c r="D293" s="28">
        <f t="shared" si="176"/>
        <v>0.21317239306821598</v>
      </c>
      <c r="E293" s="28">
        <f t="shared" si="176"/>
        <v>0.20164613109906357</v>
      </c>
      <c r="F293" s="28">
        <f t="shared" si="176"/>
        <v>0.19828727733155488</v>
      </c>
      <c r="G293" s="28">
        <f t="shared" si="176"/>
        <v>0.18746461046530993</v>
      </c>
    </row>
    <row r="294" spans="1:7" x14ac:dyDescent="0.25">
      <c r="A294" s="5" t="s">
        <v>382</v>
      </c>
      <c r="B294" s="30">
        <f>B286/B291</f>
        <v>0.22173610420602566</v>
      </c>
      <c r="C294" s="30">
        <f t="shared" ref="C294:G294" si="177">C286/C291</f>
        <v>0.23358031565196907</v>
      </c>
      <c r="D294" s="30">
        <f t="shared" si="177"/>
        <v>0.28354202143644197</v>
      </c>
      <c r="E294" s="30">
        <f t="shared" si="177"/>
        <v>0.28826022671266632</v>
      </c>
      <c r="F294" s="30">
        <f t="shared" si="177"/>
        <v>0.30125361247233257</v>
      </c>
      <c r="G294" s="30">
        <f t="shared" si="177"/>
        <v>0.26232388502148352</v>
      </c>
    </row>
    <row r="295" spans="1:7" x14ac:dyDescent="0.25">
      <c r="A295" s="72" t="s">
        <v>383</v>
      </c>
      <c r="B295" s="83">
        <f>SUM(B293:B294)</f>
        <v>0.46007755791985683</v>
      </c>
      <c r="C295" s="83">
        <f t="shared" ref="C295:G295" si="178">SUM(C293:C294)</f>
        <v>0.47050131700109216</v>
      </c>
      <c r="D295" s="83">
        <f t="shared" si="178"/>
        <v>0.49671441450465792</v>
      </c>
      <c r="E295" s="83">
        <f t="shared" si="178"/>
        <v>0.48990635781172986</v>
      </c>
      <c r="F295" s="83">
        <f t="shared" si="178"/>
        <v>0.49954088980388744</v>
      </c>
      <c r="G295" s="83">
        <f t="shared" si="178"/>
        <v>0.44978849548679345</v>
      </c>
    </row>
    <row r="296" spans="1:7" x14ac:dyDescent="0.25">
      <c r="A296" s="5" t="s">
        <v>384</v>
      </c>
      <c r="B296" s="28">
        <f>B288/B291</f>
        <v>0</v>
      </c>
      <c r="C296" s="28">
        <f t="shared" ref="C296:G296" si="179">C288/C291</f>
        <v>0</v>
      </c>
      <c r="D296" s="28">
        <f t="shared" si="179"/>
        <v>0</v>
      </c>
      <c r="E296" s="28">
        <f t="shared" si="179"/>
        <v>0</v>
      </c>
      <c r="F296" s="28">
        <f t="shared" si="179"/>
        <v>0</v>
      </c>
      <c r="G296" s="28">
        <f t="shared" si="179"/>
        <v>0</v>
      </c>
    </row>
    <row r="297" spans="1:7" x14ac:dyDescent="0.25">
      <c r="A297" s="5" t="s">
        <v>216</v>
      </c>
      <c r="B297" s="30">
        <f>B289/B291</f>
        <v>0.53948051661087359</v>
      </c>
      <c r="C297" s="30">
        <f t="shared" ref="C297:G297" si="180">C289/C291</f>
        <v>0.52945585369509818</v>
      </c>
      <c r="D297" s="30">
        <f t="shared" si="180"/>
        <v>0.50328558549534208</v>
      </c>
      <c r="E297" s="30">
        <f t="shared" si="180"/>
        <v>0.51009364218827014</v>
      </c>
      <c r="F297" s="30">
        <f t="shared" si="180"/>
        <v>0.50043011376267388</v>
      </c>
      <c r="G297" s="30">
        <f t="shared" si="180"/>
        <v>0.55016154281717355</v>
      </c>
    </row>
    <row r="298" spans="1:7" x14ac:dyDescent="0.25">
      <c r="A298" s="72" t="s">
        <v>385</v>
      </c>
      <c r="B298" s="84">
        <f>SUM(B296:B297)</f>
        <v>0.53948051661087359</v>
      </c>
      <c r="C298" s="84">
        <f t="shared" ref="C298:G298" si="181">SUM(C296:C297)</f>
        <v>0.52945585369509818</v>
      </c>
      <c r="D298" s="84">
        <f t="shared" si="181"/>
        <v>0.50328558549534208</v>
      </c>
      <c r="E298" s="84">
        <f t="shared" si="181"/>
        <v>0.51009364218827014</v>
      </c>
      <c r="F298" s="84">
        <f t="shared" si="181"/>
        <v>0.50043011376267388</v>
      </c>
      <c r="G298" s="84">
        <f t="shared" si="181"/>
        <v>0.55016154281717355</v>
      </c>
    </row>
    <row r="299" spans="1:7" x14ac:dyDescent="0.25">
      <c r="A299" s="72" t="s">
        <v>17</v>
      </c>
      <c r="B299" s="83">
        <f>SUM(B295,B298)</f>
        <v>0.99955807453073042</v>
      </c>
      <c r="C299" s="83">
        <f t="shared" ref="C299:G299" si="182">SUM(C295,C298)</f>
        <v>0.99995717069619028</v>
      </c>
      <c r="D299" s="83">
        <f t="shared" si="182"/>
        <v>1</v>
      </c>
      <c r="E299" s="83">
        <f t="shared" si="182"/>
        <v>1</v>
      </c>
      <c r="F299" s="83">
        <f t="shared" si="182"/>
        <v>0.99997100356656132</v>
      </c>
      <c r="G299" s="83">
        <f t="shared" si="182"/>
        <v>0.999950038303967</v>
      </c>
    </row>
    <row r="300" spans="1:7" x14ac:dyDescent="0.25">
      <c r="A300" s="18" t="s">
        <v>388</v>
      </c>
    </row>
    <row r="301" spans="1:7" x14ac:dyDescent="0.25">
      <c r="A301" s="5" t="s">
        <v>382</v>
      </c>
      <c r="B301" s="8">
        <f t="shared" ref="B301:G301" si="183">B286</f>
        <v>20070</v>
      </c>
      <c r="C301" s="8">
        <f t="shared" si="183"/>
        <v>21815</v>
      </c>
      <c r="D301" s="8">
        <f t="shared" si="183"/>
        <v>28306</v>
      </c>
      <c r="E301" s="8">
        <f t="shared" si="183"/>
        <v>29244</v>
      </c>
      <c r="F301" s="8">
        <f t="shared" si="183"/>
        <v>31168</v>
      </c>
      <c r="G301" s="8">
        <f t="shared" si="183"/>
        <v>31503</v>
      </c>
    </row>
    <row r="302" spans="1:7" x14ac:dyDescent="0.25">
      <c r="A302" s="5" t="s">
        <v>384</v>
      </c>
      <c r="B302" s="2">
        <v>0</v>
      </c>
      <c r="C302" s="2">
        <v>0</v>
      </c>
      <c r="D302" s="2">
        <v>0</v>
      </c>
      <c r="E302" s="2">
        <v>0</v>
      </c>
      <c r="F302" s="2">
        <v>0</v>
      </c>
      <c r="G302" s="2">
        <v>0</v>
      </c>
    </row>
    <row r="303" spans="1:7" x14ac:dyDescent="0.25">
      <c r="A303" s="5" t="s">
        <v>216</v>
      </c>
      <c r="B303" s="31">
        <f t="shared" ref="B303:G303" si="184">B41</f>
        <v>46709.25</v>
      </c>
      <c r="C303" s="31">
        <f t="shared" si="184"/>
        <v>48005.279999999999</v>
      </c>
      <c r="D303" s="31">
        <f t="shared" si="184"/>
        <v>44492.740000000005</v>
      </c>
      <c r="E303" s="31">
        <f t="shared" si="184"/>
        <v>30244.17</v>
      </c>
      <c r="F303" s="31">
        <f t="shared" si="184"/>
        <v>40491.799999999996</v>
      </c>
      <c r="G303" s="31">
        <f t="shared" si="184"/>
        <v>81843.66</v>
      </c>
    </row>
    <row r="304" spans="1:7" x14ac:dyDescent="0.25">
      <c r="A304" s="72" t="s">
        <v>389</v>
      </c>
      <c r="B304" s="88">
        <f>SUM(B301:B303)</f>
        <v>66779.25</v>
      </c>
      <c r="C304" s="88">
        <f t="shared" ref="C304:G304" si="185">SUM(C301:C303)</f>
        <v>69820.28</v>
      </c>
      <c r="D304" s="88">
        <f t="shared" si="185"/>
        <v>72798.740000000005</v>
      </c>
      <c r="E304" s="88">
        <f t="shared" si="185"/>
        <v>59488.17</v>
      </c>
      <c r="F304" s="88">
        <f t="shared" si="185"/>
        <v>71659.799999999988</v>
      </c>
      <c r="G304" s="88">
        <f t="shared" si="185"/>
        <v>113346.66</v>
      </c>
    </row>
    <row r="305" spans="1:24" x14ac:dyDescent="0.25">
      <c r="A305" s="18" t="s">
        <v>390</v>
      </c>
    </row>
    <row r="306" spans="1:24" x14ac:dyDescent="0.25">
      <c r="A306" s="5" t="s">
        <v>382</v>
      </c>
      <c r="B306" s="28">
        <f>B301/B304</f>
        <v>0.30054245892249465</v>
      </c>
      <c r="C306" s="28">
        <f t="shared" ref="C306:G306" si="186">C301/C304</f>
        <v>0.31244503745903052</v>
      </c>
      <c r="D306" s="28">
        <f t="shared" si="186"/>
        <v>0.3888254109892561</v>
      </c>
      <c r="E306" s="28">
        <f t="shared" si="186"/>
        <v>0.49159353868172445</v>
      </c>
      <c r="F306" s="28">
        <f t="shared" si="186"/>
        <v>0.43494399928551303</v>
      </c>
      <c r="G306" s="28">
        <f t="shared" si="186"/>
        <v>0.27793496517674188</v>
      </c>
    </row>
    <row r="307" spans="1:24" x14ac:dyDescent="0.25">
      <c r="A307" s="5" t="s">
        <v>384</v>
      </c>
      <c r="B307" s="28">
        <f>B302/B304</f>
        <v>0</v>
      </c>
      <c r="C307" s="28">
        <f t="shared" ref="C307:G307" si="187">C302/C304</f>
        <v>0</v>
      </c>
      <c r="D307" s="28">
        <f t="shared" si="187"/>
        <v>0</v>
      </c>
      <c r="E307" s="28">
        <f t="shared" si="187"/>
        <v>0</v>
      </c>
      <c r="F307" s="28">
        <f t="shared" si="187"/>
        <v>0</v>
      </c>
      <c r="G307" s="28">
        <f t="shared" si="187"/>
        <v>0</v>
      </c>
    </row>
    <row r="308" spans="1:24" x14ac:dyDescent="0.25">
      <c r="A308" s="5" t="s">
        <v>216</v>
      </c>
      <c r="B308" s="30">
        <f>B303/B304</f>
        <v>0.69945754107750535</v>
      </c>
      <c r="C308" s="30">
        <f t="shared" ref="C308:G308" si="188">C303/C304</f>
        <v>0.68755496254096948</v>
      </c>
      <c r="D308" s="30">
        <f t="shared" si="188"/>
        <v>0.61117458901074384</v>
      </c>
      <c r="E308" s="30">
        <f t="shared" si="188"/>
        <v>0.50840646131827549</v>
      </c>
      <c r="F308" s="30">
        <f t="shared" si="188"/>
        <v>0.56505600071448714</v>
      </c>
      <c r="G308" s="30">
        <f t="shared" si="188"/>
        <v>0.72206503482325812</v>
      </c>
    </row>
    <row r="309" spans="1:24" ht="15.75" thickBot="1" x14ac:dyDescent="0.3">
      <c r="A309" s="85" t="s">
        <v>389</v>
      </c>
      <c r="B309" s="86">
        <f>SUM(B306:B308)</f>
        <v>1</v>
      </c>
      <c r="C309" s="86">
        <f t="shared" ref="C309:G309" si="189">SUM(C306:C308)</f>
        <v>1</v>
      </c>
      <c r="D309" s="86">
        <f t="shared" si="189"/>
        <v>1</v>
      </c>
      <c r="E309" s="86">
        <f t="shared" si="189"/>
        <v>1</v>
      </c>
      <c r="F309" s="86">
        <f t="shared" si="189"/>
        <v>1.0000000000000002</v>
      </c>
      <c r="G309" s="86">
        <f t="shared" si="189"/>
        <v>1</v>
      </c>
    </row>
    <row r="310" spans="1:24" ht="15.75" thickTop="1" x14ac:dyDescent="0.25">
      <c r="A310" s="82"/>
      <c r="B310" s="34"/>
      <c r="C310" s="34"/>
      <c r="D310" s="34"/>
      <c r="E310" s="34"/>
      <c r="F310" s="34"/>
      <c r="G310" s="34"/>
    </row>
    <row r="311" spans="1:24" x14ac:dyDescent="0.25">
      <c r="A311" s="85" t="s">
        <v>391</v>
      </c>
      <c r="B311" s="34"/>
      <c r="C311" s="34"/>
      <c r="D311" s="34"/>
      <c r="E311" s="34"/>
      <c r="F311" s="34"/>
      <c r="G311" s="34"/>
    </row>
    <row r="312" spans="1:24" x14ac:dyDescent="0.25">
      <c r="A312" s="82" t="s">
        <v>392</v>
      </c>
      <c r="B312" s="57">
        <f>AVERAGE(B21:C21)/AVERAGE(B34:C34)</f>
        <v>1.8712936771200066</v>
      </c>
      <c r="C312" s="57">
        <f>AVERAGE(C21:D21)/AVERAGE(C34:D34)</f>
        <v>1.938229128005537</v>
      </c>
      <c r="D312" s="57">
        <f>AVERAGE(D21:E21)/AVERAGE(D34:E34)</f>
        <v>1.9734881167150364</v>
      </c>
      <c r="E312" s="57">
        <f>AVERAGE(E21:F21)/AVERAGE(E34:F34)</f>
        <v>1.9793574436845562</v>
      </c>
      <c r="F312" s="57">
        <f>AVERAGE(F21:G21)/AVERAGE(F34:G34)</f>
        <v>1.8970087827230684</v>
      </c>
      <c r="G312" s="57"/>
    </row>
    <row r="313" spans="1:24" x14ac:dyDescent="0.25">
      <c r="A313" s="85" t="s">
        <v>393</v>
      </c>
      <c r="G313" s="34"/>
    </row>
    <row r="314" spans="1:24" x14ac:dyDescent="0.25">
      <c r="A314" s="82" t="s">
        <v>394</v>
      </c>
      <c r="B314" s="57">
        <f t="shared" ref="B314:G314" si="190">B69/B70</f>
        <v>5.299891115071806</v>
      </c>
      <c r="C314" s="57">
        <f t="shared" si="190"/>
        <v>4.5469026548672566</v>
      </c>
      <c r="D314" s="57">
        <f t="shared" si="190"/>
        <v>3.9949784791965568</v>
      </c>
      <c r="E314" s="57">
        <f t="shared" si="190"/>
        <v>4.3161381337252012</v>
      </c>
      <c r="F314" s="57">
        <f t="shared" si="190"/>
        <v>4.8278816199376946</v>
      </c>
      <c r="G314" s="57">
        <f t="shared" si="190"/>
        <v>5.3987034035656398</v>
      </c>
    </row>
    <row r="315" spans="1:24" x14ac:dyDescent="0.25">
      <c r="A315" s="82" t="s">
        <v>395</v>
      </c>
      <c r="B315" s="57">
        <f t="shared" ref="B315:G315" si="191">(B69+B178)/(B70+B178)</f>
        <v>6.2943846483704986</v>
      </c>
      <c r="C315" s="57">
        <f t="shared" si="191"/>
        <v>5.2012578616352201</v>
      </c>
      <c r="D315" s="57">
        <f t="shared" si="191"/>
        <v>4.4193284193284192</v>
      </c>
      <c r="E315" s="57">
        <f t="shared" si="191"/>
        <v>4.8574905982905978</v>
      </c>
      <c r="F315" s="57">
        <f t="shared" si="191"/>
        <v>5.5341328413284137</v>
      </c>
      <c r="G315" s="57">
        <f t="shared" si="191"/>
        <v>6.4828282828282831</v>
      </c>
    </row>
    <row r="316" spans="1:24" x14ac:dyDescent="0.25">
      <c r="A316" s="82" t="s">
        <v>396</v>
      </c>
      <c r="B316" s="57">
        <f t="shared" ref="B316:G316" si="192">B286/B90</f>
        <v>3.1676874125526817</v>
      </c>
      <c r="C316" s="57">
        <f t="shared" si="192"/>
        <v>3.385229189235504</v>
      </c>
      <c r="D316" s="57">
        <f t="shared" si="192"/>
        <v>4.1280796494336043</v>
      </c>
      <c r="E316" s="57">
        <f t="shared" si="192"/>
        <v>4.0790815905565765</v>
      </c>
      <c r="F316" s="57">
        <f t="shared" si="192"/>
        <v>4.074797982477361</v>
      </c>
      <c r="G316" s="57">
        <f t="shared" si="192"/>
        <v>3.9514121069958006</v>
      </c>
    </row>
    <row r="317" spans="1:24" x14ac:dyDescent="0.25">
      <c r="A317" s="91"/>
      <c r="B317" s="34"/>
      <c r="C317" s="34"/>
      <c r="D317" s="34"/>
      <c r="E317" s="34"/>
      <c r="F317" s="34"/>
      <c r="G317" s="34"/>
    </row>
    <row r="318" spans="1:24" ht="15.75" thickBot="1" x14ac:dyDescent="0.3">
      <c r="A318" s="82" t="s">
        <v>397</v>
      </c>
      <c r="B318" s="61">
        <f>-B38*B40</f>
        <v>686.34</v>
      </c>
      <c r="C318" s="61">
        <f t="shared" ref="C318:G318" si="193">-C38*C40</f>
        <v>431.41999999999996</v>
      </c>
      <c r="D318" s="61">
        <f t="shared" si="193"/>
        <v>181.9</v>
      </c>
      <c r="E318" s="61">
        <f t="shared" si="193"/>
        <v>74.31</v>
      </c>
      <c r="F318" s="61">
        <f t="shared" si="193"/>
        <v>132.76</v>
      </c>
      <c r="G318" s="61">
        <f t="shared" si="193"/>
        <v>134.28</v>
      </c>
    </row>
    <row r="319" spans="1:24" ht="15.75" thickTop="1" x14ac:dyDescent="0.25"/>
    <row r="320" spans="1:24" s="15" customFormat="1" x14ac:dyDescent="0.25">
      <c r="A320" s="15" t="s">
        <v>0</v>
      </c>
      <c r="B320" s="15" t="s">
        <v>460</v>
      </c>
      <c r="J320" s="78"/>
      <c r="K320" s="78"/>
      <c r="L320" s="78"/>
      <c r="M320" s="78"/>
      <c r="N320" s="78"/>
      <c r="O320" s="78"/>
      <c r="P320" s="78"/>
      <c r="Q320" s="78"/>
      <c r="R320" s="78"/>
      <c r="S320" s="78"/>
      <c r="T320" s="78"/>
      <c r="U320" s="78"/>
      <c r="V320" s="78"/>
      <c r="W320" s="78"/>
      <c r="X320" s="78"/>
    </row>
    <row r="321" spans="1:24" s="15" customFormat="1" x14ac:dyDescent="0.25">
      <c r="A321" s="15" t="s">
        <v>398</v>
      </c>
      <c r="J321" s="78"/>
      <c r="K321" s="78"/>
      <c r="L321" s="78"/>
      <c r="M321" s="78"/>
      <c r="N321" s="78"/>
      <c r="O321" s="78"/>
      <c r="P321" s="78"/>
      <c r="Q321" s="78"/>
      <c r="R321" s="78"/>
      <c r="S321" s="78"/>
      <c r="T321" s="78"/>
      <c r="U321" s="78"/>
      <c r="V321" s="78"/>
      <c r="W321" s="78"/>
      <c r="X321" s="78"/>
    </row>
    <row r="322" spans="1:24" s="15" customFormat="1" x14ac:dyDescent="0.25">
      <c r="A322" s="15" t="s">
        <v>2</v>
      </c>
      <c r="F322" s="15" t="s">
        <v>150</v>
      </c>
      <c r="G322" s="16" t="s">
        <v>125</v>
      </c>
      <c r="H322" s="16"/>
      <c r="J322" s="78"/>
      <c r="K322" s="78"/>
      <c r="L322" s="78"/>
      <c r="M322" s="78"/>
      <c r="N322" s="78"/>
      <c r="O322" s="79"/>
      <c r="P322" s="79"/>
      <c r="Q322" s="78"/>
      <c r="R322" s="78"/>
      <c r="S322" s="78"/>
      <c r="T322" s="78"/>
      <c r="U322" s="78"/>
      <c r="V322" s="78"/>
      <c r="W322" s="78"/>
      <c r="X322" s="78"/>
    </row>
    <row r="323" spans="1:24" s="15" customFormat="1" ht="15.75" thickBot="1" x14ac:dyDescent="0.3">
      <c r="A323" s="16" t="s">
        <v>3</v>
      </c>
      <c r="B323" s="17">
        <v>2022</v>
      </c>
      <c r="C323" s="17">
        <v>2021</v>
      </c>
      <c r="D323" s="17">
        <v>2020</v>
      </c>
      <c r="E323" s="17">
        <v>2019</v>
      </c>
      <c r="F323" s="17">
        <v>2018</v>
      </c>
      <c r="G323" s="17">
        <v>2017</v>
      </c>
      <c r="H323" s="22"/>
      <c r="J323" s="22"/>
      <c r="K323" s="22"/>
      <c r="L323" s="22"/>
      <c r="M323" s="22"/>
      <c r="N323" s="22"/>
      <c r="O323" s="22"/>
      <c r="P323" s="22"/>
      <c r="Q323" s="78"/>
      <c r="R323" s="78"/>
      <c r="S323" s="78"/>
      <c r="T323" s="22"/>
      <c r="U323" s="22"/>
      <c r="V323" s="22"/>
      <c r="W323" s="22"/>
      <c r="X323" s="22"/>
    </row>
    <row r="324" spans="1:24" x14ac:dyDescent="0.25">
      <c r="A324" s="5" t="s">
        <v>399</v>
      </c>
      <c r="B324" s="1">
        <f>(SUM(B6:B8))/((B68+B61-B150)/360)</f>
        <v>56.599596255875426</v>
      </c>
      <c r="C324" s="1">
        <f t="shared" ref="C324:G324" si="194">(SUM(C6:C8))/((C68+C61-C150)/360)</f>
        <v>97.479699248120312</v>
      </c>
      <c r="D324" s="1">
        <f t="shared" si="194"/>
        <v>100.36119448542505</v>
      </c>
      <c r="E324" s="1">
        <f t="shared" si="194"/>
        <v>80.874940561103188</v>
      </c>
      <c r="F324" s="1">
        <f t="shared" si="194"/>
        <v>61.410102067521592</v>
      </c>
      <c r="G324" s="1">
        <f t="shared" si="194"/>
        <v>49.937442202034489</v>
      </c>
    </row>
    <row r="325" spans="1:24" x14ac:dyDescent="0.25">
      <c r="A325" s="5" t="s">
        <v>400</v>
      </c>
      <c r="B325" s="1">
        <f t="shared" ref="B325:G325" si="195">(B60-B61-B63)/B286</f>
        <v>0.29662180951575151</v>
      </c>
      <c r="C325" s="1">
        <f t="shared" si="195"/>
        <v>0.28957139582855834</v>
      </c>
      <c r="D325" s="1">
        <f t="shared" si="195"/>
        <v>0.23874796862855932</v>
      </c>
      <c r="E325" s="1">
        <f t="shared" si="195"/>
        <v>0.242315141567501</v>
      </c>
      <c r="F325" s="1">
        <f t="shared" si="195"/>
        <v>0.23896303901437371</v>
      </c>
      <c r="G325" s="1">
        <f t="shared" si="195"/>
        <v>0.24981747770053644</v>
      </c>
    </row>
    <row r="326" spans="1:24" x14ac:dyDescent="0.25">
      <c r="A326" s="5" t="s">
        <v>401</v>
      </c>
      <c r="B326" s="1">
        <f>-B180/B182</f>
        <v>2.695414847161572</v>
      </c>
      <c r="C326" s="1">
        <f t="shared" ref="C326:G326" si="196">-C180/C182</f>
        <v>5.9270718232044199</v>
      </c>
      <c r="D326" s="1">
        <f t="shared" si="196"/>
        <v>8.2701342281879189</v>
      </c>
      <c r="E326" s="1">
        <f t="shared" si="196"/>
        <v>4.625</v>
      </c>
      <c r="F326" s="1">
        <f t="shared" si="196"/>
        <v>3.1162227602905568</v>
      </c>
      <c r="G326" s="1">
        <f t="shared" si="196"/>
        <v>0.41959798994974873</v>
      </c>
    </row>
    <row r="327" spans="1:24" x14ac:dyDescent="0.25">
      <c r="A327" s="5" t="s">
        <v>402</v>
      </c>
      <c r="B327" s="1">
        <f>-B180/B190</f>
        <v>1.6853242320819113</v>
      </c>
      <c r="C327" s="1">
        <f t="shared" ref="C327:G327" si="197">-C180/C190</f>
        <v>0.86488229603353761</v>
      </c>
      <c r="D327" s="1">
        <f t="shared" si="197"/>
        <v>1.0493932297210986</v>
      </c>
      <c r="E327" s="1">
        <f t="shared" si="197"/>
        <v>0.74077163712200211</v>
      </c>
      <c r="F327" s="1">
        <f t="shared" si="197"/>
        <v>0.94876520457058611</v>
      </c>
      <c r="G327" s="1">
        <f t="shared" si="197"/>
        <v>0.18970087088224158</v>
      </c>
    </row>
    <row r="328" spans="1:24" x14ac:dyDescent="0.25">
      <c r="A328" s="5" t="s">
        <v>403</v>
      </c>
      <c r="B328" s="1">
        <f>-B180/B198</f>
        <v>1.2596938775510205</v>
      </c>
      <c r="C328" s="1">
        <f t="shared" ref="C328:G328" si="198">-C180/C198</f>
        <v>2.7381316998468606</v>
      </c>
      <c r="D328" s="1">
        <f t="shared" si="198"/>
        <v>2.5173646578140958</v>
      </c>
      <c r="E328" s="1">
        <f t="shared" si="198"/>
        <v>1.8187403993855606</v>
      </c>
      <c r="F328" s="1">
        <f t="shared" si="198"/>
        <v>0.8086710650329878</v>
      </c>
      <c r="G328" s="1">
        <f t="shared" si="198"/>
        <v>0.17347645429362882</v>
      </c>
    </row>
    <row r="329" spans="1:24" x14ac:dyDescent="0.25">
      <c r="A329" s="5" t="s">
        <v>404</v>
      </c>
      <c r="B329" s="1">
        <f>-B180/(SUM(B188,B200))</f>
        <v>0.51383975026014572</v>
      </c>
      <c r="C329" s="1">
        <f t="shared" ref="C329:G329" si="199">-C180/(SUM(C188,C200))</f>
        <v>1.0109310214851113</v>
      </c>
      <c r="D329" s="1">
        <f t="shared" si="199"/>
        <v>1.2792629120166104</v>
      </c>
      <c r="E329" s="1">
        <f t="shared" si="199"/>
        <v>1.4787676935886762</v>
      </c>
      <c r="F329" s="1">
        <f t="shared" si="199"/>
        <v>0.83707317073170728</v>
      </c>
      <c r="G329" s="1">
        <f t="shared" si="199"/>
        <v>0.16458607095926411</v>
      </c>
    </row>
    <row r="330" spans="1:24" x14ac:dyDescent="0.25">
      <c r="A330" s="5" t="s">
        <v>405</v>
      </c>
      <c r="B330" s="1">
        <f t="shared" ref="B330:G330" si="200">B180/B60</f>
        <v>9.5279320578649837E-2</v>
      </c>
      <c r="C330" s="1">
        <f t="shared" si="200"/>
        <v>0.206323563351027</v>
      </c>
      <c r="D330" s="1">
        <f t="shared" si="200"/>
        <v>0.18816568047337279</v>
      </c>
      <c r="E330" s="1">
        <f t="shared" si="200"/>
        <v>0.13769969557202438</v>
      </c>
      <c r="F330" s="1">
        <f t="shared" si="200"/>
        <v>9.791912352113212E-2</v>
      </c>
      <c r="G330" s="1">
        <f t="shared" si="200"/>
        <v>1.9213069489185459E-2</v>
      </c>
    </row>
    <row r="331" spans="1:24" x14ac:dyDescent="0.25">
      <c r="A331" s="5" t="s">
        <v>406</v>
      </c>
      <c r="B331" s="1">
        <f>B180/(AVERAGE(B21:C21))</f>
        <v>2.6850527712376365E-2</v>
      </c>
      <c r="C331" s="1">
        <f>C180/(AVERAGE(C21:D21))</f>
        <v>5.5521053285306175E-2</v>
      </c>
      <c r="D331" s="1">
        <f>D180/(AVERAGE(D21:E21))</f>
        <v>4.8976550079491254E-2</v>
      </c>
      <c r="E331" s="1">
        <f>E180/(AVERAGE(E21:F21))</f>
        <v>3.4668709830121366E-2</v>
      </c>
      <c r="F331" s="1">
        <f>F180/(AVERAGE(F21:G21))</f>
        <v>2.3028096245633026E-2</v>
      </c>
      <c r="G331" s="1"/>
    </row>
    <row r="332" spans="1:24" x14ac:dyDescent="0.25">
      <c r="A332" s="5" t="s">
        <v>407</v>
      </c>
      <c r="B332" s="1">
        <f>B169/(AVERAGE(B34:C34))</f>
        <v>5.0245222735505406E-2</v>
      </c>
      <c r="C332" s="1">
        <f>C169/(AVERAGE(C34:D34))</f>
        <v>0.10761252269512794</v>
      </c>
      <c r="D332" s="1">
        <f>D169/(AVERAGE(D34:E34))</f>
        <v>9.6654639579574875E-2</v>
      </c>
      <c r="E332" s="1">
        <f>E169/(AVERAGE(E34:F34))</f>
        <v>6.8621768865190683E-2</v>
      </c>
      <c r="F332" s="1">
        <f>F169/(AVERAGE(F34:G34))</f>
        <v>4.3684500827357968E-2</v>
      </c>
      <c r="G332" s="1"/>
    </row>
    <row r="333" spans="1:24" x14ac:dyDescent="0.25">
      <c r="A333" s="5" t="s">
        <v>408</v>
      </c>
      <c r="B333" s="1">
        <f t="shared" ref="B333:G333" si="201">B180/B69</f>
        <v>0.50581827074410268</v>
      </c>
      <c r="C333" s="1">
        <f t="shared" si="201"/>
        <v>1.0439859867652783</v>
      </c>
      <c r="D333" s="1">
        <f t="shared" si="201"/>
        <v>0.88507811097144906</v>
      </c>
      <c r="E333" s="1">
        <f t="shared" si="201"/>
        <v>0.60467149586739721</v>
      </c>
      <c r="F333" s="1">
        <f t="shared" si="201"/>
        <v>0.41522826262300372</v>
      </c>
      <c r="G333" s="1">
        <f t="shared" si="201"/>
        <v>7.520264184929451E-2</v>
      </c>
    </row>
    <row r="334" spans="1:24" x14ac:dyDescent="0.25">
      <c r="A334" s="5" t="s">
        <v>409</v>
      </c>
      <c r="B334" s="1">
        <f t="shared" ref="B334:G334" si="202">B169/B78</f>
        <v>1.9991902834008097</v>
      </c>
      <c r="C334" s="1">
        <f t="shared" si="202"/>
        <v>4.3398058252427187</v>
      </c>
      <c r="D334" s="1">
        <f t="shared" si="202"/>
        <v>4.0138436482084687</v>
      </c>
      <c r="E334" s="1">
        <f t="shared" si="202"/>
        <v>2.9019607843137254</v>
      </c>
      <c r="F334" s="1">
        <f t="shared" si="202"/>
        <v>2.1115668580803937</v>
      </c>
      <c r="G334" s="1">
        <f t="shared" si="202"/>
        <v>0.40798045602605865</v>
      </c>
    </row>
    <row r="335" spans="1:24" x14ac:dyDescent="0.25">
      <c r="A335" s="5" t="s">
        <v>394</v>
      </c>
      <c r="B335" s="1">
        <f>-(B180+B174+B175)/B174</f>
        <v>0.2902881536819637</v>
      </c>
      <c r="C335" s="1">
        <f t="shared" ref="C335:G335" si="203">-(C180+C174+C175)/C174</f>
        <v>2.402173913043478</v>
      </c>
      <c r="D335" s="1">
        <f t="shared" si="203"/>
        <v>2.0342146189735613</v>
      </c>
      <c r="E335" s="1">
        <f t="shared" si="203"/>
        <v>0.97396630934150075</v>
      </c>
      <c r="F335" s="1">
        <f t="shared" si="203"/>
        <v>0.5363086232980333</v>
      </c>
      <c r="G335" s="1">
        <f t="shared" si="203"/>
        <v>-1.5555555555555556</v>
      </c>
    </row>
    <row r="336" spans="1:24" x14ac:dyDescent="0.25">
      <c r="A336" s="5"/>
      <c r="B336" s="1"/>
      <c r="C336" s="1"/>
      <c r="D336" s="1"/>
      <c r="E336" s="1"/>
      <c r="F336" s="1"/>
      <c r="G336" s="1"/>
    </row>
    <row r="337" spans="1:24" x14ac:dyDescent="0.25">
      <c r="A337" s="5" t="s">
        <v>432</v>
      </c>
      <c r="B337" s="1">
        <f t="shared" ref="B337:G337" si="204">B88/B70</f>
        <v>5.8662892867116589</v>
      </c>
      <c r="C337" s="1">
        <f t="shared" si="204"/>
        <v>4.897497566068064</v>
      </c>
      <c r="D337" s="1">
        <f t="shared" si="204"/>
        <v>4.2237742749425262</v>
      </c>
      <c r="E337" s="1">
        <f t="shared" si="204"/>
        <v>4.5372967391476156</v>
      </c>
      <c r="F337" s="1">
        <f t="shared" si="204"/>
        <v>5.1915639824928084</v>
      </c>
      <c r="G337" s="1">
        <f t="shared" si="204"/>
        <v>5.6252778544263311</v>
      </c>
    </row>
    <row r="338" spans="1:24" x14ac:dyDescent="0.25">
      <c r="A338" s="5" t="s">
        <v>410</v>
      </c>
      <c r="B338" s="1">
        <f t="shared" ref="B338:G338" si="205">B90/B70</f>
        <v>6.879318602672571</v>
      </c>
      <c r="C338" s="1">
        <f t="shared" si="205"/>
        <v>5.7028073005813376</v>
      </c>
      <c r="D338" s="1">
        <f t="shared" si="205"/>
        <v>4.9188962261620386</v>
      </c>
      <c r="E338" s="1">
        <f t="shared" si="205"/>
        <v>5.2676420734606211</v>
      </c>
      <c r="F338" s="1">
        <f t="shared" si="205"/>
        <v>5.9571403064803468</v>
      </c>
      <c r="G338" s="1">
        <f t="shared" si="205"/>
        <v>6.4607721818169308</v>
      </c>
    </row>
    <row r="339" spans="1:24" x14ac:dyDescent="0.25">
      <c r="A339" s="5" t="s">
        <v>411</v>
      </c>
      <c r="B339" s="8">
        <f>B162</f>
        <v>3952</v>
      </c>
      <c r="C339" s="8">
        <f t="shared" ref="C339:G339" si="206">C162</f>
        <v>4958</v>
      </c>
      <c r="D339" s="8">
        <f t="shared" si="206"/>
        <v>4471</v>
      </c>
      <c r="E339" s="8">
        <f t="shared" si="206"/>
        <v>3785</v>
      </c>
      <c r="F339" s="8">
        <f t="shared" si="206"/>
        <v>4637</v>
      </c>
      <c r="G339" s="8">
        <f t="shared" si="206"/>
        <v>3865</v>
      </c>
    </row>
    <row r="340" spans="1:24" x14ac:dyDescent="0.25">
      <c r="A340" s="5" t="s">
        <v>412</v>
      </c>
      <c r="B340" s="1">
        <f t="shared" ref="B340:G340" si="207">(B339+B174)/B70</f>
        <v>3.2736156351791532</v>
      </c>
      <c r="C340" s="1">
        <f t="shared" si="207"/>
        <v>3.3292035398230087</v>
      </c>
      <c r="D340" s="1">
        <f t="shared" si="207"/>
        <v>2.2847919655667144</v>
      </c>
      <c r="E340" s="1">
        <f t="shared" si="207"/>
        <v>1.8214548126377663</v>
      </c>
      <c r="F340" s="1">
        <f t="shared" si="207"/>
        <v>2.5817757009345796</v>
      </c>
      <c r="G340" s="1">
        <f t="shared" si="207"/>
        <v>2.1037277147487843</v>
      </c>
    </row>
    <row r="341" spans="1:24" x14ac:dyDescent="0.25">
      <c r="A341" s="5" t="s">
        <v>413</v>
      </c>
      <c r="B341" s="1">
        <f>B339/B286</f>
        <v>0.19691081215744893</v>
      </c>
      <c r="C341" s="1">
        <f t="shared" ref="C341:G341" si="208">C339/C286</f>
        <v>0.22727481090992435</v>
      </c>
      <c r="D341" s="1">
        <f t="shared" si="208"/>
        <v>0.15795237758779057</v>
      </c>
      <c r="E341" s="1">
        <f t="shared" si="208"/>
        <v>0.12942825878812747</v>
      </c>
      <c r="F341" s="1">
        <f t="shared" si="208"/>
        <v>0.1487743839835729</v>
      </c>
      <c r="G341" s="1">
        <f t="shared" si="208"/>
        <v>0.12268672824810335</v>
      </c>
    </row>
    <row r="342" spans="1:24" x14ac:dyDescent="0.25">
      <c r="A342" s="5" t="s">
        <v>414</v>
      </c>
      <c r="B342" s="1">
        <f>B95/(AVERAGE(B286:C286,B34:C34))</f>
        <v>0.15418769384392281</v>
      </c>
      <c r="C342" s="1">
        <f>C95/(AVERAGE(C286:D286,C34:D34))</f>
        <v>0.14776312310514275</v>
      </c>
      <c r="D342" s="1">
        <f>D95/(AVERAGE(D286:E286,D34:E34))</f>
        <v>0.14762109887728325</v>
      </c>
      <c r="E342" s="1">
        <f>E95/(AVERAGE(E286:F286,E34:F34))</f>
        <v>0.15067491855309156</v>
      </c>
      <c r="F342" s="1">
        <f>F95/(AVERAGE(F286:G286,F34:G34))</f>
        <v>0.14770919261496523</v>
      </c>
      <c r="G342" s="1"/>
    </row>
    <row r="343" spans="1:24" x14ac:dyDescent="0.25">
      <c r="A343" s="5" t="s">
        <v>415</v>
      </c>
      <c r="B343" s="1">
        <f>B228/B286</f>
        <v>7.7379172894867967E-2</v>
      </c>
      <c r="C343" s="1">
        <f t="shared" ref="C343:G343" si="209">C228/C286</f>
        <v>0.20440064176025671</v>
      </c>
      <c r="D343" s="1">
        <f t="shared" si="209"/>
        <v>0.15307708613014909</v>
      </c>
      <c r="E343" s="1">
        <f t="shared" si="209"/>
        <v>9.5199015182601557E-2</v>
      </c>
      <c r="F343" s="1">
        <f t="shared" si="209"/>
        <v>5.608316221765914E-2</v>
      </c>
      <c r="G343" s="1">
        <f t="shared" si="209"/>
        <v>-2.1997904961432245E-2</v>
      </c>
    </row>
    <row r="344" spans="1:24" x14ac:dyDescent="0.25">
      <c r="A344" s="5" t="s">
        <v>416</v>
      </c>
      <c r="B344" s="1">
        <f>(B228-B198)/B286</f>
        <v>0.1750373692077728</v>
      </c>
      <c r="C344" s="1">
        <f t="shared" ref="C344:G344" si="210">(C228-C198)/C286</f>
        <v>0.29420123768049505</v>
      </c>
      <c r="D344" s="1">
        <f t="shared" si="210"/>
        <v>0.22224969971030878</v>
      </c>
      <c r="E344" s="1">
        <f t="shared" si="210"/>
        <v>0.16198194501436192</v>
      </c>
      <c r="F344" s="1">
        <f t="shared" si="210"/>
        <v>0.15820713552361396</v>
      </c>
      <c r="G344" s="1">
        <f t="shared" si="210"/>
        <v>6.9675903882169946E-2</v>
      </c>
    </row>
    <row r="345" spans="1:24" x14ac:dyDescent="0.25">
      <c r="A345" s="5" t="s">
        <v>417</v>
      </c>
      <c r="B345" s="1">
        <f>-(B339-B198)/B182</f>
        <v>6.4541484716157207</v>
      </c>
      <c r="C345" s="1">
        <f t="shared" ref="C345:G345" si="211">-(C339-C198)/C182</f>
        <v>7.6430939226519339</v>
      </c>
      <c r="D345" s="1">
        <f t="shared" si="211"/>
        <v>10.786912751677852</v>
      </c>
      <c r="E345" s="1">
        <f t="shared" si="211"/>
        <v>7.471354166666667</v>
      </c>
      <c r="F345" s="1">
        <f t="shared" si="211"/>
        <v>9.4673123486682815</v>
      </c>
      <c r="G345" s="1">
        <f t="shared" si="211"/>
        <v>5.6557788944723617</v>
      </c>
    </row>
    <row r="346" spans="1:24" x14ac:dyDescent="0.25">
      <c r="A346" s="5" t="s">
        <v>396</v>
      </c>
      <c r="B346" s="1">
        <f t="shared" ref="B346:G346" si="212">B286/B90</f>
        <v>3.1676874125526817</v>
      </c>
      <c r="C346" s="1">
        <f t="shared" si="212"/>
        <v>3.385229189235504</v>
      </c>
      <c r="D346" s="1">
        <f t="shared" si="212"/>
        <v>4.1280796494336043</v>
      </c>
      <c r="E346" s="1">
        <f t="shared" si="212"/>
        <v>4.0790815905565765</v>
      </c>
      <c r="F346" s="1">
        <f t="shared" si="212"/>
        <v>4.074797982477361</v>
      </c>
      <c r="G346" s="1">
        <f t="shared" si="212"/>
        <v>3.9514121069958006</v>
      </c>
    </row>
    <row r="347" spans="1:24" ht="15.75" thickBot="1" x14ac:dyDescent="0.3">
      <c r="A347" s="5" t="s">
        <v>418</v>
      </c>
      <c r="B347" s="80">
        <f t="shared" ref="B347:G347" si="213">B286/B35</f>
        <v>0.22173610420602566</v>
      </c>
      <c r="C347" s="80">
        <f t="shared" si="213"/>
        <v>0.23358031565196907</v>
      </c>
      <c r="D347" s="80">
        <f t="shared" si="213"/>
        <v>0.28354202143644197</v>
      </c>
      <c r="E347" s="80">
        <f t="shared" si="213"/>
        <v>0.28826022671266632</v>
      </c>
      <c r="F347" s="80">
        <f t="shared" si="213"/>
        <v>0.30125361247233257</v>
      </c>
      <c r="G347" s="80">
        <f t="shared" si="213"/>
        <v>0.26232388502148352</v>
      </c>
    </row>
    <row r="348" spans="1:24" ht="15.75" thickTop="1" x14ac:dyDescent="0.25"/>
    <row r="349" spans="1:24" s="15" customFormat="1" x14ac:dyDescent="0.25">
      <c r="A349" s="15" t="s">
        <v>0</v>
      </c>
      <c r="B349" s="15" t="s">
        <v>460</v>
      </c>
      <c r="J349" s="78"/>
      <c r="K349" s="78"/>
      <c r="L349" s="78"/>
      <c r="M349" s="78"/>
      <c r="N349" s="78"/>
      <c r="O349" s="78"/>
      <c r="P349" s="78"/>
      <c r="Q349" s="78"/>
      <c r="R349" s="78"/>
      <c r="S349" s="78"/>
      <c r="T349" s="78"/>
      <c r="U349" s="78"/>
      <c r="V349" s="78"/>
      <c r="W349" s="78"/>
      <c r="X349" s="78"/>
    </row>
    <row r="350" spans="1:24" s="15" customFormat="1" x14ac:dyDescent="0.25">
      <c r="A350" s="15" t="s">
        <v>380</v>
      </c>
      <c r="J350" s="78"/>
      <c r="K350" s="78"/>
      <c r="L350" s="78"/>
      <c r="M350" s="78"/>
      <c r="N350" s="78"/>
      <c r="O350" s="78"/>
      <c r="P350" s="78"/>
      <c r="Q350" s="78"/>
      <c r="R350" s="78"/>
      <c r="S350" s="78"/>
      <c r="T350" s="78"/>
      <c r="U350" s="78"/>
      <c r="V350" s="78"/>
      <c r="W350" s="78"/>
      <c r="X350" s="78"/>
    </row>
    <row r="351" spans="1:24" s="15" customFormat="1" x14ac:dyDescent="0.25">
      <c r="A351" s="15" t="s">
        <v>2</v>
      </c>
      <c r="F351" s="15" t="s">
        <v>150</v>
      </c>
      <c r="G351" s="16" t="s">
        <v>125</v>
      </c>
      <c r="H351" s="16"/>
      <c r="J351" s="78"/>
      <c r="K351" s="78"/>
      <c r="L351" s="78"/>
      <c r="M351" s="78"/>
      <c r="N351" s="78"/>
      <c r="O351" s="79"/>
      <c r="P351" s="79"/>
      <c r="Q351" s="78"/>
      <c r="R351" s="78"/>
      <c r="S351" s="78"/>
      <c r="T351" s="78"/>
      <c r="U351" s="78"/>
      <c r="V351" s="78"/>
      <c r="W351" s="78"/>
      <c r="X351" s="78"/>
    </row>
    <row r="352" spans="1:24" s="15" customFormat="1" ht="15.75" thickBot="1" x14ac:dyDescent="0.3">
      <c r="A352" s="16" t="s">
        <v>3</v>
      </c>
      <c r="B352" s="17">
        <v>2022</v>
      </c>
      <c r="C352" s="17">
        <v>2021</v>
      </c>
      <c r="D352" s="17">
        <v>2020</v>
      </c>
      <c r="E352" s="17">
        <v>2019</v>
      </c>
      <c r="F352" s="17">
        <v>2018</v>
      </c>
      <c r="G352" s="17">
        <v>2017</v>
      </c>
      <c r="H352" s="22" t="s">
        <v>130</v>
      </c>
      <c r="J352" s="22"/>
      <c r="K352" s="22"/>
      <c r="L352" s="22"/>
      <c r="M352" s="22"/>
      <c r="N352" s="22"/>
      <c r="O352" s="22"/>
      <c r="P352" s="22"/>
      <c r="Q352" s="78"/>
      <c r="R352" s="78"/>
      <c r="S352" s="78"/>
      <c r="T352" s="22"/>
      <c r="U352" s="22"/>
      <c r="V352" s="22"/>
      <c r="W352" s="22"/>
      <c r="X352" s="22"/>
    </row>
    <row r="353" spans="1:8" x14ac:dyDescent="0.25">
      <c r="A353" s="5" t="s">
        <v>419</v>
      </c>
      <c r="B353" s="28">
        <f t="shared" ref="B353:G353" si="214">B69/B60</f>
        <v>0.18836670418900778</v>
      </c>
      <c r="C353" s="28">
        <f t="shared" si="214"/>
        <v>0.19763058696822833</v>
      </c>
      <c r="D353" s="28">
        <f t="shared" si="214"/>
        <v>0.21259782401221608</v>
      </c>
      <c r="E353" s="28">
        <f t="shared" si="214"/>
        <v>0.22772645397232605</v>
      </c>
      <c r="F353" s="28">
        <f t="shared" si="214"/>
        <v>0.23581998706585003</v>
      </c>
      <c r="G353" s="28">
        <f t="shared" si="214"/>
        <v>0.25548396993403899</v>
      </c>
      <c r="H353" s="28">
        <f>AVERAGE(B353:G353)</f>
        <v>0.21960425435694453</v>
      </c>
    </row>
    <row r="354" spans="1:8" x14ac:dyDescent="0.25">
      <c r="A354" s="5" t="s">
        <v>420</v>
      </c>
      <c r="B354" s="30">
        <f t="shared" ref="B354:G354" si="215">B72/B95</f>
        <v>0.83045992624289322</v>
      </c>
      <c r="C354" s="30">
        <f t="shared" si="215"/>
        <v>0.79798243539143365</v>
      </c>
      <c r="D354" s="30">
        <f t="shared" si="215"/>
        <v>0.76409411711764108</v>
      </c>
      <c r="E354" s="30">
        <f t="shared" si="215"/>
        <v>0.77928057932066108</v>
      </c>
      <c r="F354" s="30">
        <f t="shared" si="215"/>
        <v>0.79807884331264278</v>
      </c>
      <c r="G354" s="30">
        <f t="shared" si="215"/>
        <v>0.82093447097005701</v>
      </c>
      <c r="H354" s="30">
        <f t="shared" ref="H354:H367" si="216">AVERAGE(B354:G354)</f>
        <v>0.79847172872588812</v>
      </c>
    </row>
    <row r="355" spans="1:8" x14ac:dyDescent="0.25">
      <c r="A355" s="5" t="s">
        <v>421</v>
      </c>
      <c r="B355" s="28">
        <f>B72/B60</f>
        <v>0.17314874498127006</v>
      </c>
      <c r="C355" s="28">
        <f t="shared" ref="C355:G355" si="217">C72/C60</f>
        <v>0.16986584543645325</v>
      </c>
      <c r="D355" s="28">
        <f t="shared" si="217"/>
        <v>0.17174809464668378</v>
      </c>
      <c r="E355" s="28">
        <f t="shared" si="217"/>
        <v>0.18655598415197089</v>
      </c>
      <c r="F355" s="28">
        <f t="shared" si="217"/>
        <v>0.20238019376576885</v>
      </c>
      <c r="G355" s="28">
        <f t="shared" si="217"/>
        <v>0.21853784600253465</v>
      </c>
      <c r="H355" s="28">
        <f t="shared" si="216"/>
        <v>0.18703945149744691</v>
      </c>
    </row>
    <row r="356" spans="1:8" x14ac:dyDescent="0.25">
      <c r="A356" s="5" t="s">
        <v>422</v>
      </c>
      <c r="B356" s="30">
        <f t="shared" ref="B356:G356" si="218">B74/B72</f>
        <v>0.78</v>
      </c>
      <c r="C356" s="30">
        <f t="shared" si="218"/>
        <v>0.78</v>
      </c>
      <c r="D356" s="30">
        <f t="shared" si="218"/>
        <v>0.78</v>
      </c>
      <c r="E356" s="30">
        <f t="shared" si="218"/>
        <v>0.77999999999999992</v>
      </c>
      <c r="F356" s="30">
        <f t="shared" si="218"/>
        <v>0.77999999999999992</v>
      </c>
      <c r="G356" s="30">
        <f t="shared" si="218"/>
        <v>0.77999999999999992</v>
      </c>
      <c r="H356" s="30">
        <f t="shared" si="216"/>
        <v>0.77999999999999992</v>
      </c>
    </row>
    <row r="357" spans="1:8" x14ac:dyDescent="0.25">
      <c r="A357" s="5" t="s">
        <v>287</v>
      </c>
      <c r="B357" s="28">
        <f t="shared" ref="B357:G357" si="219">B74/B60</f>
        <v>0.13505602108539064</v>
      </c>
      <c r="C357" s="28">
        <f t="shared" si="219"/>
        <v>0.13249535944043356</v>
      </c>
      <c r="D357" s="28">
        <f t="shared" si="219"/>
        <v>0.13396351382441335</v>
      </c>
      <c r="E357" s="28">
        <f t="shared" si="219"/>
        <v>0.14551366763853726</v>
      </c>
      <c r="F357" s="28">
        <f t="shared" si="219"/>
        <v>0.15785655113729968</v>
      </c>
      <c r="G357" s="28">
        <f t="shared" si="219"/>
        <v>0.17045951988197702</v>
      </c>
      <c r="H357" s="28">
        <f t="shared" si="216"/>
        <v>0.14589077216800858</v>
      </c>
    </row>
    <row r="358" spans="1:8" x14ac:dyDescent="0.25">
      <c r="A358" s="5" t="s">
        <v>423</v>
      </c>
      <c r="B358" s="74">
        <f>B211/AVERAGE(B21:C21)</f>
        <v>0.28180855561634877</v>
      </c>
      <c r="C358" s="74">
        <f>C211/AVERAGE(C21:D21)</f>
        <v>0.26909700658303315</v>
      </c>
      <c r="D358" s="74">
        <f>D211/AVERAGE(D21:E21)</f>
        <v>0.26028418124006358</v>
      </c>
      <c r="E358" s="74">
        <f>E211/AVERAGE(E21:F21)</f>
        <v>0.2517704174007252</v>
      </c>
      <c r="F358" s="74">
        <f>F211/AVERAGE(F21:G21)</f>
        <v>0.23517465656913572</v>
      </c>
      <c r="G358" s="57"/>
      <c r="H358" s="30">
        <f>AVERAGE(B358:G358)</f>
        <v>0.25962696348186126</v>
      </c>
    </row>
    <row r="359" spans="1:8" x14ac:dyDescent="0.25">
      <c r="A359" s="5" t="s">
        <v>424</v>
      </c>
      <c r="B359" s="28">
        <f>B74/AVERAGE(B21:C21)</f>
        <v>3.8059942229365075E-2</v>
      </c>
      <c r="C359" s="28">
        <f>C74/AVERAGE(C21:D21)</f>
        <v>3.5654104611563694E-2</v>
      </c>
      <c r="D359" s="28">
        <f>D74/AVERAGE(D21:E21)</f>
        <v>3.4868583511829372E-2</v>
      </c>
      <c r="E359" s="28">
        <f>E74/AVERAGE(E21:F21)</f>
        <v>3.6636036838864926E-2</v>
      </c>
      <c r="F359" s="28">
        <f>F74/AVERAGE(F21:G21)</f>
        <v>3.7123860200902664E-2</v>
      </c>
      <c r="G359" s="37"/>
      <c r="H359" s="28">
        <f t="shared" si="216"/>
        <v>3.646850547850515E-2</v>
      </c>
    </row>
    <row r="360" spans="1:8" x14ac:dyDescent="0.25">
      <c r="A360" s="5" t="s">
        <v>392</v>
      </c>
      <c r="B360" s="74">
        <f>B312</f>
        <v>1.8712936771200066</v>
      </c>
      <c r="C360" s="74">
        <f t="shared" ref="C360:F360" si="220">C312</f>
        <v>1.938229128005537</v>
      </c>
      <c r="D360" s="74">
        <f t="shared" si="220"/>
        <v>1.9734881167150364</v>
      </c>
      <c r="E360" s="74">
        <f t="shared" si="220"/>
        <v>1.9793574436845562</v>
      </c>
      <c r="F360" s="74">
        <f t="shared" si="220"/>
        <v>1.8970087827230684</v>
      </c>
      <c r="G360" s="57"/>
      <c r="H360" s="115">
        <f t="shared" si="216"/>
        <v>1.9318754296496408</v>
      </c>
    </row>
    <row r="361" spans="1:8" ht="15.75" thickBot="1" x14ac:dyDescent="0.3">
      <c r="A361" s="5" t="s">
        <v>425</v>
      </c>
      <c r="B361" s="114">
        <f>B74/AVERAGE(B34:C34)</f>
        <v>7.122132924536359E-2</v>
      </c>
      <c r="C361" s="114">
        <f>C74/AVERAGE(C34:D34)</f>
        <v>6.9105824091089299E-2</v>
      </c>
      <c r="D361" s="114">
        <f>D74/AVERAGE(D34:E34)</f>
        <v>6.8812735207281123E-2</v>
      </c>
      <c r="E361" s="114">
        <f>E74/AVERAGE(E34:F34)</f>
        <v>7.2515812224108911E-2</v>
      </c>
      <c r="F361" s="114">
        <f>F74/AVERAGE(F34:G34)</f>
        <v>7.0424288849695732E-2</v>
      </c>
      <c r="G361" s="37"/>
      <c r="H361" s="114">
        <f t="shared" si="216"/>
        <v>7.041599792350775E-2</v>
      </c>
    </row>
    <row r="362" spans="1:8" ht="15.75" thickTop="1" x14ac:dyDescent="0.25">
      <c r="A362" s="5"/>
      <c r="H362" s="28"/>
    </row>
    <row r="363" spans="1:8" x14ac:dyDescent="0.25">
      <c r="A363" s="5" t="s">
        <v>426</v>
      </c>
      <c r="B363" s="28">
        <f t="shared" ref="B363:G363" si="221">B62/B60</f>
        <v>0.31536720804657625</v>
      </c>
      <c r="C363" s="28">
        <f t="shared" si="221"/>
        <v>0.33225632740980077</v>
      </c>
      <c r="D363" s="28">
        <f t="shared" si="221"/>
        <v>0.35071578545523957</v>
      </c>
      <c r="E363" s="28">
        <f t="shared" si="221"/>
        <v>0.34674054896278633</v>
      </c>
      <c r="F363" s="28">
        <f t="shared" si="221"/>
        <v>0.33952143645147792</v>
      </c>
      <c r="G363" s="28">
        <f t="shared" si="221"/>
        <v>0.35108912409878817</v>
      </c>
      <c r="H363" s="28">
        <f t="shared" si="216"/>
        <v>0.33928173840411152</v>
      </c>
    </row>
    <row r="364" spans="1:8" x14ac:dyDescent="0.25">
      <c r="A364" s="5" t="s">
        <v>427</v>
      </c>
      <c r="B364" s="30">
        <f t="shared" ref="B364:G364" si="222">B69/B62</f>
        <v>0.59729324857766475</v>
      </c>
      <c r="C364" s="30">
        <f t="shared" si="222"/>
        <v>0.59481361426256074</v>
      </c>
      <c r="D364" s="30">
        <f t="shared" si="222"/>
        <v>0.60618264939588551</v>
      </c>
      <c r="E364" s="30">
        <f t="shared" si="222"/>
        <v>0.65676326190729606</v>
      </c>
      <c r="F364" s="30">
        <f t="shared" si="222"/>
        <v>0.69456582633053221</v>
      </c>
      <c r="G364" s="30">
        <f t="shared" si="222"/>
        <v>0.72768978700163844</v>
      </c>
      <c r="H364" s="30">
        <f t="shared" si="216"/>
        <v>0.6462180645792629</v>
      </c>
    </row>
    <row r="365" spans="1:8" x14ac:dyDescent="0.25">
      <c r="A365" s="72" t="s">
        <v>419</v>
      </c>
      <c r="B365" s="83">
        <f>B363*B364</f>
        <v>0.18836670418900778</v>
      </c>
      <c r="C365" s="83">
        <f t="shared" ref="C365:G365" si="223">C363*C364</f>
        <v>0.19763058696822833</v>
      </c>
      <c r="D365" s="83">
        <f t="shared" si="223"/>
        <v>0.21259782401221608</v>
      </c>
      <c r="E365" s="83">
        <f t="shared" si="223"/>
        <v>0.22772645397232605</v>
      </c>
      <c r="F365" s="83">
        <f t="shared" si="223"/>
        <v>0.23581998706585003</v>
      </c>
      <c r="G365" s="83">
        <f t="shared" si="223"/>
        <v>0.25548396993403899</v>
      </c>
      <c r="H365" s="28">
        <f t="shared" si="216"/>
        <v>0.21960425435694453</v>
      </c>
    </row>
    <row r="366" spans="1:8" x14ac:dyDescent="0.25">
      <c r="A366" s="5" t="s">
        <v>428</v>
      </c>
      <c r="B366" s="30">
        <f t="shared" ref="B366:G366" si="224">B74/B69</f>
        <v>0.71698457361060464</v>
      </c>
      <c r="C366" s="30">
        <f t="shared" si="224"/>
        <v>0.67041929831303837</v>
      </c>
      <c r="D366" s="30">
        <f t="shared" si="224"/>
        <v>0.63012645800511902</v>
      </c>
      <c r="E366" s="30">
        <f t="shared" si="224"/>
        <v>0.63898447062377961</v>
      </c>
      <c r="F366" s="30">
        <f t="shared" si="224"/>
        <v>0.66939428290792014</v>
      </c>
      <c r="G366" s="30">
        <f t="shared" si="224"/>
        <v>0.66720240775179118</v>
      </c>
      <c r="H366" s="30">
        <f t="shared" si="216"/>
        <v>0.66551858186870883</v>
      </c>
    </row>
    <row r="367" spans="1:8" ht="15.75" thickBot="1" x14ac:dyDescent="0.3">
      <c r="A367" s="72" t="s">
        <v>287</v>
      </c>
      <c r="B367" s="113">
        <f>B365*B366</f>
        <v>0.13505602108539064</v>
      </c>
      <c r="C367" s="113">
        <f t="shared" ref="C367:G367" si="225">C365*C366</f>
        <v>0.13249535944043353</v>
      </c>
      <c r="D367" s="113">
        <f t="shared" si="225"/>
        <v>0.13396351382441335</v>
      </c>
      <c r="E367" s="113">
        <f t="shared" si="225"/>
        <v>0.14551366763853726</v>
      </c>
      <c r="F367" s="113">
        <f t="shared" si="225"/>
        <v>0.15785655113729968</v>
      </c>
      <c r="G367" s="113">
        <f t="shared" si="225"/>
        <v>0.17045951988197705</v>
      </c>
      <c r="H367" s="114">
        <f t="shared" si="216"/>
        <v>0.14589077216800858</v>
      </c>
    </row>
    <row r="368" spans="1:8" ht="15.75" thickTop="1" x14ac:dyDescent="0.25">
      <c r="A368" s="5"/>
      <c r="B368" s="2">
        <f>B367-B357</f>
        <v>0</v>
      </c>
      <c r="C368" s="2">
        <f t="shared" ref="C368:G368" si="226">C367-C357</f>
        <v>0</v>
      </c>
      <c r="D368" s="2">
        <f t="shared" si="226"/>
        <v>0</v>
      </c>
      <c r="E368" s="2">
        <f t="shared" si="226"/>
        <v>0</v>
      </c>
      <c r="F368" s="2">
        <f t="shared" si="226"/>
        <v>0</v>
      </c>
      <c r="G368" s="2">
        <f t="shared" si="226"/>
        <v>0</v>
      </c>
    </row>
    <row r="369" spans="1:24" x14ac:dyDescent="0.25">
      <c r="A369" s="5" t="s">
        <v>191</v>
      </c>
      <c r="B369" s="28">
        <f t="shared" ref="B369:G369" si="227">B73/B72</f>
        <v>0.22</v>
      </c>
      <c r="C369" s="28">
        <f t="shared" si="227"/>
        <v>0.22</v>
      </c>
      <c r="D369" s="28">
        <f t="shared" si="227"/>
        <v>0.22</v>
      </c>
      <c r="E369" s="28">
        <f t="shared" si="227"/>
        <v>0.22000000000000003</v>
      </c>
      <c r="F369" s="28">
        <f t="shared" si="227"/>
        <v>0.22</v>
      </c>
      <c r="G369" s="28">
        <f t="shared" si="227"/>
        <v>0.22</v>
      </c>
    </row>
    <row r="370" spans="1:24" x14ac:dyDescent="0.25">
      <c r="A370" s="5"/>
    </row>
    <row r="371" spans="1:24" x14ac:dyDescent="0.25">
      <c r="A371" s="5" t="s">
        <v>429</v>
      </c>
      <c r="B371" s="1">
        <f>B60/AVERAGE(B246:C246)</f>
        <v>-43.152844327840008</v>
      </c>
      <c r="C371" s="1">
        <f t="shared" ref="C371:G371" si="228">C60/AVERAGE(C246:D246)</f>
        <v>19.322185061315498</v>
      </c>
      <c r="D371" s="1">
        <f t="shared" si="228"/>
        <v>17.562856185048609</v>
      </c>
      <c r="E371" s="1">
        <f t="shared" si="228"/>
        <v>28.757261984392418</v>
      </c>
      <c r="F371" s="1">
        <f t="shared" si="228"/>
        <v>-38.069514844315712</v>
      </c>
      <c r="G371" s="1">
        <f t="shared" si="228"/>
        <v>-8.8303420250592612</v>
      </c>
    </row>
    <row r="372" spans="1:24" x14ac:dyDescent="0.25">
      <c r="A372" s="5" t="s">
        <v>430</v>
      </c>
      <c r="B372" s="1">
        <f t="shared" ref="B372:G372" si="229">B60/AVERAGE(B17:C17)</f>
        <v>3.8259682590975825</v>
      </c>
      <c r="C372" s="1">
        <f t="shared" si="229"/>
        <v>3.8003215904107588</v>
      </c>
      <c r="D372" s="1">
        <f t="shared" si="229"/>
        <v>3.760677625439667</v>
      </c>
      <c r="E372" s="1">
        <f t="shared" si="229"/>
        <v>3.6503593009269086</v>
      </c>
      <c r="F372" s="1">
        <f t="shared" si="229"/>
        <v>3.7183676356177946</v>
      </c>
      <c r="G372" s="1">
        <f t="shared" si="229"/>
        <v>3.6929613369211158</v>
      </c>
    </row>
    <row r="373" spans="1:24" x14ac:dyDescent="0.25">
      <c r="A373" s="5"/>
    </row>
    <row r="374" spans="1:24" x14ac:dyDescent="0.25">
      <c r="A374" s="5" t="s">
        <v>177</v>
      </c>
      <c r="B374" s="2">
        <f t="shared" ref="B374:G374" si="230">B69+B150</f>
        <v>5814.199716981133</v>
      </c>
      <c r="C374" s="2">
        <f t="shared" si="230"/>
        <v>6048</v>
      </c>
      <c r="D374" s="2">
        <f t="shared" si="230"/>
        <v>6538</v>
      </c>
      <c r="E374" s="2">
        <f t="shared" si="230"/>
        <v>6868.2639999999992</v>
      </c>
      <c r="F374" s="2">
        <f t="shared" si="230"/>
        <v>7182</v>
      </c>
      <c r="G374" s="2">
        <f t="shared" si="230"/>
        <v>7693</v>
      </c>
    </row>
    <row r="375" spans="1:24" ht="15.75" thickBot="1" x14ac:dyDescent="0.3">
      <c r="A375" s="82" t="s">
        <v>431</v>
      </c>
      <c r="B375" s="81">
        <f t="shared" ref="B375:G375" si="231">B90</f>
        <v>6335.8524330614382</v>
      </c>
      <c r="C375" s="81">
        <f t="shared" si="231"/>
        <v>6444.1722496569118</v>
      </c>
      <c r="D375" s="81">
        <f t="shared" si="231"/>
        <v>6856.9413392698816</v>
      </c>
      <c r="E375" s="81">
        <f t="shared" si="231"/>
        <v>7169.2608619799048</v>
      </c>
      <c r="F375" s="81">
        <f t="shared" si="231"/>
        <v>7648.9681535207656</v>
      </c>
      <c r="G375" s="81">
        <f t="shared" si="231"/>
        <v>7972.5928723620927</v>
      </c>
    </row>
    <row r="376" spans="1:24" ht="15.75" thickTop="1" x14ac:dyDescent="0.25">
      <c r="A376" s="82"/>
      <c r="B376" s="34"/>
      <c r="C376" s="34"/>
      <c r="D376" s="34"/>
      <c r="E376" s="34"/>
      <c r="F376" s="34"/>
      <c r="G376" s="34"/>
    </row>
    <row r="377" spans="1:24" s="15" customFormat="1" x14ac:dyDescent="0.25">
      <c r="A377" s="15" t="s">
        <v>0</v>
      </c>
      <c r="B377" s="15" t="s">
        <v>460</v>
      </c>
      <c r="J377" s="78"/>
      <c r="K377" s="78"/>
      <c r="L377" s="78"/>
      <c r="M377" s="78"/>
      <c r="N377" s="78"/>
      <c r="O377" s="78"/>
      <c r="P377" s="78"/>
      <c r="Q377" s="78"/>
      <c r="R377" s="78"/>
      <c r="S377" s="78"/>
      <c r="T377" s="78"/>
      <c r="U377" s="78"/>
      <c r="V377" s="78"/>
      <c r="W377" s="78"/>
      <c r="X377" s="78"/>
    </row>
    <row r="378" spans="1:24" s="15" customFormat="1" x14ac:dyDescent="0.25">
      <c r="A378" s="15" t="s">
        <v>463</v>
      </c>
      <c r="J378" s="78"/>
      <c r="K378" s="78"/>
      <c r="L378" s="78"/>
      <c r="M378" s="78"/>
      <c r="N378" s="78"/>
      <c r="O378" s="78"/>
      <c r="P378" s="78"/>
      <c r="Q378" s="78"/>
      <c r="R378" s="78"/>
      <c r="S378" s="78"/>
      <c r="T378" s="78"/>
      <c r="U378" s="78"/>
      <c r="V378" s="78"/>
      <c r="W378" s="78"/>
      <c r="X378" s="78"/>
    </row>
    <row r="379" spans="1:24" s="15" customFormat="1" x14ac:dyDescent="0.25">
      <c r="A379" s="15" t="s">
        <v>2</v>
      </c>
      <c r="F379" s="15" t="s">
        <v>150</v>
      </c>
      <c r="G379" s="16" t="s">
        <v>125</v>
      </c>
      <c r="H379" s="16"/>
      <c r="J379" s="98" t="s">
        <v>489</v>
      </c>
      <c r="K379" s="98" t="s">
        <v>490</v>
      </c>
      <c r="L379" s="78"/>
      <c r="M379" s="78"/>
      <c r="N379" s="78"/>
      <c r="O379" s="79"/>
      <c r="P379" s="79"/>
      <c r="Q379" s="78"/>
      <c r="R379" s="78"/>
      <c r="S379" s="78"/>
      <c r="T379" s="78"/>
      <c r="U379" s="78"/>
      <c r="V379" s="78"/>
      <c r="W379" s="78"/>
      <c r="X379" s="78"/>
    </row>
    <row r="380" spans="1:24" s="15" customFormat="1" ht="15.75" thickBot="1" x14ac:dyDescent="0.3">
      <c r="A380" s="16" t="s">
        <v>3</v>
      </c>
      <c r="B380" s="17">
        <v>2022</v>
      </c>
      <c r="C380" s="17">
        <v>2021</v>
      </c>
      <c r="D380" s="17">
        <v>2020</v>
      </c>
      <c r="E380" s="17">
        <v>2019</v>
      </c>
      <c r="F380" s="17">
        <v>2018</v>
      </c>
      <c r="G380" s="17">
        <v>2017</v>
      </c>
      <c r="H380" s="22"/>
      <c r="I380" s="15" t="s">
        <v>130</v>
      </c>
      <c r="J380" s="120" t="s">
        <v>130</v>
      </c>
      <c r="K380" s="120" t="s">
        <v>491</v>
      </c>
      <c r="L380" s="120" t="s">
        <v>492</v>
      </c>
      <c r="M380" s="22"/>
      <c r="N380" s="22"/>
      <c r="O380" s="22"/>
      <c r="P380" s="22"/>
      <c r="Q380" s="78"/>
      <c r="R380" s="78"/>
      <c r="S380" s="78"/>
      <c r="T380" s="22"/>
      <c r="U380" s="22"/>
      <c r="V380" s="22"/>
      <c r="W380" s="22"/>
      <c r="X380" s="22"/>
    </row>
    <row r="381" spans="1:24" x14ac:dyDescent="0.25">
      <c r="A381" s="1" t="s">
        <v>43</v>
      </c>
      <c r="B381" s="34">
        <f>B39</f>
        <v>1225</v>
      </c>
      <c r="C381" s="34">
        <f t="shared" ref="C381:G381" si="232">C39</f>
        <v>1224</v>
      </c>
      <c r="D381" s="34">
        <f t="shared" si="232"/>
        <v>1223</v>
      </c>
      <c r="E381" s="34">
        <f t="shared" si="232"/>
        <v>1221</v>
      </c>
      <c r="F381" s="34">
        <f t="shared" si="232"/>
        <v>1220</v>
      </c>
      <c r="G381" s="34">
        <f t="shared" si="232"/>
        <v>1219</v>
      </c>
    </row>
    <row r="382" spans="1:24" x14ac:dyDescent="0.25">
      <c r="A382" s="53" t="s">
        <v>464</v>
      </c>
      <c r="B382" s="119">
        <f>B40</f>
        <v>38.130000000000003</v>
      </c>
      <c r="C382" s="119">
        <f t="shared" ref="C382:G382" si="233">C40</f>
        <v>39.22</v>
      </c>
      <c r="D382" s="119">
        <f t="shared" si="233"/>
        <v>36.380000000000003</v>
      </c>
      <c r="E382" s="119">
        <f t="shared" si="233"/>
        <v>24.77</v>
      </c>
      <c r="F382" s="119">
        <f t="shared" si="233"/>
        <v>33.19</v>
      </c>
      <c r="G382" s="119">
        <f t="shared" si="233"/>
        <v>67.14</v>
      </c>
    </row>
    <row r="383" spans="1:24" x14ac:dyDescent="0.25">
      <c r="A383" s="1" t="s">
        <v>45</v>
      </c>
      <c r="B383" s="34">
        <f>B381*B382</f>
        <v>46709.25</v>
      </c>
      <c r="C383" s="34">
        <f t="shared" ref="C383:F383" si="234">C381*C382</f>
        <v>48005.279999999999</v>
      </c>
      <c r="D383" s="34">
        <f t="shared" si="234"/>
        <v>44492.740000000005</v>
      </c>
      <c r="E383" s="34">
        <f t="shared" si="234"/>
        <v>30244.17</v>
      </c>
      <c r="F383" s="34">
        <f t="shared" si="234"/>
        <v>40491.799999999996</v>
      </c>
      <c r="G383" s="34">
        <f>G381*G382</f>
        <v>81843.66</v>
      </c>
    </row>
    <row r="384" spans="1:24" x14ac:dyDescent="0.25">
      <c r="A384" s="53" t="s">
        <v>294</v>
      </c>
      <c r="B384" s="34">
        <f>B286</f>
        <v>20070</v>
      </c>
      <c r="C384" s="34">
        <f t="shared" ref="C384:G384" si="235">C286</f>
        <v>21815</v>
      </c>
      <c r="D384" s="34">
        <f t="shared" si="235"/>
        <v>28306</v>
      </c>
      <c r="E384" s="34">
        <f t="shared" si="235"/>
        <v>29244</v>
      </c>
      <c r="F384" s="34">
        <f t="shared" si="235"/>
        <v>31168</v>
      </c>
      <c r="G384" s="34">
        <f t="shared" si="235"/>
        <v>31503</v>
      </c>
    </row>
    <row r="385" spans="1:12" x14ac:dyDescent="0.25">
      <c r="A385" s="53" t="s">
        <v>465</v>
      </c>
      <c r="B385" s="31">
        <f>-B6-B7</f>
        <v>-1040</v>
      </c>
      <c r="C385" s="31">
        <f t="shared" ref="C385:G385" si="236">-C6-C7</f>
        <v>-3445</v>
      </c>
      <c r="D385" s="31">
        <f t="shared" si="236"/>
        <v>-3417</v>
      </c>
      <c r="E385" s="31">
        <f t="shared" si="236"/>
        <v>-2279</v>
      </c>
      <c r="F385" s="31">
        <f t="shared" si="236"/>
        <v>-1130</v>
      </c>
      <c r="G385" s="31">
        <f t="shared" si="236"/>
        <v>-1629</v>
      </c>
    </row>
    <row r="386" spans="1:12" x14ac:dyDescent="0.25">
      <c r="A386" s="1" t="s">
        <v>466</v>
      </c>
      <c r="B386" s="34">
        <f>SUM(B383:B385)</f>
        <v>65739.25</v>
      </c>
      <c r="C386" s="34">
        <f t="shared" ref="C386:G386" si="237">SUM(C383:C385)</f>
        <v>66375.28</v>
      </c>
      <c r="D386" s="34">
        <f t="shared" si="237"/>
        <v>69381.740000000005</v>
      </c>
      <c r="E386" s="34">
        <f t="shared" si="237"/>
        <v>57209.17</v>
      </c>
      <c r="F386" s="34">
        <f t="shared" si="237"/>
        <v>70529.799999999988</v>
      </c>
      <c r="G386" s="34">
        <f t="shared" si="237"/>
        <v>111717.66</v>
      </c>
    </row>
    <row r="387" spans="1:12" x14ac:dyDescent="0.25">
      <c r="A387" s="1"/>
      <c r="B387" s="34"/>
      <c r="C387" s="34"/>
      <c r="D387" s="34"/>
      <c r="E387" s="34"/>
      <c r="F387" s="34"/>
      <c r="G387" s="34"/>
    </row>
    <row r="388" spans="1:12" x14ac:dyDescent="0.25">
      <c r="A388" s="1" t="s">
        <v>467</v>
      </c>
      <c r="B388" s="34"/>
      <c r="C388" s="34"/>
      <c r="D388" s="34"/>
      <c r="E388" s="34"/>
      <c r="F388" s="34"/>
      <c r="G388" s="34"/>
    </row>
    <row r="389" spans="1:12" x14ac:dyDescent="0.25">
      <c r="A389" s="53" t="s">
        <v>468</v>
      </c>
      <c r="B389" s="118">
        <f>B79</f>
        <v>2.8297529536744306</v>
      </c>
      <c r="C389" s="118">
        <f>C79</f>
        <v>2.7771960798805755</v>
      </c>
      <c r="D389" s="118">
        <f t="shared" ref="D389:G389" si="238">D79</f>
        <v>2.8535620884613255</v>
      </c>
      <c r="E389" s="118">
        <f t="shared" si="238"/>
        <v>3.0682708107388281</v>
      </c>
      <c r="F389" s="118">
        <f t="shared" si="238"/>
        <v>3.4549427069287915</v>
      </c>
      <c r="G389" s="118">
        <f t="shared" si="238"/>
        <v>3.6269563847251081</v>
      </c>
    </row>
    <row r="390" spans="1:12" x14ac:dyDescent="0.25">
      <c r="A390" s="53" t="s">
        <v>469</v>
      </c>
      <c r="B390" s="118">
        <f>B34/B39</f>
        <v>39.861224489795916</v>
      </c>
      <c r="C390" s="118">
        <f t="shared" ref="C390:G390" si="239">C34/C39</f>
        <v>40.398692810457518</v>
      </c>
      <c r="D390" s="118">
        <f t="shared" si="239"/>
        <v>41.081766148814388</v>
      </c>
      <c r="E390" s="118">
        <f t="shared" si="239"/>
        <v>42.382473382473385</v>
      </c>
      <c r="F390" s="118">
        <f t="shared" si="239"/>
        <v>42.438524590163937</v>
      </c>
      <c r="G390" s="118">
        <f t="shared" si="239"/>
        <v>54.20016406890894</v>
      </c>
    </row>
    <row r="391" spans="1:12" x14ac:dyDescent="0.25">
      <c r="A391" s="53"/>
      <c r="B391" s="34"/>
      <c r="C391" s="34"/>
      <c r="D391" s="34"/>
      <c r="E391" s="34"/>
      <c r="F391" s="34"/>
      <c r="G391" s="34"/>
    </row>
    <row r="392" spans="1:12" x14ac:dyDescent="0.25">
      <c r="A392" s="53" t="s">
        <v>470</v>
      </c>
      <c r="B392" s="34"/>
      <c r="C392" s="34"/>
      <c r="D392" s="34"/>
      <c r="E392" s="34"/>
      <c r="F392" s="34"/>
      <c r="G392" s="34"/>
    </row>
    <row r="393" spans="1:12" x14ac:dyDescent="0.25">
      <c r="A393" s="116" t="s">
        <v>471</v>
      </c>
      <c r="B393" s="57">
        <f>B382/B389</f>
        <v>13.4746745119528</v>
      </c>
      <c r="C393" s="57">
        <f t="shared" ref="C393:G393" si="240">C382/C389</f>
        <v>14.122157338521999</v>
      </c>
      <c r="D393" s="57">
        <f>D382/D389</f>
        <v>12.748977899274141</v>
      </c>
      <c r="E393" s="57">
        <f t="shared" si="240"/>
        <v>8.0729510293895714</v>
      </c>
      <c r="F393" s="57">
        <f t="shared" si="240"/>
        <v>9.6065268849287655</v>
      </c>
      <c r="G393" s="57">
        <f t="shared" si="240"/>
        <v>18.511388855614438</v>
      </c>
      <c r="I393" s="1">
        <f>AVERAGE(B393:G393)</f>
        <v>12.756112753280286</v>
      </c>
      <c r="J393" s="1">
        <f>HARMEAN(B393:G393)</f>
        <v>11.870638555803248</v>
      </c>
      <c r="K393" s="1">
        <f>STDEV(B393:G393)</f>
        <v>3.6703557757898548</v>
      </c>
      <c r="L393" s="42">
        <f>K393/J393</f>
        <v>0.3091961530574539</v>
      </c>
    </row>
    <row r="394" spans="1:12" x14ac:dyDescent="0.25">
      <c r="A394" s="116" t="s">
        <v>472</v>
      </c>
      <c r="B394" s="57">
        <f>B382/B390</f>
        <v>0.95656870776162206</v>
      </c>
      <c r="C394" s="57">
        <f t="shared" ref="C394:G394" si="241">C382/C390</f>
        <v>0.97082349134444257</v>
      </c>
      <c r="D394" s="57">
        <f t="shared" si="241"/>
        <v>0.88555102203292013</v>
      </c>
      <c r="E394" s="57">
        <f t="shared" si="241"/>
        <v>0.58443969931786122</v>
      </c>
      <c r="F394" s="57">
        <f t="shared" si="241"/>
        <v>0.7820724287783678</v>
      </c>
      <c r="G394" s="57">
        <f t="shared" si="241"/>
        <v>1.2387416376570304</v>
      </c>
      <c r="I394" s="1">
        <f t="shared" ref="I394:I401" si="242">AVERAGE(B394:G394)</f>
        <v>0.90303283114870736</v>
      </c>
      <c r="J394" s="1">
        <f t="shared" ref="J394:J400" si="243">HARMEAN(B394:G394)</f>
        <v>0.85693936099238066</v>
      </c>
      <c r="K394" s="1">
        <f t="shared" ref="K394:K401" si="244">STDEV(B394:G394)</f>
        <v>0.21753192073949565</v>
      </c>
      <c r="L394" s="42">
        <f t="shared" ref="L394:L400" si="245">K394/J394</f>
        <v>0.25384750735172473</v>
      </c>
    </row>
    <row r="395" spans="1:12" x14ac:dyDescent="0.25">
      <c r="A395" s="116" t="s">
        <v>473</v>
      </c>
      <c r="B395" s="57">
        <f>B386/B374</f>
        <v>11.30667214750121</v>
      </c>
      <c r="C395" s="57">
        <f t="shared" ref="C395:G395" si="246">C386/C374</f>
        <v>10.974748677248677</v>
      </c>
      <c r="D395" s="57">
        <f t="shared" si="246"/>
        <v>10.612074028754972</v>
      </c>
      <c r="E395" s="57">
        <f t="shared" si="246"/>
        <v>8.3294949058452037</v>
      </c>
      <c r="F395" s="57">
        <f t="shared" si="246"/>
        <v>9.8203564466722337</v>
      </c>
      <c r="G395" s="57">
        <f t="shared" si="246"/>
        <v>14.52198882100611</v>
      </c>
      <c r="I395" s="1">
        <f t="shared" si="242"/>
        <v>10.927555837838069</v>
      </c>
      <c r="J395" s="1">
        <f t="shared" si="243"/>
        <v>10.6281297772268</v>
      </c>
      <c r="K395" s="1">
        <f t="shared" si="244"/>
        <v>2.0562706378703384</v>
      </c>
      <c r="L395" s="42">
        <f t="shared" si="245"/>
        <v>0.19347436293790549</v>
      </c>
    </row>
    <row r="396" spans="1:12" x14ac:dyDescent="0.25">
      <c r="A396" s="116" t="s">
        <v>474</v>
      </c>
      <c r="B396" s="57">
        <f>B383/B60</f>
        <v>1.8025215086019846</v>
      </c>
      <c r="C396" s="57">
        <f t="shared" ref="C396:G396" si="247">C383/C60</f>
        <v>1.8464989614585736</v>
      </c>
      <c r="D396" s="57">
        <f t="shared" si="247"/>
        <v>1.698520328306929</v>
      </c>
      <c r="E396" s="57">
        <f t="shared" si="247"/>
        <v>1.1724698766409214</v>
      </c>
      <c r="F396" s="57">
        <f t="shared" si="247"/>
        <v>1.5403735686841402</v>
      </c>
      <c r="G396" s="57">
        <f t="shared" si="247"/>
        <v>3.1386585365853659</v>
      </c>
      <c r="I396" s="1">
        <f t="shared" si="242"/>
        <v>1.866507130046319</v>
      </c>
      <c r="J396" s="1">
        <f t="shared" si="243"/>
        <v>1.7114532272408933</v>
      </c>
      <c r="K396" s="1">
        <f t="shared" si="244"/>
        <v>0.66919863452356954</v>
      </c>
      <c r="L396" s="42">
        <f t="shared" si="245"/>
        <v>0.39101193294216585</v>
      </c>
    </row>
    <row r="397" spans="1:12" x14ac:dyDescent="0.25">
      <c r="A397" s="116" t="s">
        <v>475</v>
      </c>
      <c r="B397" s="57">
        <f>B383/B88</f>
        <v>8.6452944215492789</v>
      </c>
      <c r="C397" s="57">
        <f t="shared" ref="C397:G397" si="248">C383/C88</f>
        <v>8.6743378836782785</v>
      </c>
      <c r="D397" s="57">
        <f t="shared" si="248"/>
        <v>7.5565868333731068</v>
      </c>
      <c r="E397" s="57">
        <f t="shared" si="248"/>
        <v>4.8976343956914477</v>
      </c>
      <c r="F397" s="57">
        <f t="shared" si="248"/>
        <v>6.0744064579146597</v>
      </c>
      <c r="G397" s="57">
        <f t="shared" si="248"/>
        <v>11.79032845989283</v>
      </c>
      <c r="I397" s="1">
        <f t="shared" si="242"/>
        <v>7.9397647420165995</v>
      </c>
      <c r="J397" s="1">
        <f t="shared" si="243"/>
        <v>7.3447688962500006</v>
      </c>
      <c r="K397" s="1">
        <f t="shared" si="244"/>
        <v>2.3977136883435266</v>
      </c>
      <c r="L397" s="42">
        <f t="shared" si="245"/>
        <v>0.32645189007481518</v>
      </c>
    </row>
    <row r="398" spans="1:12" x14ac:dyDescent="0.25">
      <c r="A398" s="116" t="s">
        <v>476</v>
      </c>
      <c r="B398" s="57">
        <f>B383/B90</f>
        <v>7.3722124202678794</v>
      </c>
      <c r="C398" s="57">
        <f t="shared" ref="C398:G398" si="249">C383/C90</f>
        <v>7.4494098140464517</v>
      </c>
      <c r="D398" s="57">
        <f t="shared" si="249"/>
        <v>6.4887152738479656</v>
      </c>
      <c r="E398" s="57">
        <f t="shared" si="249"/>
        <v>4.2185896959603157</v>
      </c>
      <c r="F398" s="57">
        <f t="shared" si="249"/>
        <v>5.2937597839732025</v>
      </c>
      <c r="G398" s="57">
        <f t="shared" si="249"/>
        <v>10.265626416685647</v>
      </c>
      <c r="I398" s="1">
        <f t="shared" si="242"/>
        <v>6.8480522341302441</v>
      </c>
      <c r="J398" s="1">
        <f t="shared" si="243"/>
        <v>6.3334083801060679</v>
      </c>
      <c r="K398" s="1">
        <f t="shared" si="244"/>
        <v>2.0868737117613421</v>
      </c>
      <c r="L398" s="42">
        <f t="shared" si="245"/>
        <v>0.32950247110488595</v>
      </c>
    </row>
    <row r="399" spans="1:12" x14ac:dyDescent="0.25">
      <c r="A399" s="116" t="s">
        <v>477</v>
      </c>
      <c r="B399" s="57">
        <f>B383/B162</f>
        <v>11.819142206477732</v>
      </c>
      <c r="C399" s="57">
        <f t="shared" ref="C399:G399" si="250">C383/C162</f>
        <v>9.6823880597014931</v>
      </c>
      <c r="D399" s="57">
        <f t="shared" si="250"/>
        <v>9.9514068441064651</v>
      </c>
      <c r="E399" s="57">
        <f t="shared" si="250"/>
        <v>7.990533685601056</v>
      </c>
      <c r="F399" s="57">
        <f t="shared" si="250"/>
        <v>8.7323269355186532</v>
      </c>
      <c r="G399" s="57">
        <f t="shared" si="250"/>
        <v>21.175591203104787</v>
      </c>
      <c r="I399" s="1">
        <f t="shared" si="242"/>
        <v>11.558564822418363</v>
      </c>
      <c r="J399" s="1">
        <f t="shared" si="243"/>
        <v>10.429950326924999</v>
      </c>
      <c r="K399" s="1">
        <f t="shared" si="244"/>
        <v>4.8862369934082688</v>
      </c>
      <c r="L399" s="42">
        <f t="shared" si="245"/>
        <v>0.46848132927291219</v>
      </c>
    </row>
    <row r="400" spans="1:12" x14ac:dyDescent="0.25">
      <c r="A400" s="116" t="s">
        <v>478</v>
      </c>
      <c r="B400" s="57">
        <f>B383/B169</f>
        <v>18.918286755771568</v>
      </c>
      <c r="C400" s="57">
        <f t="shared" ref="C400:G400" si="251">C383/C169</f>
        <v>8.9495302013422808</v>
      </c>
      <c r="D400" s="57">
        <f t="shared" si="251"/>
        <v>9.0267275309393398</v>
      </c>
      <c r="E400" s="57">
        <f t="shared" si="251"/>
        <v>8.5146874999999991</v>
      </c>
      <c r="F400" s="57">
        <f t="shared" si="251"/>
        <v>15.73108003108003</v>
      </c>
      <c r="G400" s="57">
        <f t="shared" si="251"/>
        <v>163.36059880239523</v>
      </c>
      <c r="I400" s="1">
        <f t="shared" si="242"/>
        <v>37.416818470254746</v>
      </c>
      <c r="J400" s="1">
        <f t="shared" si="243"/>
        <v>12.972616410445525</v>
      </c>
      <c r="K400" s="1">
        <f t="shared" si="244"/>
        <v>61.84823307281173</v>
      </c>
      <c r="L400" s="42">
        <f t="shared" si="245"/>
        <v>4.7675990036220952</v>
      </c>
    </row>
    <row r="401" spans="1:12" x14ac:dyDescent="0.25">
      <c r="A401" s="116" t="s">
        <v>479</v>
      </c>
      <c r="B401" s="57">
        <f>B383/B228</f>
        <v>30.076786864133933</v>
      </c>
      <c r="C401" s="57">
        <f t="shared" ref="C401:F401" si="252">C383/C228</f>
        <v>10.765929580623459</v>
      </c>
      <c r="D401" s="57">
        <f t="shared" si="252"/>
        <v>10.268345257327487</v>
      </c>
      <c r="E401" s="57">
        <f t="shared" si="252"/>
        <v>10.863566810344826</v>
      </c>
      <c r="F401" s="57">
        <f t="shared" si="252"/>
        <v>23.164645308924484</v>
      </c>
      <c r="G401" s="57">
        <f>G383/G228</f>
        <v>-118.10051948051948</v>
      </c>
      <c r="I401" s="1">
        <f t="shared" si="242"/>
        <v>-5.4935409431942146</v>
      </c>
      <c r="K401" s="1">
        <f t="shared" si="244"/>
        <v>55.762413662361347</v>
      </c>
      <c r="L401" s="42">
        <f>K401/I401</f>
        <v>-10.150541197193361</v>
      </c>
    </row>
    <row r="402" spans="1:12" x14ac:dyDescent="0.25">
      <c r="A402" s="53"/>
      <c r="B402" s="34"/>
      <c r="C402" s="34"/>
      <c r="D402" s="34"/>
      <c r="E402" s="34"/>
      <c r="F402" s="34"/>
      <c r="G402" s="34"/>
    </row>
    <row r="403" spans="1:12" x14ac:dyDescent="0.25">
      <c r="A403" s="117" t="s">
        <v>480</v>
      </c>
      <c r="B403" s="118">
        <f>B80</f>
        <v>1.6</v>
      </c>
      <c r="C403" s="118">
        <f t="shared" ref="C403:G403" si="253">C80</f>
        <v>1.6</v>
      </c>
      <c r="D403" s="118">
        <f t="shared" si="253"/>
        <v>1.6</v>
      </c>
      <c r="E403" s="118">
        <f t="shared" si="253"/>
        <v>1.6</v>
      </c>
      <c r="F403" s="118">
        <f t="shared" si="253"/>
        <v>2.5</v>
      </c>
      <c r="G403" s="118">
        <f t="shared" si="253"/>
        <v>2.4500000000000002</v>
      </c>
    </row>
    <row r="404" spans="1:12" x14ac:dyDescent="0.25">
      <c r="A404" s="117" t="s">
        <v>481</v>
      </c>
      <c r="B404" s="37">
        <f>B403/B382</f>
        <v>4.1961709939680042E-2</v>
      </c>
      <c r="C404" s="37">
        <f t="shared" ref="C404:G404" si="254">C403/C382</f>
        <v>4.0795512493625702E-2</v>
      </c>
      <c r="D404" s="37">
        <f t="shared" si="254"/>
        <v>4.3980208905992302E-2</v>
      </c>
      <c r="E404" s="37">
        <f t="shared" si="254"/>
        <v>6.4594267258780785E-2</v>
      </c>
      <c r="F404" s="37">
        <f t="shared" si="254"/>
        <v>7.5323892738776752E-2</v>
      </c>
      <c r="G404" s="37">
        <f t="shared" si="254"/>
        <v>3.6490914507000302E-2</v>
      </c>
      <c r="I404" s="28">
        <f>AVERAGE(B404:G404)</f>
        <v>5.0524417640642645E-2</v>
      </c>
    </row>
    <row r="405" spans="1:12" x14ac:dyDescent="0.25">
      <c r="A405" s="117" t="s">
        <v>482</v>
      </c>
      <c r="B405" s="37">
        <f>B403/B389</f>
        <v>0.56542038340216316</v>
      </c>
      <c r="C405" s="37">
        <f t="shared" ref="C405:G405" si="255">C403/C389</f>
        <v>0.57612064614062219</v>
      </c>
      <c r="D405" s="37">
        <f t="shared" si="255"/>
        <v>0.56070271134795568</v>
      </c>
      <c r="E405" s="37">
        <f t="shared" si="255"/>
        <v>0.5214663563594395</v>
      </c>
      <c r="F405" s="37">
        <f t="shared" si="255"/>
        <v>0.7236010006725494</v>
      </c>
      <c r="G405" s="37">
        <f t="shared" si="255"/>
        <v>0.67549750813606457</v>
      </c>
    </row>
    <row r="406" spans="1:12" x14ac:dyDescent="0.25">
      <c r="A406" s="117" t="s">
        <v>483</v>
      </c>
      <c r="B406" s="37">
        <f>1-B405</f>
        <v>0.43457961659783684</v>
      </c>
      <c r="C406" s="37">
        <f t="shared" ref="C406:G406" si="256">1-C405</f>
        <v>0.42387935385937781</v>
      </c>
      <c r="D406" s="37">
        <f t="shared" si="256"/>
        <v>0.43929728865204432</v>
      </c>
      <c r="E406" s="37">
        <f t="shared" si="256"/>
        <v>0.4785336436405605</v>
      </c>
      <c r="F406" s="37">
        <f t="shared" si="256"/>
        <v>0.2763989993274506</v>
      </c>
      <c r="G406" s="37">
        <f t="shared" si="256"/>
        <v>0.32450249186393543</v>
      </c>
    </row>
    <row r="407" spans="1:12" x14ac:dyDescent="0.25">
      <c r="A407" s="117" t="s">
        <v>484</v>
      </c>
      <c r="B407" s="37">
        <f>B406*B361</f>
        <v>3.0951337957038413E-2</v>
      </c>
      <c r="C407" s="37">
        <f t="shared" ref="C407:F407" si="257">C406*C361</f>
        <v>2.9292532063650758E-2</v>
      </c>
      <c r="D407" s="37">
        <f t="shared" si="257"/>
        <v>3.0229248001289667E-2</v>
      </c>
      <c r="E407" s="37">
        <f t="shared" si="257"/>
        <v>3.4701255845157535E-2</v>
      </c>
      <c r="F407" s="37">
        <f t="shared" si="257"/>
        <v>1.9465202966403236E-2</v>
      </c>
      <c r="G407" s="34"/>
    </row>
    <row r="408" spans="1:12" x14ac:dyDescent="0.25">
      <c r="A408" s="117" t="s">
        <v>485</v>
      </c>
      <c r="B408" s="37">
        <f>B406*B359</f>
        <v>1.6540075101773292E-2</v>
      </c>
      <c r="C408" s="37">
        <f t="shared" ref="C408:F408" si="258">C406*C359</f>
        <v>1.5113038825184281E-2</v>
      </c>
      <c r="D408" s="37">
        <f t="shared" si="258"/>
        <v>1.5317674195884021E-2</v>
      </c>
      <c r="E408" s="37">
        <f t="shared" si="258"/>
        <v>1.7531576197051837E-2</v>
      </c>
      <c r="F408" s="37">
        <f t="shared" si="258"/>
        <v>1.0260997810701666E-2</v>
      </c>
      <c r="G408" s="34"/>
    </row>
    <row r="409" spans="1:12" x14ac:dyDescent="0.25">
      <c r="A409" s="117"/>
      <c r="B409" s="34"/>
      <c r="C409" s="34"/>
      <c r="D409" s="34"/>
      <c r="E409" s="34"/>
      <c r="F409" s="34"/>
      <c r="G409" s="34"/>
    </row>
    <row r="410" spans="1:12" x14ac:dyDescent="0.25">
      <c r="A410" s="117" t="s">
        <v>486</v>
      </c>
      <c r="B410" s="57">
        <f>B393/(B407*100)</f>
        <v>4.3535030797880667</v>
      </c>
      <c r="C410" s="57">
        <f t="shared" ref="C410:F410" si="259">C393/(C407*100)</f>
        <v>4.8210777094433057</v>
      </c>
      <c r="D410" s="57">
        <f t="shared" si="259"/>
        <v>4.2174313759741002</v>
      </c>
      <c r="E410" s="57">
        <f t="shared" si="259"/>
        <v>2.3264146592885138</v>
      </c>
      <c r="F410" s="57">
        <f t="shared" si="259"/>
        <v>4.9352307815693184</v>
      </c>
      <c r="G410" s="34"/>
    </row>
    <row r="411" spans="1:12" x14ac:dyDescent="0.25">
      <c r="A411" s="1"/>
      <c r="C411" s="34"/>
      <c r="D411" s="34"/>
      <c r="E411" s="34"/>
      <c r="F411" s="34"/>
      <c r="G411" s="34"/>
    </row>
    <row r="412" spans="1:12" x14ac:dyDescent="0.25">
      <c r="A412" s="1" t="s">
        <v>487</v>
      </c>
      <c r="B412" s="34">
        <f>B383-B34</f>
        <v>-2120.75</v>
      </c>
      <c r="C412" s="34">
        <f t="shared" ref="C412:F412" si="260">C383-C34</f>
        <v>-1442.7200000000012</v>
      </c>
      <c r="D412" s="34">
        <f t="shared" si="260"/>
        <v>-5750.2599999999948</v>
      </c>
      <c r="E412" s="34">
        <f t="shared" si="260"/>
        <v>-21504.83</v>
      </c>
      <c r="F412" s="34">
        <f t="shared" si="260"/>
        <v>-11283.200000000004</v>
      </c>
      <c r="G412" s="34">
        <f>G383-G34</f>
        <v>15773.660000000003</v>
      </c>
    </row>
    <row r="413" spans="1:12" x14ac:dyDescent="0.25">
      <c r="A413" s="53" t="s">
        <v>488</v>
      </c>
      <c r="B413" s="37">
        <f>B412/B21</f>
        <v>-2.3430335973838014E-2</v>
      </c>
      <c r="C413" s="37">
        <f t="shared" ref="C413:G413" si="261">C412/C21</f>
        <v>-1.5447673298070553E-2</v>
      </c>
      <c r="D413" s="37">
        <f t="shared" si="261"/>
        <v>-5.7600520885505303E-2</v>
      </c>
      <c r="E413" s="37">
        <f t="shared" si="261"/>
        <v>-0.21197466732380485</v>
      </c>
      <c r="F413" s="37">
        <f t="shared" si="261"/>
        <v>-0.10905751925846459</v>
      </c>
      <c r="G413" s="37">
        <f t="shared" si="261"/>
        <v>0.1313464677080905</v>
      </c>
    </row>
    <row r="414" spans="1:12" x14ac:dyDescent="0.25">
      <c r="A414" s="53"/>
      <c r="B414" s="37"/>
      <c r="C414" s="37"/>
      <c r="D414" s="37"/>
      <c r="E414" s="37"/>
      <c r="F414" s="37"/>
      <c r="G414" s="37"/>
    </row>
    <row r="415" spans="1:12" s="15" customFormat="1" x14ac:dyDescent="0.25">
      <c r="A415" s="15" t="str">
        <f>A453</f>
        <v>Kraft Heinz Company</v>
      </c>
    </row>
    <row r="416" spans="1:12" s="15" customFormat="1" x14ac:dyDescent="0.25">
      <c r="A416" s="15" t="s">
        <v>493</v>
      </c>
    </row>
    <row r="417" spans="1:7" x14ac:dyDescent="0.25">
      <c r="A417" s="1" t="s">
        <v>494</v>
      </c>
      <c r="B417" s="37"/>
      <c r="C417" s="37"/>
      <c r="D417" s="37"/>
      <c r="E417" s="37"/>
      <c r="F417" s="37"/>
      <c r="G417" s="37"/>
    </row>
    <row r="418" spans="1:7" x14ac:dyDescent="0.25">
      <c r="A418" s="53" t="s">
        <v>495</v>
      </c>
      <c r="B418" s="37"/>
      <c r="C418" s="37"/>
      <c r="D418" s="37"/>
      <c r="E418" s="37"/>
      <c r="F418" s="37"/>
      <c r="G418" s="37"/>
    </row>
    <row r="419" spans="1:7" x14ac:dyDescent="0.25">
      <c r="A419" s="116" t="s">
        <v>282</v>
      </c>
      <c r="B419" s="37">
        <f>R60</f>
        <v>-1.2511478514972544E-3</v>
      </c>
      <c r="C419" s="37"/>
      <c r="D419" s="37">
        <f>B419</f>
        <v>-1.2511478514972544E-3</v>
      </c>
      <c r="E419" s="37"/>
      <c r="F419" s="37"/>
      <c r="G419" s="37"/>
    </row>
    <row r="420" spans="1:7" x14ac:dyDescent="0.25">
      <c r="A420" s="116" t="s">
        <v>496</v>
      </c>
      <c r="B420" s="37">
        <f>R95</f>
        <v>-4.8885520110028328E-2</v>
      </c>
      <c r="C420" s="37"/>
      <c r="D420" s="37">
        <f t="shared" ref="D420:D421" si="262">B420</f>
        <v>-4.8885520110028328E-2</v>
      </c>
      <c r="E420" s="37"/>
      <c r="F420" s="37"/>
      <c r="G420" s="37"/>
    </row>
    <row r="421" spans="1:7" x14ac:dyDescent="0.25">
      <c r="A421" s="116" t="s">
        <v>177</v>
      </c>
      <c r="B421" s="37">
        <f>R90</f>
        <v>-4.4917047467910087E-2</v>
      </c>
      <c r="C421" s="37"/>
      <c r="D421" s="37">
        <f t="shared" si="262"/>
        <v>-4.4917047467910087E-2</v>
      </c>
      <c r="E421" s="37"/>
      <c r="F421" s="37"/>
      <c r="G421" s="37"/>
    </row>
    <row r="422" spans="1:7" x14ac:dyDescent="0.25">
      <c r="A422" s="116" t="s">
        <v>331</v>
      </c>
      <c r="B422" s="37">
        <f>R162</f>
        <v>4.461944531612725E-3</v>
      </c>
      <c r="C422" s="37"/>
      <c r="D422" s="37">
        <f>B422</f>
        <v>4.461944531612725E-3</v>
      </c>
      <c r="E422" s="37"/>
      <c r="F422" s="37"/>
      <c r="G422" s="37"/>
    </row>
    <row r="423" spans="1:7" x14ac:dyDescent="0.25">
      <c r="A423" s="116" t="s">
        <v>497</v>
      </c>
      <c r="B423" s="37">
        <f>R169</f>
        <v>0.37574097606482232</v>
      </c>
      <c r="C423" s="37" t="s">
        <v>514</v>
      </c>
      <c r="D423" s="37"/>
      <c r="E423" s="37"/>
      <c r="F423" s="37"/>
      <c r="G423" s="37"/>
    </row>
    <row r="424" spans="1:7" x14ac:dyDescent="0.25">
      <c r="A424" s="116" t="s">
        <v>498</v>
      </c>
      <c r="B424" s="37">
        <f>R228</f>
        <v>0</v>
      </c>
      <c r="C424" s="37"/>
      <c r="D424" s="37">
        <f>B424</f>
        <v>0</v>
      </c>
      <c r="E424" s="37"/>
      <c r="F424" s="37"/>
      <c r="G424" s="37"/>
    </row>
    <row r="425" spans="1:7" x14ac:dyDescent="0.25">
      <c r="A425" s="116" t="s">
        <v>306</v>
      </c>
      <c r="B425" s="37">
        <f>R229</f>
        <v>0.57365781095448454</v>
      </c>
      <c r="C425" s="37" t="s">
        <v>514</v>
      </c>
      <c r="D425" s="37"/>
      <c r="E425" s="37"/>
      <c r="F425" s="37"/>
      <c r="G425" s="37"/>
    </row>
    <row r="426" spans="1:7" x14ac:dyDescent="0.25">
      <c r="A426" s="116" t="s">
        <v>276</v>
      </c>
      <c r="B426" s="37">
        <f>J133</f>
        <v>-4.7346525118876492E-2</v>
      </c>
      <c r="C426" s="37"/>
      <c r="D426" s="37">
        <f>B426</f>
        <v>-4.7346525118876492E-2</v>
      </c>
      <c r="E426" s="37"/>
      <c r="F426" s="37"/>
      <c r="G426" s="37"/>
    </row>
    <row r="427" spans="1:7" x14ac:dyDescent="0.25">
      <c r="A427" s="116" t="s">
        <v>499</v>
      </c>
      <c r="B427" s="30">
        <f>J137</f>
        <v>-4.8428912970037374E-2</v>
      </c>
      <c r="C427" s="30"/>
      <c r="D427" s="30">
        <f>B427</f>
        <v>-4.8428912970037374E-2</v>
      </c>
      <c r="E427" s="37"/>
      <c r="F427" s="37"/>
      <c r="G427" s="37"/>
    </row>
    <row r="428" spans="1:7" x14ac:dyDescent="0.25">
      <c r="A428" s="1" t="s">
        <v>500</v>
      </c>
      <c r="B428" s="37">
        <f>AVERAGE(B419:B427)</f>
        <v>8.4781286448063334E-2</v>
      </c>
      <c r="C428" s="37"/>
      <c r="D428" s="37">
        <f>AVERAGE(D419:D427)</f>
        <v>-2.6623886998105258E-2</v>
      </c>
      <c r="E428" s="37"/>
      <c r="F428" s="37"/>
      <c r="G428" s="37"/>
    </row>
    <row r="429" spans="1:7" x14ac:dyDescent="0.25">
      <c r="A429" s="1"/>
      <c r="B429" s="37"/>
      <c r="C429" s="37"/>
      <c r="D429" s="37"/>
      <c r="E429" s="37"/>
      <c r="F429" s="37"/>
      <c r="G429" s="37"/>
    </row>
    <row r="430" spans="1:7" x14ac:dyDescent="0.25">
      <c r="A430" s="1" t="s">
        <v>501</v>
      </c>
      <c r="B430" s="37"/>
      <c r="C430" s="37"/>
      <c r="D430" s="37">
        <f>B407</f>
        <v>3.0951337957038413E-2</v>
      </c>
      <c r="E430" s="37"/>
      <c r="F430" s="37"/>
      <c r="G430" s="37"/>
    </row>
    <row r="431" spans="1:7" x14ac:dyDescent="0.25">
      <c r="A431" s="1" t="s">
        <v>298</v>
      </c>
      <c r="B431" s="30"/>
      <c r="C431" s="30"/>
      <c r="D431" s="30">
        <f>B393/100</f>
        <v>0.134746745119528</v>
      </c>
      <c r="E431" s="37"/>
      <c r="F431" s="37"/>
      <c r="G431" s="37"/>
    </row>
    <row r="432" spans="1:7" x14ac:dyDescent="0.25">
      <c r="A432" s="1" t="s">
        <v>502</v>
      </c>
      <c r="B432" s="37"/>
      <c r="C432" s="37"/>
      <c r="D432" s="37">
        <f>AVERAGE(D428:D431)</f>
        <v>4.6358065359487055E-2</v>
      </c>
      <c r="E432" s="37"/>
      <c r="F432" s="37"/>
      <c r="G432" s="37"/>
    </row>
    <row r="433" spans="1:9" x14ac:dyDescent="0.25">
      <c r="A433" s="1"/>
      <c r="B433" s="37"/>
      <c r="C433" s="37"/>
      <c r="D433" s="37"/>
      <c r="E433" s="37"/>
      <c r="F433" s="37"/>
      <c r="G433" s="37"/>
    </row>
    <row r="434" spans="1:9" x14ac:dyDescent="0.25">
      <c r="A434" s="1"/>
      <c r="B434" s="37"/>
      <c r="C434" s="37"/>
      <c r="D434" s="37"/>
      <c r="E434" s="37"/>
      <c r="F434" s="37"/>
      <c r="G434" s="37"/>
    </row>
    <row r="435" spans="1:9" x14ac:dyDescent="0.25">
      <c r="A435" s="1" t="s">
        <v>502</v>
      </c>
      <c r="B435" s="37">
        <f>C435-0.01</f>
        <v>3.6358065359487053E-2</v>
      </c>
      <c r="C435" s="37">
        <f>D432</f>
        <v>4.6358065359487055E-2</v>
      </c>
      <c r="D435" s="37">
        <f>C435+0.01</f>
        <v>5.6358065359487057E-2</v>
      </c>
      <c r="E435" s="37"/>
      <c r="F435" s="37"/>
      <c r="G435" s="37"/>
    </row>
    <row r="436" spans="1:9" x14ac:dyDescent="0.25">
      <c r="A436" s="53" t="s">
        <v>503</v>
      </c>
      <c r="B436" s="124">
        <f>C436</f>
        <v>2.8297529536744306</v>
      </c>
      <c r="C436" s="124">
        <f>B389</f>
        <v>2.8297529536744306</v>
      </c>
      <c r="D436" s="124">
        <f>C436</f>
        <v>2.8297529536744306</v>
      </c>
      <c r="E436" s="37"/>
      <c r="F436" s="37"/>
      <c r="G436" s="37"/>
    </row>
    <row r="437" spans="1:9" x14ac:dyDescent="0.25">
      <c r="A437" s="53" t="s">
        <v>504</v>
      </c>
      <c r="B437" s="124">
        <f t="shared" ref="B437:D438" si="263">B436*(1+B$435)</f>
        <v>2.9326372965153271</v>
      </c>
      <c r="C437" s="124">
        <f t="shared" si="263"/>
        <v>2.9609348260520716</v>
      </c>
      <c r="D437" s="124">
        <f t="shared" si="263"/>
        <v>2.9892323555888156</v>
      </c>
      <c r="E437" s="37"/>
      <c r="F437" s="37"/>
      <c r="G437" s="37"/>
    </row>
    <row r="438" spans="1:9" x14ac:dyDescent="0.25">
      <c r="A438" s="53" t="s">
        <v>505</v>
      </c>
      <c r="B438" s="124">
        <f t="shared" si="263"/>
        <v>3.0392623150177007</v>
      </c>
      <c r="C438" s="124">
        <f t="shared" si="263"/>
        <v>3.098198036243375</v>
      </c>
      <c r="D438" s="124">
        <f t="shared" si="263"/>
        <v>3.1576997080597837</v>
      </c>
      <c r="E438" s="37"/>
      <c r="F438" s="37"/>
      <c r="G438" s="37"/>
    </row>
    <row r="439" spans="1:9" x14ac:dyDescent="0.25">
      <c r="A439" s="53"/>
      <c r="B439" s="37"/>
      <c r="C439" s="37"/>
      <c r="D439" s="37"/>
      <c r="E439" s="37"/>
      <c r="F439" s="37"/>
      <c r="G439" s="37"/>
    </row>
    <row r="440" spans="1:9" x14ac:dyDescent="0.25">
      <c r="A440" s="1" t="s">
        <v>506</v>
      </c>
      <c r="B440" s="123">
        <f>B435*100</f>
        <v>3.6358065359487055</v>
      </c>
      <c r="C440" s="123">
        <f>C435*100</f>
        <v>4.6358065359487055</v>
      </c>
      <c r="D440" s="123">
        <f>D435*100</f>
        <v>5.6358065359487055</v>
      </c>
      <c r="E440" s="37"/>
      <c r="F440" s="37"/>
      <c r="G440" s="37"/>
    </row>
    <row r="441" spans="1:9" x14ac:dyDescent="0.25">
      <c r="A441" s="1" t="s">
        <v>507</v>
      </c>
      <c r="B441" s="123">
        <f>C441</f>
        <v>38.130000000000003</v>
      </c>
      <c r="C441" s="123">
        <f>B382</f>
        <v>38.130000000000003</v>
      </c>
      <c r="D441" s="123">
        <f>C441</f>
        <v>38.130000000000003</v>
      </c>
      <c r="E441" s="37"/>
      <c r="F441" s="37"/>
      <c r="G441" s="37"/>
    </row>
    <row r="442" spans="1:9" x14ac:dyDescent="0.25">
      <c r="A442" s="53" t="s">
        <v>508</v>
      </c>
      <c r="B442" s="123">
        <f>B436*B$440</f>
        <v>10.288434284089648</v>
      </c>
      <c r="C442" s="123">
        <f>C436*C$440</f>
        <v>13.118187237764079</v>
      </c>
      <c r="D442" s="123">
        <f>D436*D$440</f>
        <v>15.94794019143851</v>
      </c>
      <c r="E442" s="37"/>
      <c r="F442" s="37"/>
      <c r="G442" s="37"/>
    </row>
    <row r="443" spans="1:9" x14ac:dyDescent="0.25">
      <c r="A443" s="53" t="s">
        <v>509</v>
      </c>
      <c r="B443" s="123">
        <f t="shared" ref="B443:D443" si="264">B437*B$440</f>
        <v>10.662501850237367</v>
      </c>
      <c r="C443" s="123">
        <f t="shared" si="264"/>
        <v>13.726321019130337</v>
      </c>
      <c r="D443" s="123">
        <f t="shared" si="264"/>
        <v>16.846735247096792</v>
      </c>
      <c r="E443" s="37"/>
      <c r="F443" s="37"/>
      <c r="G443" s="37"/>
    </row>
    <row r="444" spans="1:9" x14ac:dyDescent="0.25">
      <c r="A444" s="53" t="s">
        <v>510</v>
      </c>
      <c r="B444" s="123">
        <f>B438*B$440</f>
        <v>11.050169789403951</v>
      </c>
      <c r="C444" s="123">
        <f>C438*C$440</f>
        <v>14.362646706080483</v>
      </c>
      <c r="D444" s="123">
        <f t="shared" ref="D444" si="265">D438*D$440</f>
        <v>17.796184653246648</v>
      </c>
      <c r="E444" s="37"/>
      <c r="F444" s="37"/>
      <c r="G444" s="147"/>
      <c r="H444" s="148"/>
      <c r="I444" s="148"/>
    </row>
    <row r="445" spans="1:9" x14ac:dyDescent="0.25">
      <c r="A445" s="1" t="s">
        <v>511</v>
      </c>
      <c r="B445" s="37">
        <f>RATE(2,0,-B441,B444)</f>
        <v>-0.46166691335243926</v>
      </c>
      <c r="C445" s="37">
        <f>RATE(2,0,-C441,C444)</f>
        <v>-0.38626083764424618</v>
      </c>
      <c r="D445" s="37">
        <f>RATE(2,0,-D441,D444)</f>
        <v>-0.31682801467497818</v>
      </c>
      <c r="E445" s="37"/>
      <c r="F445" s="37"/>
      <c r="G445" s="150"/>
      <c r="H445" s="150"/>
      <c r="I445" s="150"/>
    </row>
    <row r="446" spans="1:9" x14ac:dyDescent="0.25">
      <c r="A446" s="1" t="s">
        <v>512</v>
      </c>
      <c r="B446" s="37">
        <f>B445+$I$404</f>
        <v>-0.41114249571179662</v>
      </c>
      <c r="C446" s="37">
        <f>C445+$I$404</f>
        <v>-0.33573642000360354</v>
      </c>
      <c r="D446" s="37">
        <f>D445+$I$404</f>
        <v>-0.26630359703433554</v>
      </c>
      <c r="E446" s="37"/>
      <c r="F446" s="37"/>
      <c r="G446" s="149"/>
      <c r="H446" s="149"/>
      <c r="I446" s="149"/>
    </row>
    <row r="447" spans="1:9" x14ac:dyDescent="0.25">
      <c r="B447" s="37"/>
      <c r="C447" s="37"/>
      <c r="D447" s="37"/>
      <c r="E447" s="37"/>
      <c r="F447" s="37"/>
      <c r="G447" s="125"/>
      <c r="H447" s="125"/>
      <c r="I447" s="125"/>
    </row>
    <row r="448" spans="1:9" x14ac:dyDescent="0.25">
      <c r="A448" s="117" t="s">
        <v>515</v>
      </c>
      <c r="B448" s="37"/>
      <c r="C448" s="37"/>
      <c r="D448" s="37"/>
      <c r="E448" s="37"/>
      <c r="F448" s="37"/>
      <c r="G448" s="37"/>
    </row>
    <row r="449" spans="1:8" x14ac:dyDescent="0.25">
      <c r="A449" s="2" t="e" vm="1">
        <v>#VALUE!</v>
      </c>
      <c r="C449" s="125" cm="1">
        <f t="array" ref="C449">_FV(A449,"Price")</f>
        <v>35.85</v>
      </c>
      <c r="D449" s="37"/>
      <c r="E449" s="37"/>
      <c r="F449" s="37"/>
      <c r="G449" s="37"/>
    </row>
    <row r="450" spans="1:8" x14ac:dyDescent="0.25">
      <c r="A450" s="53"/>
      <c r="B450" s="37"/>
      <c r="C450" s="37"/>
      <c r="D450" s="37"/>
      <c r="E450" s="37"/>
      <c r="F450" s="37"/>
      <c r="G450" s="37"/>
    </row>
    <row r="451" spans="1:8" x14ac:dyDescent="0.25">
      <c r="A451" s="1" t="s">
        <v>513</v>
      </c>
      <c r="B451" s="126" t="s">
        <v>516</v>
      </c>
      <c r="C451" s="126" t="s">
        <v>516</v>
      </c>
      <c r="D451" s="126" t="s">
        <v>516</v>
      </c>
      <c r="E451" s="37"/>
      <c r="F451" s="37"/>
      <c r="G451" s="37"/>
    </row>
    <row r="452" spans="1:8" x14ac:dyDescent="0.25">
      <c r="A452" s="53"/>
      <c r="B452" s="37"/>
      <c r="C452" s="37"/>
      <c r="D452" s="37"/>
      <c r="E452" s="37"/>
      <c r="F452" s="37"/>
      <c r="G452" s="37"/>
    </row>
    <row r="453" spans="1:8" s="15" customFormat="1" x14ac:dyDescent="0.25">
      <c r="A453" s="15" t="str">
        <f>+A1</f>
        <v>Kraft Heinz Company</v>
      </c>
      <c r="B453" s="15" t="str">
        <f>+B1</f>
        <v>Recurring</v>
      </c>
    </row>
    <row r="454" spans="1:8" s="15" customFormat="1" x14ac:dyDescent="0.25">
      <c r="A454" s="15" t="s">
        <v>106</v>
      </c>
    </row>
    <row r="455" spans="1:8" s="15" customFormat="1" x14ac:dyDescent="0.25">
      <c r="A455" s="15" t="str">
        <f>+A3</f>
        <v>in millions except per share data</v>
      </c>
      <c r="F455" s="15" t="s">
        <v>150</v>
      </c>
      <c r="G455" s="16" t="s">
        <v>125</v>
      </c>
      <c r="H455" s="16"/>
    </row>
    <row r="456" spans="1:8" s="15" customFormat="1" ht="15.75" thickBot="1" x14ac:dyDescent="0.3">
      <c r="A456" s="16" t="str">
        <f>+A4</f>
        <v>Year ended near 12/31:</v>
      </c>
      <c r="B456" s="17">
        <v>2022</v>
      </c>
      <c r="C456" s="17">
        <v>2021</v>
      </c>
      <c r="D456" s="17">
        <v>2020</v>
      </c>
      <c r="E456" s="17">
        <v>2019</v>
      </c>
      <c r="F456" s="17">
        <v>2018</v>
      </c>
      <c r="G456" s="17">
        <v>2017</v>
      </c>
      <c r="H456" s="22"/>
    </row>
    <row r="457" spans="1:8" s="23" customFormat="1" x14ac:dyDescent="0.25">
      <c r="A457" s="23" t="s">
        <v>122</v>
      </c>
      <c r="B457" s="26">
        <v>945</v>
      </c>
      <c r="C457" s="26">
        <v>1039</v>
      </c>
      <c r="D457" s="26">
        <v>1070</v>
      </c>
      <c r="E457" s="26">
        <v>1100</v>
      </c>
      <c r="F457" s="26">
        <v>1140</v>
      </c>
      <c r="G457" s="26">
        <v>1115</v>
      </c>
      <c r="H457" s="26"/>
    </row>
    <row r="458" spans="1:8" s="23" customFormat="1" x14ac:dyDescent="0.25">
      <c r="A458" s="23" t="s">
        <v>123</v>
      </c>
      <c r="B458" s="25">
        <v>127</v>
      </c>
      <c r="C458" s="25">
        <v>140</v>
      </c>
      <c r="D458" s="25">
        <v>119</v>
      </c>
      <c r="E458" s="25">
        <v>112</v>
      </c>
      <c r="F458" s="25">
        <v>109</v>
      </c>
      <c r="G458" s="25">
        <v>93</v>
      </c>
      <c r="H458" s="25"/>
    </row>
    <row r="459" spans="1:8" s="23" customFormat="1" x14ac:dyDescent="0.25">
      <c r="B459" s="24"/>
      <c r="C459" s="24"/>
      <c r="D459" s="24"/>
      <c r="E459" s="24"/>
      <c r="F459" s="24"/>
      <c r="G459" s="24"/>
      <c r="H459" s="24"/>
    </row>
    <row r="460" spans="1:8" x14ac:dyDescent="0.25">
      <c r="A460" s="2" t="s">
        <v>108</v>
      </c>
      <c r="B460" s="8">
        <v>200</v>
      </c>
      <c r="C460" s="8">
        <v>207</v>
      </c>
      <c r="D460" s="8">
        <v>219</v>
      </c>
      <c r="E460" s="8">
        <v>210</v>
      </c>
      <c r="F460" s="8">
        <v>218</v>
      </c>
      <c r="G460" s="8">
        <v>250</v>
      </c>
      <c r="H460" s="8"/>
    </row>
    <row r="461" spans="1:8" x14ac:dyDescent="0.25">
      <c r="A461" s="2" t="s">
        <v>109</v>
      </c>
      <c r="B461" s="2">
        <v>1161</v>
      </c>
      <c r="C461" s="2">
        <v>1002</v>
      </c>
      <c r="D461" s="2">
        <v>792</v>
      </c>
      <c r="E461" s="2">
        <v>1033</v>
      </c>
      <c r="F461" s="2">
        <v>1165</v>
      </c>
      <c r="G461" s="2">
        <v>1345</v>
      </c>
    </row>
    <row r="462" spans="1:8" x14ac:dyDescent="0.25">
      <c r="A462" s="2" t="s">
        <v>110</v>
      </c>
      <c r="B462" s="2">
        <f>+B463-B461-B460</f>
        <v>9591</v>
      </c>
      <c r="C462" s="2">
        <f t="shared" ref="C462:G462" si="266">+C463-C461-C460</f>
        <v>9465</v>
      </c>
      <c r="D462" s="2">
        <f t="shared" si="266"/>
        <v>2552</v>
      </c>
      <c r="E462" s="2">
        <f t="shared" si="266"/>
        <v>8999</v>
      </c>
      <c r="F462" s="2">
        <f t="shared" si="266"/>
        <v>8279</v>
      </c>
      <c r="G462" s="2">
        <f t="shared" si="266"/>
        <v>7555</v>
      </c>
    </row>
    <row r="463" spans="1:8" x14ac:dyDescent="0.25">
      <c r="A463" s="2" t="s">
        <v>111</v>
      </c>
      <c r="B463" s="6">
        <f>+B465-B464</f>
        <v>10952</v>
      </c>
      <c r="C463" s="6">
        <f t="shared" ref="C463:G463" si="267">+C465-C464</f>
        <v>10674</v>
      </c>
      <c r="D463" s="6">
        <f t="shared" si="267"/>
        <v>3563</v>
      </c>
      <c r="E463" s="6">
        <f t="shared" si="267"/>
        <v>10242</v>
      </c>
      <c r="F463" s="6">
        <f t="shared" si="267"/>
        <v>9662</v>
      </c>
      <c r="G463" s="6">
        <f t="shared" si="267"/>
        <v>9150</v>
      </c>
      <c r="H463" s="34"/>
    </row>
    <row r="464" spans="1:8" x14ac:dyDescent="0.25">
      <c r="A464" s="2" t="s">
        <v>112</v>
      </c>
      <c r="B464" s="2">
        <v>-4212</v>
      </c>
      <c r="C464" s="2">
        <v>-3868</v>
      </c>
      <c r="D464" s="2">
        <v>-3563</v>
      </c>
      <c r="E464" s="2">
        <v>-3187</v>
      </c>
      <c r="F464" s="2">
        <v>-2584</v>
      </c>
      <c r="G464" s="2">
        <v>-2089</v>
      </c>
    </row>
    <row r="465" spans="1:24" ht="15.75" thickBot="1" x14ac:dyDescent="0.3">
      <c r="A465" s="2" t="s">
        <v>113</v>
      </c>
      <c r="B465" s="9">
        <f t="shared" ref="B465:G465" si="268">+B17</f>
        <v>6740</v>
      </c>
      <c r="C465" s="9">
        <f t="shared" si="268"/>
        <v>6806</v>
      </c>
      <c r="D465" s="9"/>
      <c r="E465" s="9">
        <f t="shared" si="268"/>
        <v>7055</v>
      </c>
      <c r="F465" s="9">
        <f t="shared" si="268"/>
        <v>7078</v>
      </c>
      <c r="G465" s="9">
        <f t="shared" si="268"/>
        <v>7061</v>
      </c>
      <c r="H465" s="36"/>
    </row>
    <row r="466" spans="1:24" ht="15.75" thickTop="1" x14ac:dyDescent="0.25"/>
    <row r="467" spans="1:24" x14ac:dyDescent="0.25">
      <c r="A467" s="2" t="s">
        <v>114</v>
      </c>
      <c r="B467" s="8">
        <v>672</v>
      </c>
      <c r="C467" s="8">
        <v>671</v>
      </c>
      <c r="D467" s="8">
        <v>705</v>
      </c>
      <c r="E467" s="8">
        <v>708</v>
      </c>
      <c r="F467" s="8">
        <v>693</v>
      </c>
      <c r="G467" s="8">
        <v>680</v>
      </c>
      <c r="H467" s="8"/>
    </row>
    <row r="469" spans="1:24" x14ac:dyDescent="0.25">
      <c r="A469" s="2" t="s">
        <v>115</v>
      </c>
      <c r="B469" s="8">
        <v>668</v>
      </c>
      <c r="C469" s="8">
        <v>569</v>
      </c>
      <c r="D469" s="8">
        <v>562</v>
      </c>
      <c r="E469" s="8">
        <v>542</v>
      </c>
      <c r="F469" s="8">
        <v>0</v>
      </c>
      <c r="G469" s="8">
        <v>0</v>
      </c>
      <c r="H469" s="8"/>
    </row>
    <row r="470" spans="1:24" x14ac:dyDescent="0.25">
      <c r="A470" s="2" t="s">
        <v>116</v>
      </c>
      <c r="B470" s="2">
        <v>125</v>
      </c>
      <c r="C470" s="2">
        <v>133</v>
      </c>
      <c r="D470" s="2">
        <v>135</v>
      </c>
      <c r="E470" s="2">
        <v>147</v>
      </c>
      <c r="F470" s="2">
        <v>0</v>
      </c>
      <c r="G470" s="2">
        <v>0</v>
      </c>
    </row>
    <row r="471" spans="1:24" x14ac:dyDescent="0.25">
      <c r="A471" s="2" t="s">
        <v>117</v>
      </c>
      <c r="B471" s="8">
        <v>585</v>
      </c>
      <c r="C471" s="8">
        <v>484</v>
      </c>
      <c r="D471" s="8">
        <v>475</v>
      </c>
      <c r="E471" s="8">
        <v>454</v>
      </c>
      <c r="F471" s="8">
        <v>0</v>
      </c>
      <c r="G471" s="8">
        <v>0</v>
      </c>
      <c r="H471" s="8"/>
    </row>
    <row r="473" spans="1:24" s="13" customFormat="1" x14ac:dyDescent="0.25">
      <c r="A473" s="13" t="str">
        <f>+A1</f>
        <v>Kraft Heinz Company</v>
      </c>
      <c r="B473" s="15" t="str">
        <f>+B1</f>
        <v>Recurring</v>
      </c>
      <c r="C473" s="15"/>
      <c r="D473" s="15"/>
      <c r="E473" s="15"/>
      <c r="F473" s="15"/>
      <c r="G473" s="15"/>
      <c r="H473" s="15"/>
    </row>
    <row r="474" spans="1:24" s="13" customFormat="1" x14ac:dyDescent="0.25">
      <c r="A474" s="13" t="s">
        <v>146</v>
      </c>
      <c r="B474" s="15"/>
      <c r="C474" s="15"/>
      <c r="D474" s="15"/>
      <c r="E474" s="15"/>
      <c r="F474" s="15"/>
      <c r="G474" s="15"/>
      <c r="H474" s="15"/>
    </row>
    <row r="475" spans="1:24" s="13" customFormat="1" x14ac:dyDescent="0.25">
      <c r="A475" s="13" t="str">
        <f>+A3</f>
        <v>in millions except per share data</v>
      </c>
      <c r="B475" s="15"/>
      <c r="C475" s="15"/>
      <c r="D475" s="15"/>
      <c r="E475" s="15"/>
      <c r="F475" s="15" t="s">
        <v>150</v>
      </c>
      <c r="G475" s="16" t="s">
        <v>125</v>
      </c>
      <c r="H475" s="16"/>
    </row>
    <row r="476" spans="1:24" s="13" customFormat="1" ht="15.75" thickBot="1" x14ac:dyDescent="0.3">
      <c r="A476" s="14" t="str">
        <f>+A4</f>
        <v>Year ended near 12/31:</v>
      </c>
      <c r="B476" s="17">
        <v>2022</v>
      </c>
      <c r="C476" s="17">
        <v>2021</v>
      </c>
      <c r="D476" s="17">
        <v>2020</v>
      </c>
      <c r="E476" s="17">
        <v>2019</v>
      </c>
      <c r="F476" s="17">
        <v>2018</v>
      </c>
      <c r="G476" s="17">
        <v>2017</v>
      </c>
      <c r="H476" s="22"/>
    </row>
    <row r="477" spans="1:24" x14ac:dyDescent="0.25">
      <c r="A477" s="5" t="s">
        <v>124</v>
      </c>
      <c r="B477" s="8">
        <v>0</v>
      </c>
      <c r="C477" s="8">
        <v>0</v>
      </c>
      <c r="D477" s="8">
        <v>0</v>
      </c>
      <c r="E477" s="8">
        <v>0</v>
      </c>
      <c r="F477" s="8">
        <v>152</v>
      </c>
      <c r="G477" s="8">
        <v>538</v>
      </c>
      <c r="H477" s="8"/>
      <c r="J477" s="28">
        <f t="shared" ref="J477:O480" si="269">+B477/B$21</f>
        <v>0</v>
      </c>
      <c r="K477" s="28">
        <f t="shared" si="269"/>
        <v>0</v>
      </c>
      <c r="L477" s="28">
        <f t="shared" si="269"/>
        <v>0</v>
      </c>
      <c r="M477" s="28">
        <f t="shared" si="269"/>
        <v>0</v>
      </c>
      <c r="N477" s="28">
        <f t="shared" si="269"/>
        <v>1.4691526275601434E-3</v>
      </c>
      <c r="O477" s="28">
        <f t="shared" si="269"/>
        <v>4.4798987442960401E-3</v>
      </c>
      <c r="P477" s="28"/>
      <c r="R477" s="28">
        <f>RATE(5,0,-G477,B477)</f>
        <v>-0.99999940914518248</v>
      </c>
      <c r="S477" s="28" t="e">
        <f t="shared" ref="S477:S480" si="270">AVERAGE(T477:X477)</f>
        <v>#DIV/0!</v>
      </c>
      <c r="T477" s="28" t="e">
        <f t="shared" ref="T477:X480" si="271">(+B477-C477)/C477</f>
        <v>#DIV/0!</v>
      </c>
      <c r="U477" s="28" t="e">
        <f t="shared" si="271"/>
        <v>#DIV/0!</v>
      </c>
      <c r="V477" s="28" t="e">
        <f t="shared" si="271"/>
        <v>#DIV/0!</v>
      </c>
      <c r="W477" s="28">
        <f t="shared" si="271"/>
        <v>-1</v>
      </c>
      <c r="X477" s="28">
        <f t="shared" si="271"/>
        <v>-0.71747211895910779</v>
      </c>
    </row>
    <row r="478" spans="1:24" x14ac:dyDescent="0.25">
      <c r="A478" s="5" t="s">
        <v>9</v>
      </c>
      <c r="B478" s="2">
        <v>240</v>
      </c>
      <c r="C478" s="2">
        <v>136</v>
      </c>
      <c r="D478" s="2">
        <v>351</v>
      </c>
      <c r="E478" s="2">
        <v>384</v>
      </c>
      <c r="F478" s="2">
        <v>400</v>
      </c>
      <c r="G478" s="2">
        <v>345</v>
      </c>
      <c r="J478" s="28">
        <f t="shared" si="269"/>
        <v>2.6515528156176461E-3</v>
      </c>
      <c r="K478" s="28">
        <f t="shared" si="269"/>
        <v>1.4561963295286636E-3</v>
      </c>
      <c r="L478" s="28">
        <f t="shared" si="269"/>
        <v>3.5159771611739956E-3</v>
      </c>
      <c r="M478" s="28">
        <f t="shared" si="269"/>
        <v>3.7851158206012813E-3</v>
      </c>
      <c r="N478" s="28">
        <f t="shared" si="269"/>
        <v>3.8661911251582724E-3</v>
      </c>
      <c r="O478" s="28">
        <f t="shared" si="269"/>
        <v>2.8727975218998769E-3</v>
      </c>
      <c r="P478" s="28"/>
      <c r="R478" s="28">
        <f>RATE(5,0,-G478,B478)</f>
        <v>-7.0009677432707695E-2</v>
      </c>
      <c r="S478" s="28">
        <f t="shared" si="270"/>
        <v>3.7130611934480209E-2</v>
      </c>
      <c r="T478" s="28">
        <f t="shared" si="271"/>
        <v>0.76470588235294112</v>
      </c>
      <c r="U478" s="28">
        <f t="shared" si="271"/>
        <v>-0.61253561253561251</v>
      </c>
      <c r="V478" s="28">
        <f t="shared" si="271"/>
        <v>-8.59375E-2</v>
      </c>
      <c r="W478" s="28">
        <f t="shared" si="271"/>
        <v>-0.04</v>
      </c>
      <c r="X478" s="28">
        <f t="shared" si="271"/>
        <v>0.15942028985507245</v>
      </c>
    </row>
    <row r="479" spans="1:24" x14ac:dyDescent="0.25">
      <c r="A479" s="5" t="s">
        <v>10</v>
      </c>
      <c r="B479" s="2">
        <v>842</v>
      </c>
      <c r="C479" s="2">
        <v>716</v>
      </c>
      <c r="D479" s="2">
        <v>574</v>
      </c>
      <c r="E479" s="2">
        <v>618</v>
      </c>
      <c r="F479" s="2">
        <v>1221</v>
      </c>
      <c r="G479" s="2">
        <v>655</v>
      </c>
      <c r="J479" s="28">
        <f t="shared" si="269"/>
        <v>9.3025311281252424E-3</v>
      </c>
      <c r="K479" s="28">
        <f t="shared" si="269"/>
        <v>7.6664453819303164E-3</v>
      </c>
      <c r="L479" s="28">
        <f t="shared" si="269"/>
        <v>5.7497746168486425E-3</v>
      </c>
      <c r="M479" s="28">
        <f t="shared" si="269"/>
        <v>6.091670773780187E-3</v>
      </c>
      <c r="N479" s="28">
        <f t="shared" si="269"/>
        <v>1.1801548409545625E-2</v>
      </c>
      <c r="O479" s="28">
        <f t="shared" si="269"/>
        <v>5.4541518169403461E-3</v>
      </c>
      <c r="P479" s="28"/>
      <c r="R479" s="28">
        <f>RATE(5,0,-G479,B479)</f>
        <v>5.1511818464607374E-2</v>
      </c>
      <c r="S479" s="28">
        <f t="shared" si="270"/>
        <v>0.1444863291514033</v>
      </c>
      <c r="T479" s="28">
        <f t="shared" si="271"/>
        <v>0.17597765363128492</v>
      </c>
      <c r="U479" s="28">
        <f t="shared" si="271"/>
        <v>0.24738675958188153</v>
      </c>
      <c r="V479" s="28">
        <f t="shared" si="271"/>
        <v>-7.1197411003236247E-2</v>
      </c>
      <c r="W479" s="28">
        <f t="shared" si="271"/>
        <v>-0.49385749385749383</v>
      </c>
      <c r="X479" s="28">
        <f t="shared" si="271"/>
        <v>0.8641221374045801</v>
      </c>
    </row>
    <row r="480" spans="1:24" x14ac:dyDescent="0.25">
      <c r="A480" s="5" t="s">
        <v>11</v>
      </c>
      <c r="B480" s="2">
        <v>4</v>
      </c>
      <c r="C480" s="2">
        <v>11</v>
      </c>
      <c r="D480" s="2">
        <v>1863</v>
      </c>
      <c r="E480" s="2">
        <v>122</v>
      </c>
      <c r="F480" s="2">
        <v>1376</v>
      </c>
      <c r="G480" s="2">
        <v>353</v>
      </c>
      <c r="J480" s="30">
        <f t="shared" si="269"/>
        <v>4.4192546926960765E-5</v>
      </c>
      <c r="K480" s="30">
        <f t="shared" si="269"/>
        <v>1.1778058547658308E-4</v>
      </c>
      <c r="L480" s="30">
        <f t="shared" si="269"/>
        <v>1.8661724932385056E-2</v>
      </c>
      <c r="M480" s="30">
        <f t="shared" si="269"/>
        <v>1.2025628388368655E-3</v>
      </c>
      <c r="N480" s="30">
        <f t="shared" si="269"/>
        <v>1.3299697470544457E-2</v>
      </c>
      <c r="O480" s="30">
        <f t="shared" si="269"/>
        <v>2.9394131166105984E-3</v>
      </c>
      <c r="P480" s="30"/>
      <c r="Q480" s="31"/>
      <c r="R480" s="30">
        <f>RATE(5,0,-G480,B480)</f>
        <v>-0.59181498497391294</v>
      </c>
      <c r="S480" s="30">
        <f t="shared" si="270"/>
        <v>2.9253424819919362</v>
      </c>
      <c r="T480" s="30">
        <f t="shared" si="271"/>
        <v>-0.63636363636363635</v>
      </c>
      <c r="U480" s="30">
        <f t="shared" si="271"/>
        <v>-0.99409554482018248</v>
      </c>
      <c r="V480" s="30">
        <f t="shared" si="271"/>
        <v>14.270491803278688</v>
      </c>
      <c r="W480" s="30">
        <f t="shared" si="271"/>
        <v>-0.91133720930232553</v>
      </c>
      <c r="X480" s="30">
        <f t="shared" si="271"/>
        <v>2.8980169971671388</v>
      </c>
    </row>
    <row r="481" spans="1:24" ht="15.75" thickBot="1" x14ac:dyDescent="0.3">
      <c r="A481" s="2" t="s">
        <v>10</v>
      </c>
      <c r="B481" s="9">
        <f>SUM(B477:B480)</f>
        <v>1086</v>
      </c>
      <c r="C481" s="9">
        <f t="shared" ref="C481:G481" si="272">SUM(C477:C480)</f>
        <v>863</v>
      </c>
      <c r="D481" s="9">
        <f t="shared" si="272"/>
        <v>2788</v>
      </c>
      <c r="E481" s="9">
        <f t="shared" si="272"/>
        <v>1124</v>
      </c>
      <c r="F481" s="9">
        <f t="shared" si="272"/>
        <v>3149</v>
      </c>
      <c r="G481" s="9">
        <f t="shared" si="272"/>
        <v>1891</v>
      </c>
      <c r="H481" s="36"/>
    </row>
    <row r="482" spans="1:24" ht="15.75" thickTop="1" x14ac:dyDescent="0.25"/>
    <row r="483" spans="1:24" x14ac:dyDescent="0.25">
      <c r="A483" s="5" t="s">
        <v>14</v>
      </c>
      <c r="B483" s="8">
        <v>30833</v>
      </c>
      <c r="C483" s="8">
        <v>31296</v>
      </c>
      <c r="D483" s="8">
        <v>33089</v>
      </c>
      <c r="E483" s="8">
        <v>35546</v>
      </c>
      <c r="F483" s="8">
        <v>36503</v>
      </c>
      <c r="G483" s="8">
        <v>44825</v>
      </c>
      <c r="H483" s="8"/>
      <c r="J483" s="28">
        <f t="shared" ref="J483:O484" si="273">+B483/B$21</f>
        <v>0.34064719984974534</v>
      </c>
      <c r="K483" s="28">
        <f t="shared" si="273"/>
        <v>0.33509647300683126</v>
      </c>
      <c r="L483" s="28">
        <f t="shared" si="273"/>
        <v>0.3314534709005309</v>
      </c>
      <c r="M483" s="28">
        <f t="shared" si="273"/>
        <v>0.35037949728930506</v>
      </c>
      <c r="N483" s="28">
        <f t="shared" si="273"/>
        <v>0.35281893660413105</v>
      </c>
      <c r="O483" s="28">
        <f t="shared" si="273"/>
        <v>0.37325550411351299</v>
      </c>
      <c r="P483" s="28"/>
      <c r="R483" s="28">
        <f>RATE(5,0,-G483,B483)</f>
        <v>-7.2104439321893851E-2</v>
      </c>
      <c r="S483" s="28">
        <f t="shared" ref="S483:S484" si="274">AVERAGE(T483:X483)</f>
        <v>-6.999509320131285E-2</v>
      </c>
      <c r="T483" s="28">
        <f t="shared" ref="T483:X484" si="275">(+B483-C483)/C483</f>
        <v>-1.4794222903885481E-2</v>
      </c>
      <c r="U483" s="28">
        <f t="shared" si="275"/>
        <v>-5.4187192118226604E-2</v>
      </c>
      <c r="V483" s="28">
        <f t="shared" si="275"/>
        <v>-6.9121701457266635E-2</v>
      </c>
      <c r="W483" s="28">
        <f t="shared" si="275"/>
        <v>-2.6217023258362327E-2</v>
      </c>
      <c r="X483" s="28">
        <f t="shared" si="275"/>
        <v>-0.1856553262688232</v>
      </c>
    </row>
    <row r="484" spans="1:24" x14ac:dyDescent="0.25">
      <c r="A484" s="5" t="s">
        <v>15</v>
      </c>
      <c r="B484" s="2">
        <v>42649</v>
      </c>
      <c r="C484" s="2">
        <v>43542</v>
      </c>
      <c r="D484" s="2">
        <v>46667</v>
      </c>
      <c r="E484" s="2">
        <v>48652</v>
      </c>
      <c r="F484" s="2">
        <v>49468</v>
      </c>
      <c r="G484" s="2">
        <v>59432</v>
      </c>
      <c r="J484" s="28">
        <f t="shared" si="273"/>
        <v>0.47119198347198743</v>
      </c>
      <c r="K484" s="28">
        <f t="shared" si="273"/>
        <v>0.46621838662012549</v>
      </c>
      <c r="L484" s="28">
        <f t="shared" si="273"/>
        <v>0.46746468997295404</v>
      </c>
      <c r="M484" s="28">
        <f t="shared" si="273"/>
        <v>0.4795662888122228</v>
      </c>
      <c r="N484" s="28">
        <f t="shared" si="273"/>
        <v>0.47813185644832351</v>
      </c>
      <c r="O484" s="28">
        <f t="shared" si="273"/>
        <v>0.49488725310595211</v>
      </c>
      <c r="P484" s="28"/>
      <c r="R484" s="28">
        <f>RATE(5,0,-G484,B484)</f>
        <v>-6.4211505046658401E-2</v>
      </c>
      <c r="S484" s="28">
        <f t="shared" si="274"/>
        <v>-6.2484401974492662E-2</v>
      </c>
      <c r="T484" s="28">
        <f t="shared" si="275"/>
        <v>-2.050893390289835E-2</v>
      </c>
      <c r="U484" s="28">
        <f t="shared" si="275"/>
        <v>-6.6963807401375711E-2</v>
      </c>
      <c r="V484" s="28">
        <f t="shared" si="275"/>
        <v>-4.0799967113376634E-2</v>
      </c>
      <c r="W484" s="28">
        <f t="shared" si="275"/>
        <v>-1.6495512250343656E-2</v>
      </c>
      <c r="X484" s="28">
        <f t="shared" si="275"/>
        <v>-0.16765378920446897</v>
      </c>
    </row>
    <row r="485" spans="1:24" ht="15.75" thickBot="1" x14ac:dyDescent="0.3">
      <c r="A485" s="2" t="s">
        <v>142</v>
      </c>
      <c r="B485" s="9">
        <f>SUM(B483:B484)</f>
        <v>73482</v>
      </c>
      <c r="C485" s="9">
        <f t="shared" ref="C485:G485" si="276">SUM(C483:C484)</f>
        <v>74838</v>
      </c>
      <c r="D485" s="9">
        <f t="shared" si="276"/>
        <v>79756</v>
      </c>
      <c r="E485" s="9">
        <f t="shared" si="276"/>
        <v>84198</v>
      </c>
      <c r="F485" s="9">
        <f t="shared" si="276"/>
        <v>85971</v>
      </c>
      <c r="G485" s="9">
        <f t="shared" si="276"/>
        <v>104257</v>
      </c>
      <c r="H485" s="36"/>
    </row>
    <row r="486" spans="1:24" ht="15.75" thickTop="1" x14ac:dyDescent="0.25"/>
    <row r="487" spans="1:24" x14ac:dyDescent="0.25">
      <c r="A487" s="5" t="s">
        <v>197</v>
      </c>
      <c r="B487" s="2">
        <v>2394</v>
      </c>
      <c r="C487" s="2">
        <v>2756</v>
      </c>
      <c r="D487" s="2">
        <v>2376</v>
      </c>
      <c r="E487" s="2">
        <v>2100</v>
      </c>
      <c r="F487" s="2">
        <v>1337</v>
      </c>
      <c r="G487" s="2">
        <v>1573</v>
      </c>
    </row>
    <row r="488" spans="1:24" x14ac:dyDescent="0.25">
      <c r="A488" s="5" t="s">
        <v>198</v>
      </c>
      <c r="B488" s="2">
        <f t="shared" ref="B488:G488" si="277">-B469</f>
        <v>-668</v>
      </c>
      <c r="C488" s="2">
        <f t="shared" si="277"/>
        <v>-569</v>
      </c>
      <c r="D488" s="2">
        <f t="shared" si="277"/>
        <v>-562</v>
      </c>
      <c r="E488" s="2">
        <f t="shared" si="277"/>
        <v>-542</v>
      </c>
      <c r="F488" s="2">
        <f t="shared" si="277"/>
        <v>0</v>
      </c>
      <c r="G488" s="2">
        <f t="shared" si="277"/>
        <v>0</v>
      </c>
    </row>
    <row r="489" spans="1:24" ht="15.75" thickBot="1" x14ac:dyDescent="0.3">
      <c r="A489" s="2" t="s">
        <v>199</v>
      </c>
      <c r="B489" s="9">
        <f>SUM(B487:B488)</f>
        <v>1726</v>
      </c>
      <c r="C489" s="9">
        <f t="shared" ref="C489:G489" si="278">SUM(C487:C488)</f>
        <v>2187</v>
      </c>
      <c r="D489" s="9">
        <f t="shared" si="278"/>
        <v>1814</v>
      </c>
      <c r="E489" s="9">
        <f t="shared" si="278"/>
        <v>1558</v>
      </c>
      <c r="F489" s="9">
        <f t="shared" si="278"/>
        <v>1337</v>
      </c>
      <c r="G489" s="9">
        <f t="shared" si="278"/>
        <v>1573</v>
      </c>
    </row>
    <row r="490" spans="1:24" ht="15.75" thickTop="1" x14ac:dyDescent="0.25"/>
    <row r="491" spans="1:24" x14ac:dyDescent="0.25">
      <c r="A491" s="5" t="s">
        <v>19</v>
      </c>
      <c r="B491" s="8">
        <v>6</v>
      </c>
      <c r="C491" s="8">
        <v>14</v>
      </c>
      <c r="D491" s="8">
        <v>6</v>
      </c>
      <c r="E491" s="8">
        <v>6</v>
      </c>
      <c r="F491" s="8">
        <v>21</v>
      </c>
      <c r="G491" s="8">
        <v>462</v>
      </c>
      <c r="H491" s="8"/>
      <c r="J491" s="28">
        <f t="shared" ref="J491:O492" si="279">+B491/B$21</f>
        <v>6.6288820390441154E-5</v>
      </c>
      <c r="K491" s="28">
        <f t="shared" si="279"/>
        <v>1.4990256333383302E-4</v>
      </c>
      <c r="L491" s="28">
        <f t="shared" si="279"/>
        <v>6.0102173695281982E-5</v>
      </c>
      <c r="M491" s="28">
        <f t="shared" si="279"/>
        <v>5.914243469689502E-5</v>
      </c>
      <c r="N491" s="28">
        <f t="shared" si="279"/>
        <v>2.0297503407080928E-4</v>
      </c>
      <c r="O491" s="28">
        <f t="shared" si="279"/>
        <v>3.8470505945441828E-3</v>
      </c>
      <c r="P491" s="28"/>
      <c r="R491" s="28">
        <f>RATE(5,0,-G491,B491)</f>
        <v>-0.58052908347039545</v>
      </c>
      <c r="S491" s="28">
        <f t="shared" ref="S491:S506" si="280">AVERAGE(T491:X491)</f>
        <v>-0.1813852813852814</v>
      </c>
      <c r="T491" s="28">
        <f t="shared" ref="T491:X492" si="281">(+B491-C491)/C491</f>
        <v>-0.5714285714285714</v>
      </c>
      <c r="U491" s="28">
        <f t="shared" si="281"/>
        <v>1.3333333333333333</v>
      </c>
      <c r="V491" s="28">
        <f t="shared" si="281"/>
        <v>0</v>
      </c>
      <c r="W491" s="28">
        <f t="shared" si="281"/>
        <v>-0.7142857142857143</v>
      </c>
      <c r="X491" s="28">
        <f t="shared" si="281"/>
        <v>-0.95454545454545459</v>
      </c>
    </row>
    <row r="492" spans="1:24" x14ac:dyDescent="0.25">
      <c r="A492" s="5" t="s">
        <v>20</v>
      </c>
      <c r="B492" s="2">
        <v>831</v>
      </c>
      <c r="C492" s="2">
        <v>740</v>
      </c>
      <c r="D492" s="2">
        <v>230</v>
      </c>
      <c r="E492" s="2">
        <v>1022</v>
      </c>
      <c r="F492" s="2">
        <v>377</v>
      </c>
      <c r="G492" s="2">
        <v>2733</v>
      </c>
      <c r="J492" s="28">
        <f t="shared" si="279"/>
        <v>9.1810016240760992E-3</v>
      </c>
      <c r="K492" s="28">
        <f t="shared" si="279"/>
        <v>7.9234212047883164E-3</v>
      </c>
      <c r="L492" s="28">
        <f t="shared" si="279"/>
        <v>2.3039166583191427E-3</v>
      </c>
      <c r="M492" s="28">
        <f t="shared" si="279"/>
        <v>1.0073928043371119E-2</v>
      </c>
      <c r="N492" s="28">
        <f t="shared" si="279"/>
        <v>3.6438851354616717E-3</v>
      </c>
      <c r="O492" s="28">
        <f t="shared" si="279"/>
        <v>2.2757552543050327E-2</v>
      </c>
      <c r="P492" s="28"/>
      <c r="R492" s="28">
        <f>RATE(5,0,-G492,B492)</f>
        <v>-0.21188012748640178</v>
      </c>
      <c r="S492" s="28">
        <f t="shared" si="280"/>
        <v>0.48284643684593676</v>
      </c>
      <c r="T492" s="28">
        <f t="shared" si="281"/>
        <v>0.12297297297297298</v>
      </c>
      <c r="U492" s="28">
        <f t="shared" si="281"/>
        <v>2.2173913043478262</v>
      </c>
      <c r="V492" s="28">
        <f t="shared" si="281"/>
        <v>-0.77495107632093929</v>
      </c>
      <c r="W492" s="28">
        <f t="shared" si="281"/>
        <v>1.7108753315649867</v>
      </c>
      <c r="X492" s="28">
        <f t="shared" si="281"/>
        <v>-0.86205634833516287</v>
      </c>
    </row>
    <row r="493" spans="1:24" ht="15.75" thickBot="1" x14ac:dyDescent="0.3">
      <c r="A493" s="12" t="s">
        <v>144</v>
      </c>
      <c r="B493" s="9">
        <f>SUM(B491:B492)</f>
        <v>837</v>
      </c>
      <c r="C493" s="9">
        <f t="shared" ref="C493:G493" si="282">SUM(C491:C492)</f>
        <v>754</v>
      </c>
      <c r="D493" s="9">
        <f t="shared" si="282"/>
        <v>236</v>
      </c>
      <c r="E493" s="9">
        <f t="shared" si="282"/>
        <v>1028</v>
      </c>
      <c r="F493" s="9">
        <f t="shared" si="282"/>
        <v>398</v>
      </c>
      <c r="G493" s="9">
        <f t="shared" si="282"/>
        <v>3195</v>
      </c>
      <c r="H493" s="36"/>
      <c r="J493" s="28"/>
      <c r="K493" s="28"/>
      <c r="L493" s="28"/>
      <c r="M493" s="28"/>
      <c r="N493" s="28"/>
      <c r="O493" s="28"/>
      <c r="P493" s="28"/>
      <c r="R493" s="28"/>
      <c r="S493" s="28"/>
      <c r="T493" s="28"/>
      <c r="U493" s="28"/>
      <c r="V493" s="28"/>
      <c r="W493" s="28"/>
      <c r="X493" s="28"/>
    </row>
    <row r="494" spans="1:24" ht="15.75" thickTop="1" x14ac:dyDescent="0.25">
      <c r="A494" s="5"/>
      <c r="J494" s="28"/>
      <c r="K494" s="28"/>
      <c r="L494" s="28"/>
      <c r="M494" s="28"/>
      <c r="N494" s="28"/>
      <c r="O494" s="28"/>
      <c r="P494" s="28"/>
      <c r="R494" s="28"/>
      <c r="S494" s="28"/>
      <c r="T494" s="28"/>
      <c r="U494" s="28"/>
      <c r="V494" s="28"/>
      <c r="W494" s="28"/>
      <c r="X494" s="28"/>
    </row>
    <row r="495" spans="1:24" x14ac:dyDescent="0.25">
      <c r="A495" s="5" t="s">
        <v>26</v>
      </c>
      <c r="B495" s="8">
        <v>749</v>
      </c>
      <c r="C495" s="8">
        <v>804</v>
      </c>
      <c r="D495" s="8">
        <v>946</v>
      </c>
      <c r="E495" s="8">
        <v>647</v>
      </c>
      <c r="F495" s="8">
        <v>722</v>
      </c>
      <c r="G495" s="8">
        <v>689</v>
      </c>
      <c r="H495" s="8"/>
      <c r="J495" s="28">
        <f t="shared" ref="J495:O499" si="283">+B495/B$21</f>
        <v>8.2750544120734036E-3</v>
      </c>
      <c r="K495" s="28">
        <f t="shared" si="283"/>
        <v>8.6086900657429809E-3</v>
      </c>
      <c r="L495" s="28">
        <f t="shared" si="283"/>
        <v>9.4761093859561246E-3</v>
      </c>
      <c r="M495" s="28">
        <f t="shared" si="283"/>
        <v>6.3775258748151797E-3</v>
      </c>
      <c r="N495" s="28">
        <f t="shared" si="283"/>
        <v>6.9784749809106809E-3</v>
      </c>
      <c r="O495" s="28">
        <f t="shared" si="283"/>
        <v>5.7372680944609133E-3</v>
      </c>
      <c r="P495" s="28"/>
      <c r="R495" s="28">
        <f>RATE(5,0,-G495,B495)</f>
        <v>1.6839759291933765E-2</v>
      </c>
      <c r="S495" s="28">
        <f t="shared" si="280"/>
        <v>3.7527327422520657E-2</v>
      </c>
      <c r="T495" s="28">
        <f t="shared" ref="T495:X499" si="284">(+B495-C495)/C495</f>
        <v>-6.8407960199004969E-2</v>
      </c>
      <c r="U495" s="28">
        <f t="shared" si="284"/>
        <v>-0.15010570824524314</v>
      </c>
      <c r="V495" s="28">
        <f t="shared" si="284"/>
        <v>0.46213292117465227</v>
      </c>
      <c r="W495" s="28">
        <f t="shared" si="284"/>
        <v>-0.1038781163434903</v>
      </c>
      <c r="X495" s="28">
        <f t="shared" si="284"/>
        <v>4.7895500725689405E-2</v>
      </c>
    </row>
    <row r="496" spans="1:24" x14ac:dyDescent="0.25">
      <c r="A496" s="5" t="s">
        <v>22</v>
      </c>
      <c r="B496" s="2">
        <v>264</v>
      </c>
      <c r="C496" s="2">
        <v>268</v>
      </c>
      <c r="D496" s="2">
        <v>358</v>
      </c>
      <c r="E496" s="2">
        <v>384</v>
      </c>
      <c r="F496" s="2">
        <v>408</v>
      </c>
      <c r="G496" s="2">
        <v>419</v>
      </c>
      <c r="J496" s="28">
        <f t="shared" si="283"/>
        <v>2.9167080971794108E-3</v>
      </c>
      <c r="K496" s="28">
        <f t="shared" si="283"/>
        <v>2.8695633552476606E-3</v>
      </c>
      <c r="L496" s="28">
        <f t="shared" si="283"/>
        <v>3.5860963638184914E-3</v>
      </c>
      <c r="M496" s="28">
        <f t="shared" si="283"/>
        <v>3.7851158206012813E-3</v>
      </c>
      <c r="N496" s="28">
        <f t="shared" si="283"/>
        <v>3.9435149476614376E-3</v>
      </c>
      <c r="O496" s="28">
        <f t="shared" si="283"/>
        <v>3.4889917729740531E-3</v>
      </c>
      <c r="P496" s="28"/>
      <c r="R496" s="28">
        <f>RATE(5,0,-G496,B496)</f>
        <v>-8.8245362884069409E-2</v>
      </c>
      <c r="S496" s="28">
        <f t="shared" si="280"/>
        <v>-8.3821373443535047E-2</v>
      </c>
      <c r="T496" s="28">
        <f t="shared" si="284"/>
        <v>-1.4925373134328358E-2</v>
      </c>
      <c r="U496" s="28">
        <f t="shared" si="284"/>
        <v>-0.25139664804469275</v>
      </c>
      <c r="V496" s="28">
        <f t="shared" si="284"/>
        <v>-6.7708333333333329E-2</v>
      </c>
      <c r="W496" s="28">
        <f t="shared" si="284"/>
        <v>-5.8823529411764705E-2</v>
      </c>
      <c r="X496" s="28">
        <f t="shared" si="284"/>
        <v>-2.6252983293556086E-2</v>
      </c>
    </row>
    <row r="497" spans="1:24" x14ac:dyDescent="0.25">
      <c r="A497" s="5" t="s">
        <v>23</v>
      </c>
      <c r="B497" s="2">
        <v>136</v>
      </c>
      <c r="C497" s="2">
        <v>541</v>
      </c>
      <c r="D497" s="2">
        <v>0</v>
      </c>
      <c r="E497" s="2">
        <v>0</v>
      </c>
      <c r="F497" s="2">
        <v>0</v>
      </c>
      <c r="G497" s="2">
        <v>0</v>
      </c>
      <c r="J497" s="28">
        <f t="shared" si="283"/>
        <v>1.5025465955166661E-3</v>
      </c>
      <c r="K497" s="28">
        <f t="shared" si="283"/>
        <v>5.7926633402574038E-3</v>
      </c>
      <c r="L497" s="28">
        <f t="shared" si="283"/>
        <v>0</v>
      </c>
      <c r="M497" s="28">
        <f t="shared" si="283"/>
        <v>0</v>
      </c>
      <c r="N497" s="28">
        <f t="shared" si="283"/>
        <v>0</v>
      </c>
      <c r="O497" s="28">
        <f t="shared" si="283"/>
        <v>0</v>
      </c>
      <c r="P497" s="28"/>
      <c r="R497" s="28" t="e">
        <f>RATE(5,0,-G497,B497)</f>
        <v>#NUM!</v>
      </c>
      <c r="S497" s="28" t="e">
        <f t="shared" si="280"/>
        <v>#DIV/0!</v>
      </c>
      <c r="T497" s="28">
        <f t="shared" si="284"/>
        <v>-0.74861367837338266</v>
      </c>
      <c r="U497" s="28" t="e">
        <f t="shared" si="284"/>
        <v>#DIV/0!</v>
      </c>
      <c r="V497" s="28" t="e">
        <f t="shared" si="284"/>
        <v>#DIV/0!</v>
      </c>
      <c r="W497" s="28" t="e">
        <f t="shared" si="284"/>
        <v>#DIV/0!</v>
      </c>
      <c r="X497" s="28" t="e">
        <f t="shared" si="284"/>
        <v>#DIV/0!</v>
      </c>
    </row>
    <row r="498" spans="1:24" x14ac:dyDescent="0.25">
      <c r="A498" s="5" t="s">
        <v>118</v>
      </c>
      <c r="B498" s="2">
        <v>0</v>
      </c>
      <c r="C498" s="2">
        <v>0</v>
      </c>
      <c r="D498" s="2">
        <v>17</v>
      </c>
      <c r="E498" s="2">
        <v>9</v>
      </c>
      <c r="F498" s="2">
        <v>55</v>
      </c>
      <c r="G498" s="2">
        <v>0</v>
      </c>
      <c r="J498" s="28">
        <f t="shared" si="283"/>
        <v>0</v>
      </c>
      <c r="K498" s="28">
        <f t="shared" si="283"/>
        <v>0</v>
      </c>
      <c r="L498" s="28">
        <f t="shared" si="283"/>
        <v>1.7028949213663226E-4</v>
      </c>
      <c r="M498" s="28">
        <f t="shared" si="283"/>
        <v>8.8713652045342527E-5</v>
      </c>
      <c r="N498" s="28">
        <f t="shared" si="283"/>
        <v>5.3160127970926241E-4</v>
      </c>
      <c r="O498" s="28">
        <f t="shared" si="283"/>
        <v>0</v>
      </c>
      <c r="P498" s="28"/>
      <c r="R498" s="28" t="e">
        <f>RATE(5,0,-G498,B498)</f>
        <v>#NUM!</v>
      </c>
      <c r="S498" s="28" t="e">
        <f t="shared" si="280"/>
        <v>#DIV/0!</v>
      </c>
      <c r="T498" s="28" t="e">
        <f t="shared" si="284"/>
        <v>#DIV/0!</v>
      </c>
      <c r="U498" s="28">
        <f t="shared" si="284"/>
        <v>-1</v>
      </c>
      <c r="V498" s="28">
        <f t="shared" si="284"/>
        <v>0.88888888888888884</v>
      </c>
      <c r="W498" s="28">
        <f t="shared" si="284"/>
        <v>-0.83636363636363631</v>
      </c>
      <c r="X498" s="28" t="e">
        <f t="shared" si="284"/>
        <v>#DIV/0!</v>
      </c>
    </row>
    <row r="499" spans="1:24" x14ac:dyDescent="0.25">
      <c r="A499" s="5" t="s">
        <v>24</v>
      </c>
      <c r="B499" s="34">
        <v>2194</v>
      </c>
      <c r="C499" s="34">
        <v>1944</v>
      </c>
      <c r="D499" s="34">
        <v>2200</v>
      </c>
      <c r="E499" s="34">
        <v>1804</v>
      </c>
      <c r="F499" s="34">
        <v>1767</v>
      </c>
      <c r="G499" s="34">
        <v>1489</v>
      </c>
      <c r="H499" s="34"/>
      <c r="J499" s="30">
        <f t="shared" si="283"/>
        <v>2.4239611989437981E-2</v>
      </c>
      <c r="K499" s="30">
        <f t="shared" si="283"/>
        <v>2.0815041651497956E-2</v>
      </c>
      <c r="L499" s="30">
        <f t="shared" si="283"/>
        <v>2.2037463688270059E-2</v>
      </c>
      <c r="M499" s="30">
        <f t="shared" si="283"/>
        <v>1.7782158698866436E-2</v>
      </c>
      <c r="N499" s="30">
        <f t="shared" si="283"/>
        <v>1.7078899295386668E-2</v>
      </c>
      <c r="O499" s="30">
        <f t="shared" si="283"/>
        <v>1.2398827565533092E-2</v>
      </c>
      <c r="P499" s="30"/>
      <c r="Q499" s="31"/>
      <c r="R499" s="30">
        <f>RATE(5,0,-G499,B499)</f>
        <v>8.0608514301309969E-2</v>
      </c>
      <c r="S499" s="30">
        <f t="shared" si="280"/>
        <v>8.7878262416086469E-2</v>
      </c>
      <c r="T499" s="30">
        <f t="shared" si="284"/>
        <v>0.12860082304526749</v>
      </c>
      <c r="U499" s="30">
        <f t="shared" si="284"/>
        <v>-0.11636363636363636</v>
      </c>
      <c r="V499" s="30">
        <f t="shared" si="284"/>
        <v>0.21951219512195122</v>
      </c>
      <c r="W499" s="30">
        <f t="shared" si="284"/>
        <v>2.0939445387662705E-2</v>
      </c>
      <c r="X499" s="30">
        <f t="shared" si="284"/>
        <v>0.18670248488918736</v>
      </c>
    </row>
    <row r="500" spans="1:24" x14ac:dyDescent="0.25">
      <c r="A500" s="5" t="s">
        <v>201</v>
      </c>
      <c r="B500" s="34">
        <f t="shared" ref="B500:G500" si="285">-B470</f>
        <v>-125</v>
      </c>
      <c r="C500" s="34">
        <f t="shared" si="285"/>
        <v>-133</v>
      </c>
      <c r="D500" s="34">
        <f t="shared" si="285"/>
        <v>-135</v>
      </c>
      <c r="E500" s="34">
        <f t="shared" si="285"/>
        <v>-147</v>
      </c>
      <c r="F500" s="34">
        <f t="shared" si="285"/>
        <v>0</v>
      </c>
      <c r="G500" s="34">
        <f t="shared" si="285"/>
        <v>0</v>
      </c>
      <c r="H500" s="34"/>
      <c r="J500" s="37"/>
      <c r="K500" s="37"/>
      <c r="L500" s="37"/>
      <c r="M500" s="37"/>
      <c r="N500" s="37"/>
      <c r="O500" s="37"/>
      <c r="P500" s="37"/>
      <c r="Q500" s="34"/>
      <c r="R500" s="37"/>
      <c r="S500" s="37"/>
      <c r="T500" s="37"/>
      <c r="U500" s="37"/>
      <c r="V500" s="37"/>
      <c r="W500" s="37"/>
      <c r="X500" s="37"/>
    </row>
    <row r="501" spans="1:24" ht="15.75" thickBot="1" x14ac:dyDescent="0.3">
      <c r="A501" s="2" t="s">
        <v>24</v>
      </c>
      <c r="B501" s="9">
        <f>SUM(B495:B500)</f>
        <v>3218</v>
      </c>
      <c r="C501" s="9">
        <f t="shared" ref="C501:G501" si="286">SUM(C495:C500)</f>
        <v>3424</v>
      </c>
      <c r="D501" s="9">
        <f t="shared" si="286"/>
        <v>3386</v>
      </c>
      <c r="E501" s="9">
        <f t="shared" si="286"/>
        <v>2697</v>
      </c>
      <c r="F501" s="9">
        <f t="shared" si="286"/>
        <v>2952</v>
      </c>
      <c r="G501" s="9">
        <f t="shared" si="286"/>
        <v>2597</v>
      </c>
      <c r="H501" s="36"/>
      <c r="J501" s="28">
        <f>+B501/B$21</f>
        <v>3.5552904002739937E-2</v>
      </c>
      <c r="K501" s="28"/>
      <c r="L501" s="28"/>
      <c r="M501" s="28"/>
      <c r="N501" s="28"/>
      <c r="O501" s="28"/>
      <c r="P501" s="28"/>
      <c r="R501" s="28"/>
      <c r="S501" s="28"/>
      <c r="T501" s="28"/>
      <c r="U501" s="28"/>
      <c r="V501" s="28"/>
      <c r="W501" s="28"/>
      <c r="X501" s="28"/>
    </row>
    <row r="502" spans="1:24" ht="15.75" thickTop="1" x14ac:dyDescent="0.25">
      <c r="B502" s="34"/>
      <c r="C502" s="34"/>
      <c r="D502" s="34"/>
      <c r="E502" s="34"/>
      <c r="F502" s="34"/>
      <c r="G502" s="34"/>
      <c r="H502" s="34"/>
      <c r="J502" s="28"/>
      <c r="K502" s="28"/>
      <c r="L502" s="28"/>
      <c r="M502" s="28"/>
      <c r="N502" s="28"/>
      <c r="O502" s="28"/>
      <c r="P502" s="28"/>
      <c r="R502" s="28"/>
      <c r="S502" s="28"/>
      <c r="T502" s="28"/>
      <c r="U502" s="28"/>
      <c r="V502" s="28"/>
      <c r="W502" s="28"/>
      <c r="X502" s="28"/>
    </row>
    <row r="503" spans="1:24" x14ac:dyDescent="0.25">
      <c r="A503" s="5" t="s">
        <v>28</v>
      </c>
      <c r="B503" s="8">
        <v>10152</v>
      </c>
      <c r="C503" s="8">
        <v>10536</v>
      </c>
      <c r="D503" s="8">
        <v>11462</v>
      </c>
      <c r="E503" s="8">
        <v>11878</v>
      </c>
      <c r="F503" s="8">
        <v>12202</v>
      </c>
      <c r="G503" s="8">
        <v>14039</v>
      </c>
      <c r="H503" s="8"/>
      <c r="J503" s="28">
        <f t="shared" ref="J503:O506" si="287">+B503/B$21</f>
        <v>0.11216068410062643</v>
      </c>
      <c r="K503" s="28">
        <f t="shared" si="287"/>
        <v>0.11281238623466175</v>
      </c>
      <c r="L503" s="28">
        <f t="shared" si="287"/>
        <v>0.11481518581588701</v>
      </c>
      <c r="M503" s="28">
        <f t="shared" si="287"/>
        <v>0.11708230655495318</v>
      </c>
      <c r="N503" s="28">
        <f t="shared" si="287"/>
        <v>0.11793816027295309</v>
      </c>
      <c r="O503" s="28">
        <f t="shared" si="287"/>
        <v>0.11690204176797789</v>
      </c>
      <c r="P503" s="28"/>
      <c r="R503" s="28">
        <f>RATE(5,0,-G503,B503)</f>
        <v>-6.2776678206707098E-2</v>
      </c>
      <c r="S503" s="28">
        <f t="shared" si="280"/>
        <v>-6.1932138628004139E-2</v>
      </c>
      <c r="T503" s="28">
        <f t="shared" ref="T503:X506" si="288">(+B503-C503)/C503</f>
        <v>-3.644646924829157E-2</v>
      </c>
      <c r="U503" s="28">
        <f t="shared" si="288"/>
        <v>-8.0788693072762166E-2</v>
      </c>
      <c r="V503" s="28">
        <f t="shared" si="288"/>
        <v>-3.5022731099511699E-2</v>
      </c>
      <c r="W503" s="28">
        <f t="shared" si="288"/>
        <v>-2.6553024094410752E-2</v>
      </c>
      <c r="X503" s="28">
        <f t="shared" si="288"/>
        <v>-0.13084977562504452</v>
      </c>
    </row>
    <row r="504" spans="1:24" x14ac:dyDescent="0.25">
      <c r="A504" s="5" t="s">
        <v>119</v>
      </c>
      <c r="B504" s="2">
        <v>144</v>
      </c>
      <c r="C504" s="2">
        <v>205</v>
      </c>
      <c r="D504" s="2">
        <v>243</v>
      </c>
      <c r="E504" s="2">
        <v>273</v>
      </c>
      <c r="F504" s="2">
        <v>306</v>
      </c>
      <c r="G504" s="2">
        <v>427</v>
      </c>
      <c r="J504" s="28">
        <f t="shared" si="287"/>
        <v>1.5909316893705876E-3</v>
      </c>
      <c r="K504" s="28">
        <f t="shared" si="287"/>
        <v>2.1950018202454118E-3</v>
      </c>
      <c r="L504" s="28">
        <f t="shared" si="287"/>
        <v>2.43413803465892E-3</v>
      </c>
      <c r="M504" s="28">
        <f t="shared" si="287"/>
        <v>2.6909807787087233E-3</v>
      </c>
      <c r="N504" s="28">
        <f t="shared" si="287"/>
        <v>2.9576362107460782E-3</v>
      </c>
      <c r="O504" s="28">
        <f t="shared" si="287"/>
        <v>3.5556073676847751E-3</v>
      </c>
      <c r="P504" s="28"/>
      <c r="R504" s="28">
        <f>RATE(5,0,-G504,B504)</f>
        <v>-0.19538722547686657</v>
      </c>
      <c r="S504" s="28">
        <f t="shared" si="280"/>
        <v>-0.19100903778347836</v>
      </c>
      <c r="T504" s="28">
        <f t="shared" si="288"/>
        <v>-0.29756097560975608</v>
      </c>
      <c r="U504" s="28">
        <f t="shared" si="288"/>
        <v>-0.15637860082304528</v>
      </c>
      <c r="V504" s="28">
        <f t="shared" si="288"/>
        <v>-0.10989010989010989</v>
      </c>
      <c r="W504" s="28">
        <f t="shared" si="288"/>
        <v>-0.10784313725490197</v>
      </c>
      <c r="X504" s="28">
        <f t="shared" si="288"/>
        <v>-0.28337236533957844</v>
      </c>
    </row>
    <row r="505" spans="1:24" x14ac:dyDescent="0.25">
      <c r="A505" s="5" t="s">
        <v>29</v>
      </c>
      <c r="B505" s="2">
        <v>1477</v>
      </c>
      <c r="C505" s="2">
        <v>1534</v>
      </c>
      <c r="D505" s="2">
        <v>0</v>
      </c>
      <c r="E505" s="2">
        <v>0</v>
      </c>
      <c r="F505" s="2">
        <v>0</v>
      </c>
      <c r="G505" s="2">
        <v>0</v>
      </c>
      <c r="J505" s="28">
        <f t="shared" si="287"/>
        <v>1.6318097952780265E-2</v>
      </c>
      <c r="K505" s="28">
        <f t="shared" si="287"/>
        <v>1.6425038011007132E-2</v>
      </c>
      <c r="L505" s="28">
        <f t="shared" si="287"/>
        <v>0</v>
      </c>
      <c r="M505" s="28">
        <f t="shared" si="287"/>
        <v>0</v>
      </c>
      <c r="N505" s="28">
        <f t="shared" si="287"/>
        <v>0</v>
      </c>
      <c r="O505" s="28">
        <f t="shared" si="287"/>
        <v>0</v>
      </c>
      <c r="P505" s="28"/>
      <c r="R505" s="28" t="e">
        <f>RATE(5,0,-G505,B505)</f>
        <v>#NUM!</v>
      </c>
      <c r="S505" s="28" t="e">
        <f t="shared" si="280"/>
        <v>#DIV/0!</v>
      </c>
      <c r="T505" s="28">
        <f t="shared" si="288"/>
        <v>-3.7157757496740544E-2</v>
      </c>
      <c r="U505" s="28" t="e">
        <f t="shared" si="288"/>
        <v>#DIV/0!</v>
      </c>
      <c r="V505" s="28" t="e">
        <f t="shared" si="288"/>
        <v>#DIV/0!</v>
      </c>
      <c r="W505" s="28" t="e">
        <f t="shared" si="288"/>
        <v>#DIV/0!</v>
      </c>
      <c r="X505" s="28" t="e">
        <f t="shared" si="288"/>
        <v>#DIV/0!</v>
      </c>
    </row>
    <row r="506" spans="1:24" x14ac:dyDescent="0.25">
      <c r="A506" s="5" t="s">
        <v>30</v>
      </c>
      <c r="B506" s="2">
        <v>1609</v>
      </c>
      <c r="C506" s="2">
        <v>1542</v>
      </c>
      <c r="D506" s="2">
        <v>1751</v>
      </c>
      <c r="E506" s="2">
        <v>1459</v>
      </c>
      <c r="F506" s="2">
        <v>902</v>
      </c>
      <c r="G506" s="2">
        <v>1088</v>
      </c>
      <c r="J506" s="30">
        <f t="shared" si="287"/>
        <v>1.7776452001369968E-2</v>
      </c>
      <c r="K506" s="30">
        <f t="shared" si="287"/>
        <v>1.6510696618626464E-2</v>
      </c>
      <c r="L506" s="30">
        <f t="shared" si="287"/>
        <v>1.7539817690073123E-2</v>
      </c>
      <c r="M506" s="30">
        <f t="shared" si="287"/>
        <v>1.4381468703794973E-2</v>
      </c>
      <c r="N506" s="30">
        <f t="shared" si="287"/>
        <v>8.7182609872319041E-3</v>
      </c>
      <c r="O506" s="30">
        <f t="shared" si="287"/>
        <v>9.0597208806581613E-3</v>
      </c>
      <c r="P506" s="30"/>
      <c r="Q506" s="31"/>
      <c r="R506" s="30">
        <f>RATE(5,0,-G506,B506)</f>
        <v>8.1397670613528067E-2</v>
      </c>
      <c r="S506" s="30">
        <f t="shared" si="280"/>
        <v>0.11415750537922809</v>
      </c>
      <c r="T506" s="30">
        <f t="shared" si="288"/>
        <v>4.3450064850843059E-2</v>
      </c>
      <c r="U506" s="30">
        <f t="shared" si="288"/>
        <v>-0.11936036550542548</v>
      </c>
      <c r="V506" s="30">
        <f t="shared" si="288"/>
        <v>0.20013708019191226</v>
      </c>
      <c r="W506" s="30">
        <f t="shared" si="288"/>
        <v>0.6175166297117517</v>
      </c>
      <c r="X506" s="30">
        <f t="shared" si="288"/>
        <v>-0.17095588235294118</v>
      </c>
    </row>
    <row r="507" spans="1:24" x14ac:dyDescent="0.25">
      <c r="A507" s="5" t="s">
        <v>203</v>
      </c>
      <c r="B507" s="2">
        <f t="shared" ref="B507:G507" si="289">-B471</f>
        <v>-585</v>
      </c>
      <c r="C507" s="2">
        <f t="shared" si="289"/>
        <v>-484</v>
      </c>
      <c r="D507" s="2">
        <f t="shared" si="289"/>
        <v>-475</v>
      </c>
      <c r="E507" s="2">
        <f t="shared" si="289"/>
        <v>-454</v>
      </c>
      <c r="F507" s="2">
        <f t="shared" si="289"/>
        <v>0</v>
      </c>
      <c r="G507" s="2">
        <f t="shared" si="289"/>
        <v>0</v>
      </c>
      <c r="J507" s="37"/>
      <c r="K507" s="37"/>
      <c r="L507" s="37"/>
      <c r="M507" s="37"/>
      <c r="N507" s="37"/>
      <c r="O507" s="37"/>
      <c r="P507" s="37"/>
      <c r="Q507" s="34"/>
      <c r="R507" s="37"/>
      <c r="S507" s="37"/>
      <c r="T507" s="37"/>
      <c r="U507" s="37"/>
      <c r="V507" s="37"/>
      <c r="W507" s="37"/>
      <c r="X507" s="37"/>
    </row>
    <row r="508" spans="1:24" ht="15.75" thickBot="1" x14ac:dyDescent="0.3">
      <c r="A508" s="2" t="s">
        <v>145</v>
      </c>
      <c r="B508" s="9">
        <f>SUM(B503:B507)</f>
        <v>12797</v>
      </c>
      <c r="C508" s="9">
        <f t="shared" ref="C508:G508" si="290">SUM(C503:C507)</f>
        <v>13333</v>
      </c>
      <c r="D508" s="9">
        <f t="shared" si="290"/>
        <v>12981</v>
      </c>
      <c r="E508" s="9">
        <f t="shared" si="290"/>
        <v>13156</v>
      </c>
      <c r="F508" s="9">
        <f t="shared" si="290"/>
        <v>13410</v>
      </c>
      <c r="G508" s="9">
        <f t="shared" si="290"/>
        <v>15554</v>
      </c>
      <c r="H508" s="36"/>
    </row>
    <row r="509" spans="1:24" ht="15.75" thickTop="1" x14ac:dyDescent="0.25"/>
    <row r="510" spans="1:24" x14ac:dyDescent="0.25">
      <c r="A510" s="5" t="s">
        <v>33</v>
      </c>
      <c r="B510" s="8">
        <v>12</v>
      </c>
      <c r="C510" s="8">
        <v>12</v>
      </c>
      <c r="D510" s="8">
        <v>12</v>
      </c>
      <c r="E510" s="8">
        <v>12</v>
      </c>
      <c r="F510" s="8">
        <v>12</v>
      </c>
      <c r="G510" s="8">
        <v>12</v>
      </c>
      <c r="H510" s="8"/>
      <c r="J510" s="28">
        <f t="shared" ref="J510:O516" si="291">+B510/B$21</f>
        <v>1.3257764078088231E-4</v>
      </c>
      <c r="K510" s="28">
        <f t="shared" si="291"/>
        <v>1.2848791142899973E-4</v>
      </c>
      <c r="L510" s="28">
        <f t="shared" si="291"/>
        <v>1.2020434739056396E-4</v>
      </c>
      <c r="M510" s="28">
        <f t="shared" si="291"/>
        <v>1.1828486939379004E-4</v>
      </c>
      <c r="N510" s="28">
        <f t="shared" si="291"/>
        <v>1.1598573375474817E-4</v>
      </c>
      <c r="O510" s="28">
        <f t="shared" si="291"/>
        <v>9.9923392066082669E-5</v>
      </c>
      <c r="P510" s="28"/>
      <c r="R510" s="28">
        <f t="shared" ref="R510:R516" si="292">RATE(5,0,-G510,B510)</f>
        <v>1.1505115232739206E-16</v>
      </c>
      <c r="S510" s="28">
        <f t="shared" ref="S510:S516" si="293">AVERAGE(T510:X510)</f>
        <v>0</v>
      </c>
      <c r="T510" s="28">
        <f t="shared" ref="T510:X516" si="294">(+B510-C510)/C510</f>
        <v>0</v>
      </c>
      <c r="U510" s="28">
        <f t="shared" si="294"/>
        <v>0</v>
      </c>
      <c r="V510" s="28">
        <f t="shared" si="294"/>
        <v>0</v>
      </c>
      <c r="W510" s="28">
        <f t="shared" si="294"/>
        <v>0</v>
      </c>
      <c r="X510" s="28">
        <f t="shared" si="294"/>
        <v>0</v>
      </c>
    </row>
    <row r="511" spans="1:24" x14ac:dyDescent="0.25">
      <c r="A511" s="5" t="s">
        <v>34</v>
      </c>
      <c r="B511" s="2">
        <v>51834</v>
      </c>
      <c r="C511" s="2">
        <v>53379</v>
      </c>
      <c r="D511" s="2">
        <v>55096</v>
      </c>
      <c r="E511" s="2">
        <v>56828</v>
      </c>
      <c r="F511" s="2">
        <v>58723</v>
      </c>
      <c r="G511" s="2">
        <v>58634</v>
      </c>
      <c r="J511" s="28">
        <f t="shared" si="291"/>
        <v>0.57266911935302112</v>
      </c>
      <c r="K511" s="28">
        <f t="shared" si="291"/>
        <v>0.57154635201404802</v>
      </c>
      <c r="L511" s="28">
        <f t="shared" si="291"/>
        <v>0.55189822698587598</v>
      </c>
      <c r="M511" s="28">
        <f t="shared" si="291"/>
        <v>0.56015771315919172</v>
      </c>
      <c r="N511" s="28">
        <f t="shared" si="291"/>
        <v>0.56758585360667302</v>
      </c>
      <c r="O511" s="28">
        <f t="shared" si="291"/>
        <v>0.48824234753355761</v>
      </c>
      <c r="P511" s="28"/>
      <c r="R511" s="28">
        <f t="shared" si="292"/>
        <v>-2.4352265709732968E-2</v>
      </c>
      <c r="S511" s="28">
        <f t="shared" si="293"/>
        <v>-2.4267589205706836E-2</v>
      </c>
      <c r="T511" s="28">
        <f t="shared" si="294"/>
        <v>-2.8943966728488733E-2</v>
      </c>
      <c r="U511" s="28">
        <f t="shared" si="294"/>
        <v>-3.1163786844780019E-2</v>
      </c>
      <c r="V511" s="28">
        <f t="shared" si="294"/>
        <v>-3.0477933413106215E-2</v>
      </c>
      <c r="W511" s="28">
        <f t="shared" si="294"/>
        <v>-3.2270149685813057E-2</v>
      </c>
      <c r="X511" s="28">
        <f t="shared" si="294"/>
        <v>1.5178906436538527E-3</v>
      </c>
    </row>
    <row r="512" spans="1:24" x14ac:dyDescent="0.25">
      <c r="A512" s="5" t="s">
        <v>35</v>
      </c>
      <c r="B512" s="2">
        <v>489</v>
      </c>
      <c r="C512" s="2">
        <v>-1682</v>
      </c>
      <c r="D512" s="2">
        <v>-2694</v>
      </c>
      <c r="E512" s="2">
        <v>-3060</v>
      </c>
      <c r="F512" s="2">
        <v>-4853</v>
      </c>
      <c r="G512" s="2">
        <v>8495</v>
      </c>
      <c r="J512" s="28">
        <f t="shared" si="291"/>
        <v>5.4025388618209541E-3</v>
      </c>
      <c r="K512" s="28">
        <f t="shared" si="291"/>
        <v>-1.8009722251964795E-2</v>
      </c>
      <c r="L512" s="28">
        <f t="shared" si="291"/>
        <v>-2.6985875989181608E-2</v>
      </c>
      <c r="M512" s="28">
        <f t="shared" si="291"/>
        <v>-3.0162641695416461E-2</v>
      </c>
      <c r="N512" s="28">
        <f t="shared" si="291"/>
        <v>-4.6906563825982739E-2</v>
      </c>
      <c r="O512" s="28">
        <f t="shared" si="291"/>
        <v>7.0737434633447685E-2</v>
      </c>
      <c r="P512" s="28"/>
      <c r="R512" s="28">
        <f t="shared" si="292"/>
        <v>-0.43502517645517697</v>
      </c>
      <c r="S512" s="28">
        <f t="shared" si="293"/>
        <v>-0.7453444344093002</v>
      </c>
      <c r="T512" s="28">
        <f t="shared" si="294"/>
        <v>-1.2907253269916765</v>
      </c>
      <c r="U512" s="28">
        <f t="shared" si="294"/>
        <v>-0.37564959168522644</v>
      </c>
      <c r="V512" s="28">
        <f t="shared" si="294"/>
        <v>-0.11960784313725491</v>
      </c>
      <c r="W512" s="28">
        <f t="shared" si="294"/>
        <v>-0.36946218833711109</v>
      </c>
      <c r="X512" s="28">
        <f t="shared" si="294"/>
        <v>-1.5712772218952324</v>
      </c>
    </row>
    <row r="513" spans="1:24" x14ac:dyDescent="0.25">
      <c r="A513" s="5" t="s">
        <v>36</v>
      </c>
      <c r="B513" s="2">
        <v>-2810</v>
      </c>
      <c r="C513" s="2">
        <v>-1824</v>
      </c>
      <c r="D513" s="2">
        <v>-1967</v>
      </c>
      <c r="E513" s="2">
        <v>-1886</v>
      </c>
      <c r="F513" s="2">
        <v>-1943</v>
      </c>
      <c r="G513" s="2">
        <v>-1054</v>
      </c>
      <c r="J513" s="28">
        <f t="shared" si="291"/>
        <v>-3.104526421618994E-2</v>
      </c>
      <c r="K513" s="28">
        <f t="shared" si="291"/>
        <v>-1.9530162537207959E-2</v>
      </c>
      <c r="L513" s="28">
        <f t="shared" si="291"/>
        <v>-1.9703495943103274E-2</v>
      </c>
      <c r="M513" s="28">
        <f t="shared" si="291"/>
        <v>-1.8590438639724E-2</v>
      </c>
      <c r="N513" s="28">
        <f t="shared" si="291"/>
        <v>-1.8780023390456306E-2</v>
      </c>
      <c r="O513" s="28">
        <f t="shared" si="291"/>
        <v>-8.776604603137594E-3</v>
      </c>
      <c r="P513" s="28"/>
      <c r="R513" s="28">
        <f t="shared" si="292"/>
        <v>0.21667095873235825</v>
      </c>
      <c r="S513" s="28">
        <f t="shared" si="293"/>
        <v>0.26498722067421782</v>
      </c>
      <c r="T513" s="28">
        <f t="shared" si="294"/>
        <v>0.54057017543859653</v>
      </c>
      <c r="U513" s="28">
        <f t="shared" si="294"/>
        <v>-7.2699542450432128E-2</v>
      </c>
      <c r="V513" s="28">
        <f t="shared" si="294"/>
        <v>4.2948038176033931E-2</v>
      </c>
      <c r="W513" s="28">
        <f t="shared" si="294"/>
        <v>-2.9336078229541946E-2</v>
      </c>
      <c r="X513" s="28">
        <f t="shared" si="294"/>
        <v>0.84345351043643269</v>
      </c>
    </row>
    <row r="514" spans="1:24" x14ac:dyDescent="0.25">
      <c r="A514" s="5" t="s">
        <v>37</v>
      </c>
      <c r="B514" s="2">
        <v>-847</v>
      </c>
      <c r="C514" s="2">
        <v>-587</v>
      </c>
      <c r="D514" s="2">
        <v>-344</v>
      </c>
      <c r="E514" s="2">
        <v>-271</v>
      </c>
      <c r="F514" s="2">
        <v>-282</v>
      </c>
      <c r="G514" s="2">
        <v>-224</v>
      </c>
      <c r="J514" s="28">
        <f t="shared" si="291"/>
        <v>-9.357771811783943E-3</v>
      </c>
      <c r="K514" s="28">
        <f t="shared" si="291"/>
        <v>-6.28520033406857E-3</v>
      </c>
      <c r="L514" s="28">
        <f t="shared" si="291"/>
        <v>-3.4458579585295002E-3</v>
      </c>
      <c r="M514" s="28">
        <f t="shared" si="291"/>
        <v>-2.6712666338097584E-3</v>
      </c>
      <c r="N514" s="28">
        <f t="shared" si="291"/>
        <v>-2.7256647432365817E-3</v>
      </c>
      <c r="O514" s="28">
        <f t="shared" si="291"/>
        <v>-1.8652366519002097E-3</v>
      </c>
      <c r="P514" s="28"/>
      <c r="R514" s="28">
        <f t="shared" si="292"/>
        <v>0.30474931763943724</v>
      </c>
      <c r="S514" s="28">
        <f t="shared" si="293"/>
        <v>0.32772393502322256</v>
      </c>
      <c r="T514" s="28">
        <f t="shared" si="294"/>
        <v>0.44293015332197616</v>
      </c>
      <c r="U514" s="28">
        <f t="shared" si="294"/>
        <v>0.70639534883720934</v>
      </c>
      <c r="V514" s="28">
        <f t="shared" si="294"/>
        <v>0.26937269372693728</v>
      </c>
      <c r="W514" s="28">
        <f t="shared" si="294"/>
        <v>-3.9007092198581561E-2</v>
      </c>
      <c r="X514" s="28">
        <f t="shared" si="294"/>
        <v>0.25892857142857145</v>
      </c>
    </row>
    <row r="515" spans="1:24" x14ac:dyDescent="0.25">
      <c r="A515" s="5" t="s">
        <v>38</v>
      </c>
      <c r="B515" s="2">
        <v>152</v>
      </c>
      <c r="C515" s="2">
        <v>150</v>
      </c>
      <c r="D515" s="2">
        <v>140</v>
      </c>
      <c r="E515" s="2">
        <v>126</v>
      </c>
      <c r="F515" s="2">
        <v>118</v>
      </c>
      <c r="G515" s="2">
        <v>207</v>
      </c>
      <c r="J515" s="30">
        <f t="shared" si="291"/>
        <v>1.6793167832245093E-3</v>
      </c>
      <c r="K515" s="30">
        <f t="shared" si="291"/>
        <v>1.6060988928624964E-3</v>
      </c>
      <c r="L515" s="30">
        <f t="shared" si="291"/>
        <v>1.4023840528899129E-3</v>
      </c>
      <c r="M515" s="30">
        <f t="shared" si="291"/>
        <v>1.2419911286347955E-3</v>
      </c>
      <c r="N515" s="30">
        <f t="shared" si="291"/>
        <v>1.1405263819216902E-3</v>
      </c>
      <c r="O515" s="30">
        <f t="shared" si="291"/>
        <v>1.7236785131399261E-3</v>
      </c>
      <c r="P515" s="30"/>
      <c r="Q515" s="31"/>
      <c r="R515" s="30">
        <f t="shared" si="292"/>
        <v>-5.9898710260960809E-2</v>
      </c>
      <c r="S515" s="30">
        <f t="shared" si="293"/>
        <v>-3.3256412955749735E-2</v>
      </c>
      <c r="T515" s="30">
        <f t="shared" si="294"/>
        <v>1.3333333333333334E-2</v>
      </c>
      <c r="U515" s="30">
        <f t="shared" si="294"/>
        <v>7.1428571428571425E-2</v>
      </c>
      <c r="V515" s="30">
        <f t="shared" si="294"/>
        <v>0.1111111111111111</v>
      </c>
      <c r="W515" s="30">
        <f t="shared" si="294"/>
        <v>6.7796610169491525E-2</v>
      </c>
      <c r="X515" s="30">
        <f t="shared" si="294"/>
        <v>-0.42995169082125606</v>
      </c>
    </row>
    <row r="516" spans="1:24" ht="15.75" thickBot="1" x14ac:dyDescent="0.3">
      <c r="A516" s="2" t="s">
        <v>40</v>
      </c>
      <c r="B516" s="9">
        <f>SUM(B510:B515)</f>
        <v>48830</v>
      </c>
      <c r="C516" s="9">
        <f t="shared" ref="C516:G516" si="295">SUM(C510:C515)</f>
        <v>49448</v>
      </c>
      <c r="D516" s="9">
        <f t="shared" si="295"/>
        <v>50243</v>
      </c>
      <c r="E516" s="9">
        <f t="shared" si="295"/>
        <v>51749</v>
      </c>
      <c r="F516" s="9">
        <f t="shared" si="295"/>
        <v>51775</v>
      </c>
      <c r="G516" s="9">
        <f t="shared" si="295"/>
        <v>66070</v>
      </c>
      <c r="H516" s="36"/>
      <c r="J516" s="28">
        <f t="shared" si="291"/>
        <v>0.53948051661087359</v>
      </c>
      <c r="K516" s="28">
        <f t="shared" si="291"/>
        <v>0.52945585369509818</v>
      </c>
      <c r="L516" s="28">
        <f t="shared" si="291"/>
        <v>0.50328558549534208</v>
      </c>
      <c r="M516" s="28">
        <f t="shared" si="291"/>
        <v>0.51009364218827014</v>
      </c>
      <c r="N516" s="28">
        <f t="shared" si="291"/>
        <v>0.50043011376267388</v>
      </c>
      <c r="O516" s="28">
        <f t="shared" si="291"/>
        <v>0.55016154281717355</v>
      </c>
      <c r="P516" s="28"/>
      <c r="R516" s="28">
        <f t="shared" si="292"/>
        <v>-5.8681739699202047E-2</v>
      </c>
      <c r="S516" s="28">
        <f t="shared" si="293"/>
        <v>-5.4857339349412525E-2</v>
      </c>
      <c r="T516" s="28">
        <f t="shared" si="294"/>
        <v>-1.2497977673515612E-2</v>
      </c>
      <c r="U516" s="28">
        <f t="shared" si="294"/>
        <v>-1.5823099735286509E-2</v>
      </c>
      <c r="V516" s="28">
        <f t="shared" si="294"/>
        <v>-2.9102011633075034E-2</v>
      </c>
      <c r="W516" s="28">
        <f t="shared" si="294"/>
        <v>-5.0217286335103818E-4</v>
      </c>
      <c r="X516" s="28">
        <f t="shared" si="294"/>
        <v>-0.21636143484183443</v>
      </c>
    </row>
    <row r="517" spans="1:24" ht="15.75" thickTop="1" x14ac:dyDescent="0.25"/>
    <row r="518" spans="1:24" x14ac:dyDescent="0.25">
      <c r="A518" s="5" t="s">
        <v>165</v>
      </c>
      <c r="B518" s="8">
        <v>3575</v>
      </c>
      <c r="C518" s="8">
        <v>3588</v>
      </c>
      <c r="D518" s="8">
        <v>3650</v>
      </c>
      <c r="E518" s="8">
        <v>3178</v>
      </c>
      <c r="F518" s="8">
        <v>3190</v>
      </c>
      <c r="G518" s="8">
        <v>2927</v>
      </c>
      <c r="J518" s="28">
        <f t="shared" ref="J518:O521" si="296">+B518/B$60</f>
        <v>0.13796013409018759</v>
      </c>
      <c r="K518" s="28">
        <f t="shared" si="296"/>
        <v>0.13801061620124624</v>
      </c>
      <c r="L518" s="28">
        <f t="shared" si="296"/>
        <v>0.13933956861996563</v>
      </c>
      <c r="M518" s="28">
        <f t="shared" si="296"/>
        <v>0.12320091005852858</v>
      </c>
      <c r="N518" s="28">
        <f t="shared" si="296"/>
        <v>0.12135275991935177</v>
      </c>
      <c r="O518" s="28">
        <f t="shared" si="296"/>
        <v>0.11224881116735695</v>
      </c>
      <c r="P518" s="28"/>
      <c r="R518" s="28">
        <f>RATE(5,0,-G518,B518)</f>
        <v>4.080810314999915E-2</v>
      </c>
      <c r="S518" s="28">
        <f t="shared" ref="S518:S521" si="297">AVERAGE(T518:X518)</f>
        <v>4.2800585816641215E-2</v>
      </c>
      <c r="T518" s="28">
        <f t="shared" ref="T518:X521" si="298">(+B518-C518)/C518</f>
        <v>-3.6231884057971015E-3</v>
      </c>
      <c r="U518" s="28">
        <f t="shared" si="298"/>
        <v>-1.6986301369863014E-2</v>
      </c>
      <c r="V518" s="28">
        <f t="shared" si="298"/>
        <v>0.1485210824417873</v>
      </c>
      <c r="W518" s="28">
        <f t="shared" si="298"/>
        <v>-3.761755485893417E-3</v>
      </c>
      <c r="X518" s="28">
        <f t="shared" si="298"/>
        <v>8.9853091902972332E-2</v>
      </c>
    </row>
    <row r="519" spans="1:24" x14ac:dyDescent="0.25">
      <c r="A519" s="5" t="s">
        <v>166</v>
      </c>
      <c r="B519" s="2">
        <f t="shared" ref="B519:G519" si="299">-B458</f>
        <v>-127</v>
      </c>
      <c r="C519" s="2">
        <f t="shared" si="299"/>
        <v>-140</v>
      </c>
      <c r="D519" s="2">
        <f t="shared" si="299"/>
        <v>-119</v>
      </c>
      <c r="E519" s="2">
        <f t="shared" si="299"/>
        <v>-112</v>
      </c>
      <c r="F519" s="2">
        <f t="shared" si="299"/>
        <v>-109</v>
      </c>
      <c r="G519" s="2">
        <f t="shared" si="299"/>
        <v>-93</v>
      </c>
      <c r="J519" s="28">
        <f t="shared" si="296"/>
        <v>-4.9009614068402305E-3</v>
      </c>
      <c r="K519" s="28">
        <f t="shared" si="296"/>
        <v>-5.3850296176628969E-3</v>
      </c>
      <c r="L519" s="28">
        <f t="shared" si="296"/>
        <v>-4.5428516892536746E-3</v>
      </c>
      <c r="M519" s="28">
        <f t="shared" si="296"/>
        <v>-4.3418822928115797E-3</v>
      </c>
      <c r="N519" s="28">
        <f t="shared" si="296"/>
        <v>-4.146536310723932E-3</v>
      </c>
      <c r="O519" s="28">
        <f t="shared" si="296"/>
        <v>-3.5664979291302346E-3</v>
      </c>
      <c r="P519" s="28"/>
      <c r="R519" s="28">
        <f>RATE(5,0,-G519,B519)</f>
        <v>6.4300226266165716E-2</v>
      </c>
      <c r="S519" s="28">
        <f t="shared" si="297"/>
        <v>6.91358783821312E-2</v>
      </c>
      <c r="T519" s="28">
        <f t="shared" si="298"/>
        <v>-9.285714285714286E-2</v>
      </c>
      <c r="U519" s="28">
        <f t="shared" si="298"/>
        <v>0.17647058823529413</v>
      </c>
      <c r="V519" s="28">
        <f t="shared" si="298"/>
        <v>6.25E-2</v>
      </c>
      <c r="W519" s="28">
        <f t="shared" si="298"/>
        <v>2.7522935779816515E-2</v>
      </c>
      <c r="X519" s="28">
        <f t="shared" si="298"/>
        <v>0.17204301075268819</v>
      </c>
    </row>
    <row r="520" spans="1:24" x14ac:dyDescent="0.25">
      <c r="A520" s="5" t="s">
        <v>167</v>
      </c>
      <c r="B520" s="2">
        <f t="shared" ref="B520:G520" si="300">-B457</f>
        <v>-945</v>
      </c>
      <c r="C520" s="2">
        <f t="shared" si="300"/>
        <v>-1039</v>
      </c>
      <c r="D520" s="2">
        <f t="shared" si="300"/>
        <v>-1070</v>
      </c>
      <c r="E520" s="2">
        <f t="shared" si="300"/>
        <v>-1100</v>
      </c>
      <c r="F520" s="2">
        <f t="shared" si="300"/>
        <v>-1140</v>
      </c>
      <c r="G520" s="2">
        <f t="shared" si="300"/>
        <v>-1115</v>
      </c>
      <c r="J520" s="28">
        <f t="shared" si="296"/>
        <v>-3.6467783696567072E-2</v>
      </c>
      <c r="K520" s="28">
        <f t="shared" si="296"/>
        <v>-3.99646126625125E-2</v>
      </c>
      <c r="L520" s="28">
        <f t="shared" si="296"/>
        <v>-4.0847489979003629E-2</v>
      </c>
      <c r="M520" s="28">
        <f t="shared" si="296"/>
        <v>-4.2643486804399444E-2</v>
      </c>
      <c r="N520" s="28">
        <f t="shared" si="296"/>
        <v>-4.3367443983718189E-2</v>
      </c>
      <c r="O520" s="28">
        <f t="shared" si="296"/>
        <v>-4.2759625709464642E-2</v>
      </c>
      <c r="P520" s="28"/>
      <c r="R520" s="28">
        <f>RATE(5,0,-G520,B520)</f>
        <v>-3.254363055898047E-2</v>
      </c>
      <c r="S520" s="28">
        <f t="shared" si="297"/>
        <v>-3.1876498367768777E-2</v>
      </c>
      <c r="T520" s="28">
        <f t="shared" si="298"/>
        <v>-9.0471607314725699E-2</v>
      </c>
      <c r="U520" s="28">
        <f t="shared" si="298"/>
        <v>-2.897196261682243E-2</v>
      </c>
      <c r="V520" s="28">
        <f t="shared" si="298"/>
        <v>-2.7272727272727271E-2</v>
      </c>
      <c r="W520" s="28">
        <f t="shared" si="298"/>
        <v>-3.5087719298245612E-2</v>
      </c>
      <c r="X520" s="28">
        <f t="shared" si="298"/>
        <v>2.2421524663677129E-2</v>
      </c>
    </row>
    <row r="521" spans="1:24" ht="15.75" thickBot="1" x14ac:dyDescent="0.3">
      <c r="A521" s="2" t="s">
        <v>461</v>
      </c>
      <c r="B521" s="9">
        <f>SUM(B518:B520)</f>
        <v>2503</v>
      </c>
      <c r="C521" s="9">
        <f t="shared" ref="C521:G521" si="301">SUM(C518:C520)</f>
        <v>2409</v>
      </c>
      <c r="D521" s="39">
        <f t="shared" si="301"/>
        <v>2461</v>
      </c>
      <c r="E521" s="39">
        <f t="shared" si="301"/>
        <v>1966</v>
      </c>
      <c r="F521" s="9">
        <f t="shared" si="301"/>
        <v>1941</v>
      </c>
      <c r="G521" s="9">
        <f t="shared" si="301"/>
        <v>1719</v>
      </c>
      <c r="J521" s="28">
        <f t="shared" si="296"/>
        <v>9.6591388986780283E-2</v>
      </c>
      <c r="K521" s="28">
        <f t="shared" si="296"/>
        <v>9.2660973921070852E-2</v>
      </c>
      <c r="L521" s="28">
        <f t="shared" si="296"/>
        <v>9.3949226951708348E-2</v>
      </c>
      <c r="M521" s="28">
        <f t="shared" si="296"/>
        <v>7.6215540961317552E-2</v>
      </c>
      <c r="N521" s="28">
        <f t="shared" si="296"/>
        <v>7.3838779624909645E-2</v>
      </c>
      <c r="O521" s="28">
        <f t="shared" si="296"/>
        <v>6.5922687528762083E-2</v>
      </c>
      <c r="P521" s="28"/>
      <c r="R521" s="28">
        <f>RATE(5,0,-G521,B521)</f>
        <v>7.8045260485801612E-2</v>
      </c>
      <c r="S521" s="28">
        <f t="shared" si="297"/>
        <v>8.2339158644776006E-2</v>
      </c>
      <c r="T521" s="28">
        <f t="shared" si="298"/>
        <v>3.9020340390203405E-2</v>
      </c>
      <c r="U521" s="28">
        <f t="shared" si="298"/>
        <v>-2.1129622104835433E-2</v>
      </c>
      <c r="V521" s="40">
        <f t="shared" si="298"/>
        <v>0.25178026449643948</v>
      </c>
      <c r="W521" s="28">
        <f t="shared" si="298"/>
        <v>1.287995878413189E-2</v>
      </c>
      <c r="X521" s="28">
        <f t="shared" si="298"/>
        <v>0.12914485165794065</v>
      </c>
    </row>
    <row r="522" spans="1:24" ht="15.75" thickTop="1" x14ac:dyDescent="0.25"/>
  </sheetData>
  <mergeCells count="1">
    <mergeCell ref="H109:Y132"/>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EEB13-2AC3-4788-9DA0-B51A160CA491}">
  <dimension ref="B2:J27"/>
  <sheetViews>
    <sheetView tabSelected="1" workbookViewId="0">
      <selection activeCell="B17" sqref="B17:H21"/>
    </sheetView>
  </sheetViews>
  <sheetFormatPr defaultRowHeight="15" x14ac:dyDescent="0.25"/>
  <cols>
    <col min="1" max="1" width="9.42578125" customWidth="1"/>
    <col min="2" max="2" width="27.5703125" customWidth="1"/>
    <col min="3" max="3" width="10.5703125" bestFit="1" customWidth="1"/>
  </cols>
  <sheetData>
    <row r="2" spans="2:10" x14ac:dyDescent="0.25">
      <c r="B2" t="s">
        <v>528</v>
      </c>
      <c r="C2" s="154" t="s">
        <v>523</v>
      </c>
      <c r="D2" s="154"/>
      <c r="E2" s="154"/>
      <c r="F2" s="155" t="s">
        <v>524</v>
      </c>
      <c r="G2" s="154"/>
      <c r="H2" s="154"/>
    </row>
    <row r="3" spans="2:10" x14ac:dyDescent="0.25">
      <c r="B3" t="s">
        <v>529</v>
      </c>
      <c r="C3">
        <v>2020</v>
      </c>
      <c r="D3">
        <v>2021</v>
      </c>
      <c r="E3">
        <v>2022</v>
      </c>
      <c r="F3" s="137">
        <v>2023</v>
      </c>
      <c r="G3">
        <v>2024</v>
      </c>
      <c r="H3">
        <v>2025</v>
      </c>
    </row>
    <row r="4" spans="2:10" x14ac:dyDescent="0.25">
      <c r="B4" s="130" t="s">
        <v>525</v>
      </c>
      <c r="C4" s="129"/>
      <c r="D4" s="129"/>
      <c r="E4" s="129"/>
      <c r="F4" s="138"/>
      <c r="G4" s="139"/>
      <c r="H4" s="139"/>
    </row>
    <row r="5" spans="2:10" x14ac:dyDescent="0.25">
      <c r="B5" t="s">
        <v>282</v>
      </c>
      <c r="C5" s="69">
        <f>'Phase 8 - 9'!D60</f>
        <v>26195</v>
      </c>
      <c r="D5" s="69">
        <f>'Phase 8 - 9'!C60</f>
        <v>25998</v>
      </c>
      <c r="E5" s="69">
        <f>'Phase 8 - 9'!B60</f>
        <v>25913.283018867925</v>
      </c>
      <c r="F5" s="140">
        <f>E5*(1+F6)</f>
        <v>25654.150188679247</v>
      </c>
      <c r="G5" s="69">
        <f t="shared" ref="G5:H5" si="0">F5*(1+G6)</f>
        <v>25397.608686792453</v>
      </c>
      <c r="H5" s="69">
        <f t="shared" si="0"/>
        <v>25143.632599924527</v>
      </c>
    </row>
    <row r="6" spans="2:10" x14ac:dyDescent="0.25">
      <c r="B6" t="s">
        <v>526</v>
      </c>
      <c r="C6" s="133">
        <f>'Phase 8 - 9'!V60</f>
        <v>1.5496488037494045E-2</v>
      </c>
      <c r="D6" s="133">
        <f>'Phase 8 - 9'!U60</f>
        <v>-7.5205191830502007E-3</v>
      </c>
      <c r="E6" s="133">
        <f>'Phase 8 - 9'!T60</f>
        <v>-3.2585960893943603E-3</v>
      </c>
      <c r="F6" s="141">
        <v>-0.01</v>
      </c>
      <c r="G6" s="134">
        <v>-0.01</v>
      </c>
      <c r="H6" s="134">
        <v>-0.01</v>
      </c>
    </row>
    <row r="7" spans="2:10" x14ac:dyDescent="0.25">
      <c r="B7" t="s">
        <v>283</v>
      </c>
      <c r="C7" s="69">
        <f>C5*C8</f>
        <v>9187</v>
      </c>
      <c r="D7" s="69">
        <f t="shared" ref="D7:F7" si="1">D5*D8</f>
        <v>8638</v>
      </c>
      <c r="E7" s="69">
        <f t="shared" si="1"/>
        <v>8172.199716981133</v>
      </c>
      <c r="F7" s="140">
        <f t="shared" si="1"/>
        <v>8529.1549035916069</v>
      </c>
      <c r="G7" s="69">
        <f t="shared" ref="G7" si="2">G5*G8</f>
        <v>8443.8633545556895</v>
      </c>
      <c r="H7" s="69">
        <f t="shared" ref="H7" si="3">H5*H8</f>
        <v>8359.424721010133</v>
      </c>
    </row>
    <row r="8" spans="2:10" x14ac:dyDescent="0.25">
      <c r="B8" t="s">
        <v>527</v>
      </c>
      <c r="C8" s="135">
        <v>0.35071578545523957</v>
      </c>
      <c r="D8" s="135">
        <v>0.33225632740980077</v>
      </c>
      <c r="E8" s="135">
        <v>0.31536720804657625</v>
      </c>
      <c r="F8" s="141">
        <f>$J$8</f>
        <v>0.33246686562844641</v>
      </c>
      <c r="G8" s="134">
        <f t="shared" ref="G8:H8" si="4">$J$8</f>
        <v>0.33246686562844641</v>
      </c>
      <c r="H8" s="134">
        <f t="shared" si="4"/>
        <v>0.33246686562844641</v>
      </c>
      <c r="J8" s="94">
        <f>GEOMEAN(C8:E8)</f>
        <v>0.33246686562844641</v>
      </c>
    </row>
    <row r="9" spans="2:10" x14ac:dyDescent="0.25">
      <c r="B9" t="s">
        <v>177</v>
      </c>
      <c r="C9" s="69">
        <f>'Phase 8 - 9'!D90</f>
        <v>6856.9413392698816</v>
      </c>
      <c r="D9" s="69">
        <f>'Phase 8 - 9'!C90</f>
        <v>6444.1722496569118</v>
      </c>
      <c r="E9" s="69">
        <f>'Phase 8 - 9'!B90</f>
        <v>6335.8524330614382</v>
      </c>
      <c r="F9" s="140">
        <f>F10*F5</f>
        <v>6156.9960452830192</v>
      </c>
      <c r="G9" s="69">
        <f t="shared" ref="G9:H9" si="5">G10*G5</f>
        <v>6381.6567837442844</v>
      </c>
      <c r="H9" s="69">
        <f t="shared" si="5"/>
        <v>6317.840215906841</v>
      </c>
    </row>
    <row r="10" spans="2:10" x14ac:dyDescent="0.25">
      <c r="B10" t="s">
        <v>527</v>
      </c>
      <c r="C10" s="135">
        <v>0.26176527349760953</v>
      </c>
      <c r="D10" s="135">
        <v>0.24787184589802722</v>
      </c>
      <c r="E10" s="135">
        <v>0.24450211223518806</v>
      </c>
      <c r="F10" s="141">
        <v>0.24</v>
      </c>
      <c r="G10" s="134">
        <f t="shared" ref="G10:H10" si="6">$J$10</f>
        <v>0.25126998618035029</v>
      </c>
      <c r="H10" s="134">
        <f t="shared" si="6"/>
        <v>0.25126998618035029</v>
      </c>
      <c r="J10" s="45">
        <f>GEOMEAN(C10:E10)</f>
        <v>0.25126998618035029</v>
      </c>
    </row>
    <row r="11" spans="2:10" x14ac:dyDescent="0.25">
      <c r="B11" t="s">
        <v>530</v>
      </c>
      <c r="C11">
        <f>'Phase 8 - 9'!D150</f>
        <v>969</v>
      </c>
      <c r="D11">
        <f>'Phase 8 - 9'!C150</f>
        <v>910</v>
      </c>
      <c r="E11">
        <f>'Phase 8 - 9'!B150</f>
        <v>933</v>
      </c>
      <c r="F11" s="142">
        <f>E11*(1+$J$11)</f>
        <v>914.34</v>
      </c>
      <c r="G11" s="143">
        <f t="shared" ref="G11:H11" si="7">F11*(1+$J$11)</f>
        <v>896.05320000000006</v>
      </c>
      <c r="H11" s="143">
        <f t="shared" si="7"/>
        <v>878.13213600000006</v>
      </c>
      <c r="J11" s="94">
        <v>-0.02</v>
      </c>
    </row>
    <row r="12" spans="2:10" x14ac:dyDescent="0.25">
      <c r="B12" t="s">
        <v>531</v>
      </c>
      <c r="C12" s="66">
        <f>'Phase 8 - 9'!D70</f>
        <v>1394</v>
      </c>
      <c r="D12" s="101">
        <f>'Phase 8 - 9'!C70</f>
        <v>1130</v>
      </c>
      <c r="E12" s="101">
        <f>'Phase 8 - 9'!B70</f>
        <v>921</v>
      </c>
      <c r="F12" s="144">
        <f>E12*($J$12+1)</f>
        <v>868.50299999999993</v>
      </c>
      <c r="G12" s="136">
        <f t="shared" ref="G12:H12" si="8">F12*($J$12+1)</f>
        <v>818.9983289999999</v>
      </c>
      <c r="H12" s="136">
        <f t="shared" si="8"/>
        <v>772.3154242469999</v>
      </c>
      <c r="J12" s="132">
        <v>-5.7000000000000002E-2</v>
      </c>
    </row>
    <row r="13" spans="2:10" x14ac:dyDescent="0.25">
      <c r="B13" t="s">
        <v>59</v>
      </c>
      <c r="C13" s="69">
        <f>'Phase 8 - 9'!D76</f>
        <v>3504.1742446305079</v>
      </c>
      <c r="D13" s="69">
        <f>'Phase 8 - 9'!C76</f>
        <v>3432.6143547323913</v>
      </c>
      <c r="E13" s="69">
        <f>'Phase 8 - 9'!B76</f>
        <v>3494.7448977879217</v>
      </c>
      <c r="F13" s="140">
        <f>E13*(1+$J$13)</f>
        <v>3329.2808707020713</v>
      </c>
      <c r="G13" s="69">
        <f t="shared" ref="G13:H13" si="9">F13*(1+$J$13)</f>
        <v>3171.6509903308483</v>
      </c>
      <c r="H13" s="69">
        <f t="shared" si="9"/>
        <v>3021.4843370500471</v>
      </c>
      <c r="J13" s="99">
        <f>'Phase 8 - 9'!R76</f>
        <v>-4.7346525118495644E-2</v>
      </c>
    </row>
    <row r="14" spans="2:10" x14ac:dyDescent="0.25">
      <c r="B14" t="s">
        <v>532</v>
      </c>
      <c r="C14">
        <f>'Phase 8 - 9'!D78</f>
        <v>1228</v>
      </c>
      <c r="D14">
        <f>'Phase 8 - 9'!C78</f>
        <v>1236</v>
      </c>
      <c r="E14">
        <f>'Phase 8 - 9'!B78</f>
        <v>1235</v>
      </c>
      <c r="F14" s="145">
        <f>E14*(1+J14)</f>
        <v>1236.2349999999999</v>
      </c>
      <c r="G14" s="96">
        <f t="shared" ref="G14:H14" si="10">F14*(1+K14)</f>
        <v>1236.2349999999999</v>
      </c>
      <c r="H14" s="96">
        <f t="shared" si="10"/>
        <v>1236.2349999999999</v>
      </c>
      <c r="J14" s="28">
        <v>1E-3</v>
      </c>
    </row>
    <row r="15" spans="2:10" x14ac:dyDescent="0.25">
      <c r="B15" t="s">
        <v>533</v>
      </c>
      <c r="C15" s="131">
        <f>C13/C14</f>
        <v>2.8535620884613255</v>
      </c>
      <c r="D15" s="131">
        <f t="shared" ref="D15:H15" si="11">D13/D14</f>
        <v>2.7771960798805755</v>
      </c>
      <c r="E15" s="131">
        <f t="shared" si="11"/>
        <v>2.8297529536744306</v>
      </c>
      <c r="F15" s="146">
        <f t="shared" si="11"/>
        <v>2.6930809034706762</v>
      </c>
      <c r="G15" s="131">
        <f t="shared" si="11"/>
        <v>2.5655728808283609</v>
      </c>
      <c r="H15" s="131">
        <f t="shared" si="11"/>
        <v>2.4441019199828893</v>
      </c>
    </row>
    <row r="17" spans="2:8" x14ac:dyDescent="0.25">
      <c r="B17" s="156" t="s">
        <v>529</v>
      </c>
      <c r="C17" s="156">
        <v>2017</v>
      </c>
      <c r="D17" s="156">
        <v>2018</v>
      </c>
      <c r="E17" s="156">
        <v>2019</v>
      </c>
      <c r="F17" s="156">
        <v>2020</v>
      </c>
      <c r="G17" s="156">
        <v>2021</v>
      </c>
      <c r="H17" s="156">
        <v>2022</v>
      </c>
    </row>
    <row r="18" spans="2:8" x14ac:dyDescent="0.25">
      <c r="B18" t="s">
        <v>246</v>
      </c>
      <c r="C18" s="131">
        <f>H24</f>
        <v>67.14</v>
      </c>
      <c r="D18" s="131">
        <f>G24</f>
        <v>33.19</v>
      </c>
      <c r="E18" s="131">
        <f>F24</f>
        <v>24.77</v>
      </c>
      <c r="F18" s="131">
        <f>E24</f>
        <v>36.380000000000003</v>
      </c>
      <c r="G18" s="131">
        <f>D24</f>
        <v>39.22</v>
      </c>
      <c r="H18" s="131">
        <f>C24</f>
        <v>38.130000000000003</v>
      </c>
    </row>
    <row r="19" spans="2:8" x14ac:dyDescent="0.25">
      <c r="B19" t="str">
        <f>'Phase 8 - 9'!A393</f>
        <v>Price to Earnings</v>
      </c>
      <c r="C19" s="131">
        <f>H25</f>
        <v>18.511388855614438</v>
      </c>
      <c r="D19" s="131">
        <f>G25</f>
        <v>9.6065268849287655</v>
      </c>
      <c r="E19" s="131">
        <f>F25</f>
        <v>8.0729510293895714</v>
      </c>
      <c r="F19" s="131">
        <f>E25</f>
        <v>12.748977899274141</v>
      </c>
      <c r="G19" s="131">
        <f>D25</f>
        <v>14.122157338521999</v>
      </c>
      <c r="H19" s="131">
        <f>C25</f>
        <v>13.4746745119528</v>
      </c>
    </row>
    <row r="20" spans="2:8" x14ac:dyDescent="0.25">
      <c r="B20" t="str">
        <f>'Phase 8 - 9'!A397</f>
        <v>Price to EBIT</v>
      </c>
      <c r="C20" s="131">
        <f>H26</f>
        <v>11.79032845989283</v>
      </c>
      <c r="D20" s="131">
        <f>G26</f>
        <v>6.0744064579146597</v>
      </c>
      <c r="E20" s="131">
        <f>F26</f>
        <v>4.8976343956914477</v>
      </c>
      <c r="F20" s="131">
        <f>E26</f>
        <v>7.5565868333731068</v>
      </c>
      <c r="G20" s="131">
        <f>D26</f>
        <v>8.6743378836782785</v>
      </c>
      <c r="H20" s="131">
        <f>C26</f>
        <v>8.6452944215492789</v>
      </c>
    </row>
    <row r="21" spans="2:8" x14ac:dyDescent="0.25">
      <c r="B21" t="str">
        <f>'Phase 8 - 9'!A398</f>
        <v>Price to EBITDA</v>
      </c>
      <c r="C21" s="131">
        <f>H27</f>
        <v>10.265626416685647</v>
      </c>
      <c r="D21" s="131">
        <f>G27</f>
        <v>5.2937597839732025</v>
      </c>
      <c r="E21" s="131">
        <f>F27</f>
        <v>4.2185896959603157</v>
      </c>
      <c r="F21" s="131">
        <f>E27</f>
        <v>6.4887152738479656</v>
      </c>
      <c r="G21" s="131">
        <f>D27</f>
        <v>7.4494098140464517</v>
      </c>
      <c r="H21" s="131">
        <f>C27</f>
        <v>7.3722124202678794</v>
      </c>
    </row>
    <row r="24" spans="2:8" x14ac:dyDescent="0.25">
      <c r="C24" s="131">
        <f>'Phase 8 - 9'!B382</f>
        <v>38.130000000000003</v>
      </c>
      <c r="D24" s="131">
        <f>'Phase 8 - 9'!C382</f>
        <v>39.22</v>
      </c>
      <c r="E24" s="131">
        <f>'Phase 8 - 9'!D382</f>
        <v>36.380000000000003</v>
      </c>
      <c r="F24" s="131">
        <f>'Phase 8 - 9'!E382</f>
        <v>24.77</v>
      </c>
      <c r="G24" s="131">
        <f>'Phase 8 - 9'!F382</f>
        <v>33.19</v>
      </c>
      <c r="H24" s="131">
        <f>'Phase 8 - 9'!G382</f>
        <v>67.14</v>
      </c>
    </row>
    <row r="25" spans="2:8" x14ac:dyDescent="0.25">
      <c r="C25">
        <f>'Phase 8 - 9'!B393</f>
        <v>13.4746745119528</v>
      </c>
      <c r="D25">
        <f>'Phase 8 - 9'!C393</f>
        <v>14.122157338521999</v>
      </c>
      <c r="E25">
        <f>'Phase 8 - 9'!D393</f>
        <v>12.748977899274141</v>
      </c>
      <c r="F25">
        <f>'Phase 8 - 9'!E393</f>
        <v>8.0729510293895714</v>
      </c>
      <c r="G25">
        <f>'Phase 8 - 9'!F393</f>
        <v>9.6065268849287655</v>
      </c>
      <c r="H25">
        <f>'Phase 8 - 9'!G393</f>
        <v>18.511388855614438</v>
      </c>
    </row>
    <row r="26" spans="2:8" x14ac:dyDescent="0.25">
      <c r="C26">
        <f>'Phase 8 - 9'!B397</f>
        <v>8.6452944215492789</v>
      </c>
      <c r="D26">
        <f>'Phase 8 - 9'!C397</f>
        <v>8.6743378836782785</v>
      </c>
      <c r="E26">
        <f>'Phase 8 - 9'!D397</f>
        <v>7.5565868333731068</v>
      </c>
      <c r="F26">
        <f>'Phase 8 - 9'!E397</f>
        <v>4.8976343956914477</v>
      </c>
      <c r="G26">
        <f>'Phase 8 - 9'!F397</f>
        <v>6.0744064579146597</v>
      </c>
      <c r="H26">
        <f>'Phase 8 - 9'!G397</f>
        <v>11.79032845989283</v>
      </c>
    </row>
    <row r="27" spans="2:8" x14ac:dyDescent="0.25">
      <c r="C27">
        <f>'Phase 8 - 9'!B398</f>
        <v>7.3722124202678794</v>
      </c>
      <c r="D27">
        <f>'Phase 8 - 9'!C398</f>
        <v>7.4494098140464517</v>
      </c>
      <c r="E27">
        <f>'Phase 8 - 9'!D398</f>
        <v>6.4887152738479656</v>
      </c>
      <c r="F27">
        <f>'Phase 8 - 9'!E398</f>
        <v>4.2185896959603157</v>
      </c>
      <c r="G27">
        <f>'Phase 8 - 9'!F398</f>
        <v>5.2937597839732025</v>
      </c>
      <c r="H27">
        <f>'Phase 8 - 9'!G398</f>
        <v>10.265626416685647</v>
      </c>
    </row>
  </sheetData>
  <mergeCells count="2">
    <mergeCell ref="C2:E2"/>
    <mergeCell ref="F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Heinz-Kraft Merger</vt:lpstr>
      <vt:lpstr>Phase 2</vt:lpstr>
      <vt:lpstr>Phase 3</vt:lpstr>
      <vt:lpstr>Phase 4</vt:lpstr>
      <vt:lpstr>Phase 5 - 7</vt:lpstr>
      <vt:lpstr>Phase 8 - 9</vt:lpstr>
      <vt:lpstr>Projected 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DeGeorge</dc:creator>
  <cp:lastModifiedBy>Eric Curtis</cp:lastModifiedBy>
  <cp:lastPrinted>2023-08-01T00:52:17Z</cp:lastPrinted>
  <dcterms:created xsi:type="dcterms:W3CDTF">2023-07-25T11:58:41Z</dcterms:created>
  <dcterms:modified xsi:type="dcterms:W3CDTF">2023-12-05T21:00:43Z</dcterms:modified>
</cp:coreProperties>
</file>