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d.docs.live.net/953f092d0545632c/Desktop/MIS Finance/DeGeorge/"/>
    </mc:Choice>
  </mc:AlternateContent>
  <xr:revisionPtr revIDLastSave="8462" documentId="8_{DCB6F515-186B-4E65-8DE3-EA10B3B77C53}" xr6:coauthVersionLast="47" xr6:coauthVersionMax="47" xr10:uidLastSave="{282AD986-C46E-4168-9506-72657609546B}"/>
  <bookViews>
    <workbookView xWindow="-120" yWindow="-120" windowWidth="29040" windowHeight="15720" activeTab="7" xr2:uid="{E1228D22-0A13-48CF-9C14-A43E4DFA607F}"/>
  </bookViews>
  <sheets>
    <sheet name="Rules" sheetId="2" r:id="rId1"/>
    <sheet name="Grading" sheetId="3" r:id="rId2"/>
    <sheet name="Important Dates" sheetId="4" r:id="rId3"/>
    <sheet name="Investor Relations" sheetId="7" r:id="rId4"/>
    <sheet name="10K Info" sheetId="5" r:id="rId5"/>
    <sheet name="As Reported" sheetId="1" r:id="rId6"/>
    <sheet name="Reclassified" sheetId="8" r:id="rId7"/>
    <sheet name="Recurring" sheetId="16" r:id="rId8"/>
    <sheet name="Segments" sheetId="11" r:id="rId9"/>
    <sheet name="Acquisitions"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7" i="16" l="1"/>
  <c r="D61" i="16"/>
  <c r="B107" i="8"/>
  <c r="B59" i="16"/>
  <c r="B62" i="16"/>
  <c r="B108" i="8"/>
  <c r="C61" i="16"/>
  <c r="E61" i="16"/>
  <c r="F61" i="16"/>
  <c r="G61" i="16"/>
  <c r="H61" i="16"/>
  <c r="I61" i="16"/>
  <c r="B61" i="16"/>
  <c r="B56" i="16"/>
  <c r="C56" i="16"/>
  <c r="D56" i="16"/>
  <c r="E56" i="16"/>
  <c r="F56" i="16"/>
  <c r="G56" i="16"/>
  <c r="H56" i="16"/>
  <c r="I56" i="16"/>
  <c r="B57" i="16"/>
  <c r="C101" i="8"/>
  <c r="C102" i="8" s="1"/>
  <c r="D101" i="8"/>
  <c r="E101" i="8"/>
  <c r="F101" i="8"/>
  <c r="G101" i="8"/>
  <c r="H101" i="8"/>
  <c r="I101" i="8"/>
  <c r="D102" i="8"/>
  <c r="A107" i="8"/>
  <c r="C71" i="16"/>
  <c r="V210" i="16"/>
  <c r="U210" i="16"/>
  <c r="T210" i="16"/>
  <c r="B101" i="8"/>
  <c r="B102" i="8" s="1"/>
  <c r="B104" i="8"/>
  <c r="C104" i="8"/>
  <c r="G167" i="16"/>
  <c r="T136" i="16"/>
  <c r="T137" i="16"/>
  <c r="T144" i="16"/>
  <c r="T146" i="16"/>
  <c r="T147" i="16"/>
  <c r="V127" i="16"/>
  <c r="T127" i="16"/>
  <c r="V112" i="16"/>
  <c r="U112" i="16"/>
  <c r="T112" i="16"/>
  <c r="V110" i="16"/>
  <c r="D429" i="16" s="1"/>
  <c r="H429" i="16" s="1"/>
  <c r="U110" i="16"/>
  <c r="C429" i="16" s="1"/>
  <c r="G429" i="16" s="1"/>
  <c r="T110" i="16"/>
  <c r="B429" i="16" s="1"/>
  <c r="F429" i="16" s="1"/>
  <c r="V109" i="16"/>
  <c r="U109" i="16"/>
  <c r="T109" i="16"/>
  <c r="V108" i="16"/>
  <c r="U108" i="16"/>
  <c r="T108" i="16"/>
  <c r="V120" i="16"/>
  <c r="U120" i="16"/>
  <c r="T120" i="16"/>
  <c r="V119" i="16"/>
  <c r="U119" i="16"/>
  <c r="T119" i="16"/>
  <c r="V118" i="16"/>
  <c r="U118" i="16"/>
  <c r="T118" i="16"/>
  <c r="V117" i="16"/>
  <c r="U117" i="16"/>
  <c r="T117" i="16"/>
  <c r="V116" i="16"/>
  <c r="U116" i="16"/>
  <c r="T116" i="16"/>
  <c r="V114" i="16"/>
  <c r="D430" i="16" s="1"/>
  <c r="H430" i="16" s="1"/>
  <c r="U114" i="16"/>
  <c r="C430" i="16" s="1"/>
  <c r="G430" i="16" s="1"/>
  <c r="T114" i="16"/>
  <c r="B430" i="16" s="1"/>
  <c r="F430" i="16" s="1"/>
  <c r="V113" i="16"/>
  <c r="U113" i="16"/>
  <c r="T113" i="16"/>
  <c r="F71" i="16"/>
  <c r="G71" i="16"/>
  <c r="H71" i="16"/>
  <c r="I71" i="16"/>
  <c r="B71" i="16"/>
  <c r="D71" i="16"/>
  <c r="E71" i="16"/>
  <c r="A108" i="16"/>
  <c r="G104" i="8"/>
  <c r="E104" i="8"/>
  <c r="C60" i="16"/>
  <c r="D60" i="16"/>
  <c r="E60" i="16"/>
  <c r="F60" i="16"/>
  <c r="G60" i="16"/>
  <c r="H60" i="16"/>
  <c r="I60" i="16"/>
  <c r="B60" i="16"/>
  <c r="C59" i="16"/>
  <c r="D59" i="16"/>
  <c r="E59" i="16"/>
  <c r="F59" i="16"/>
  <c r="G59" i="16"/>
  <c r="H59" i="16"/>
  <c r="I59" i="16"/>
  <c r="C66" i="16"/>
  <c r="D66" i="16"/>
  <c r="E66" i="16"/>
  <c r="F66" i="16"/>
  <c r="G66" i="16"/>
  <c r="H66" i="16"/>
  <c r="I66" i="16"/>
  <c r="C65" i="16"/>
  <c r="D65" i="16"/>
  <c r="E65" i="16"/>
  <c r="F65" i="16"/>
  <c r="G65" i="16"/>
  <c r="H65" i="16"/>
  <c r="I65" i="16"/>
  <c r="I79" i="16"/>
  <c r="I404" i="16" s="1"/>
  <c r="C58" i="16"/>
  <c r="D58" i="16"/>
  <c r="E58" i="16"/>
  <c r="F58" i="16"/>
  <c r="G58" i="16"/>
  <c r="H58" i="16"/>
  <c r="I58" i="16"/>
  <c r="C63" i="16"/>
  <c r="D63" i="16"/>
  <c r="E63" i="16"/>
  <c r="F63" i="16"/>
  <c r="G63" i="16"/>
  <c r="H63" i="16"/>
  <c r="I63" i="16"/>
  <c r="C64" i="16"/>
  <c r="D64" i="16"/>
  <c r="E64" i="16"/>
  <c r="F64" i="16"/>
  <c r="G64" i="16"/>
  <c r="H64" i="16"/>
  <c r="I64" i="16"/>
  <c r="C73" i="16"/>
  <c r="D73" i="16"/>
  <c r="E73" i="16"/>
  <c r="F73" i="16"/>
  <c r="G73" i="16"/>
  <c r="H73" i="16"/>
  <c r="I73" i="16"/>
  <c r="C55" i="16"/>
  <c r="D55" i="16"/>
  <c r="E55" i="16"/>
  <c r="F55" i="16"/>
  <c r="G55" i="16"/>
  <c r="H55" i="16"/>
  <c r="I55" i="16"/>
  <c r="I510" i="16"/>
  <c r="H510" i="16"/>
  <c r="G510" i="16"/>
  <c r="F510" i="16"/>
  <c r="E510" i="16"/>
  <c r="D510" i="16"/>
  <c r="C510" i="16"/>
  <c r="X510" i="16" s="1"/>
  <c r="AC509" i="16"/>
  <c r="AB509" i="16"/>
  <c r="AA509" i="16"/>
  <c r="Z509" i="16"/>
  <c r="Y509" i="16"/>
  <c r="X509" i="16"/>
  <c r="W509" i="16" s="1"/>
  <c r="V509" i="16"/>
  <c r="U509" i="16"/>
  <c r="AC508" i="16"/>
  <c r="AB508" i="16"/>
  <c r="AA508" i="16"/>
  <c r="Z508" i="16"/>
  <c r="Y508" i="16"/>
  <c r="X508" i="16"/>
  <c r="V508" i="16"/>
  <c r="U508" i="16"/>
  <c r="AC507" i="16"/>
  <c r="AB507" i="16"/>
  <c r="AA507" i="16"/>
  <c r="Z507" i="16"/>
  <c r="Y507" i="16"/>
  <c r="X507" i="16"/>
  <c r="V507" i="16"/>
  <c r="U507" i="16"/>
  <c r="AC506" i="16"/>
  <c r="AB506" i="16"/>
  <c r="AA506" i="16"/>
  <c r="Z506" i="16"/>
  <c r="Y506" i="16"/>
  <c r="X506" i="16"/>
  <c r="V506" i="16"/>
  <c r="U506" i="16"/>
  <c r="AC505" i="16"/>
  <c r="AB505" i="16"/>
  <c r="AA505" i="16"/>
  <c r="Z505" i="16"/>
  <c r="Y505" i="16"/>
  <c r="X505" i="16"/>
  <c r="V505" i="16"/>
  <c r="U505" i="16"/>
  <c r="AC504" i="16"/>
  <c r="AB504" i="16"/>
  <c r="AA504" i="16"/>
  <c r="Z504" i="16"/>
  <c r="Y504" i="16"/>
  <c r="X504" i="16"/>
  <c r="V504" i="16"/>
  <c r="U504" i="16"/>
  <c r="AK502" i="16"/>
  <c r="AK61" i="16" s="1"/>
  <c r="AK62" i="16" s="1"/>
  <c r="AJ502" i="16"/>
  <c r="AJ61" i="16" s="1"/>
  <c r="AJ62" i="16" s="1"/>
  <c r="AH502" i="16"/>
  <c r="AH61" i="16" s="1"/>
  <c r="AG502" i="16"/>
  <c r="AG61" i="16" s="1"/>
  <c r="I502" i="16"/>
  <c r="H502" i="16"/>
  <c r="G502" i="16"/>
  <c r="F502" i="16"/>
  <c r="E502" i="16"/>
  <c r="D502" i="16"/>
  <c r="C502" i="16"/>
  <c r="AC501" i="16"/>
  <c r="AB501" i="16"/>
  <c r="AA501" i="16"/>
  <c r="Z501" i="16"/>
  <c r="Y501" i="16"/>
  <c r="V501" i="16"/>
  <c r="B501" i="16"/>
  <c r="U501" i="16" s="1"/>
  <c r="AC500" i="16"/>
  <c r="AB500" i="16"/>
  <c r="AA500" i="16"/>
  <c r="Z500" i="16"/>
  <c r="Y500" i="16"/>
  <c r="V500" i="16"/>
  <c r="B500" i="16"/>
  <c r="AK498" i="16"/>
  <c r="AK31" i="16" s="1"/>
  <c r="AK32" i="16" s="1"/>
  <c r="AJ498" i="16"/>
  <c r="AJ31" i="16" s="1"/>
  <c r="AJ32" i="16" s="1"/>
  <c r="AH498" i="16"/>
  <c r="AH31" i="16" s="1"/>
  <c r="AH32" i="16" s="1"/>
  <c r="AG498" i="16"/>
  <c r="AG31" i="16" s="1"/>
  <c r="AG32" i="16" s="1"/>
  <c r="I498" i="16"/>
  <c r="I31" i="16" s="1"/>
  <c r="I32" i="16" s="1"/>
  <c r="H498" i="16"/>
  <c r="H31" i="16" s="1"/>
  <c r="G498" i="16"/>
  <c r="F498" i="16"/>
  <c r="F31" i="16" s="1"/>
  <c r="E498" i="16"/>
  <c r="E31" i="16" s="1"/>
  <c r="D498" i="16"/>
  <c r="D31" i="16" s="1"/>
  <c r="D32" i="16" s="1"/>
  <c r="C498" i="16"/>
  <c r="C31" i="16" s="1"/>
  <c r="C32" i="16" s="1"/>
  <c r="AC497" i="16"/>
  <c r="AB497" i="16"/>
  <c r="AA497" i="16"/>
  <c r="Z497" i="16"/>
  <c r="Y497" i="16"/>
  <c r="V497" i="16"/>
  <c r="B497" i="16"/>
  <c r="X497" i="16" s="1"/>
  <c r="AC496" i="16"/>
  <c r="AB496" i="16"/>
  <c r="AA496" i="16"/>
  <c r="Z496" i="16"/>
  <c r="Y496" i="16"/>
  <c r="V496" i="16"/>
  <c r="B496" i="16"/>
  <c r="U496" i="16" s="1"/>
  <c r="AC495" i="16"/>
  <c r="AB495" i="16"/>
  <c r="AA495" i="16"/>
  <c r="Z495" i="16"/>
  <c r="Y495" i="16"/>
  <c r="V495" i="16"/>
  <c r="B495" i="16"/>
  <c r="U495" i="16" s="1"/>
  <c r="AK493" i="16"/>
  <c r="AK27" i="16" s="1"/>
  <c r="AK28" i="16" s="1"/>
  <c r="AJ493" i="16"/>
  <c r="AJ27" i="16" s="1"/>
  <c r="AJ28" i="16" s="1"/>
  <c r="AH493" i="16"/>
  <c r="AH27" i="16" s="1"/>
  <c r="AH28" i="16" s="1"/>
  <c r="AG493" i="16"/>
  <c r="AG27" i="16" s="1"/>
  <c r="AG28" i="16" s="1"/>
  <c r="I493" i="16"/>
  <c r="I27" i="16" s="1"/>
  <c r="I284" i="16" s="1"/>
  <c r="H493" i="16"/>
  <c r="H27" i="16" s="1"/>
  <c r="H284" i="16" s="1"/>
  <c r="G493" i="16"/>
  <c r="G27" i="16" s="1"/>
  <c r="F493" i="16"/>
  <c r="F27" i="16" s="1"/>
  <c r="E493" i="16"/>
  <c r="E27" i="16" s="1"/>
  <c r="E284" i="16" s="1"/>
  <c r="D493" i="16"/>
  <c r="D27" i="16" s="1"/>
  <c r="D284" i="16" s="1"/>
  <c r="C493" i="16"/>
  <c r="C27" i="16" s="1"/>
  <c r="C284" i="16" s="1"/>
  <c r="V492" i="16"/>
  <c r="B492" i="16"/>
  <c r="U492" i="16" s="1"/>
  <c r="B491" i="16"/>
  <c r="AK489" i="16"/>
  <c r="AK21" i="16" s="1"/>
  <c r="AJ489" i="16"/>
  <c r="AJ21" i="16" s="1"/>
  <c r="AH489" i="16"/>
  <c r="AH21" i="16" s="1"/>
  <c r="AG489" i="16"/>
  <c r="AG21" i="16" s="1"/>
  <c r="I489" i="16"/>
  <c r="I21" i="16" s="1"/>
  <c r="H489" i="16"/>
  <c r="H21" i="16" s="1"/>
  <c r="G489" i="16"/>
  <c r="G21" i="16" s="1"/>
  <c r="F489" i="16"/>
  <c r="E489" i="16"/>
  <c r="E21" i="16" s="1"/>
  <c r="D489" i="16"/>
  <c r="C489" i="16"/>
  <c r="C21" i="16" s="1"/>
  <c r="AC488" i="16"/>
  <c r="AB488" i="16"/>
  <c r="AA488" i="16"/>
  <c r="Z488" i="16"/>
  <c r="Y488" i="16"/>
  <c r="V488" i="16"/>
  <c r="B488" i="16"/>
  <c r="U488" i="16" s="1"/>
  <c r="B487" i="16"/>
  <c r="B486" i="16"/>
  <c r="B485" i="16"/>
  <c r="AC484" i="16"/>
  <c r="AB484" i="16"/>
  <c r="AA484" i="16"/>
  <c r="Z484" i="16"/>
  <c r="Y484" i="16"/>
  <c r="V484" i="16"/>
  <c r="B484" i="16"/>
  <c r="U484" i="16" s="1"/>
  <c r="I482" i="16"/>
  <c r="I20" i="16" s="1"/>
  <c r="H482" i="16"/>
  <c r="H20" i="16" s="1"/>
  <c r="G482" i="16"/>
  <c r="F482" i="16"/>
  <c r="F20" i="16" s="1"/>
  <c r="E482" i="16"/>
  <c r="D482" i="16"/>
  <c r="C482" i="16"/>
  <c r="X482" i="16" s="1"/>
  <c r="AC481" i="16"/>
  <c r="AB481" i="16"/>
  <c r="AA481" i="16"/>
  <c r="Z481" i="16"/>
  <c r="Y481" i="16"/>
  <c r="X481" i="16"/>
  <c r="V481" i="16"/>
  <c r="U481" i="16"/>
  <c r="AC480" i="16"/>
  <c r="AB480" i="16"/>
  <c r="AA480" i="16"/>
  <c r="Z480" i="16"/>
  <c r="Y480" i="16"/>
  <c r="X480" i="16"/>
  <c r="V480" i="16"/>
  <c r="U480" i="16"/>
  <c r="AC479" i="16"/>
  <c r="AB479" i="16"/>
  <c r="AA479" i="16"/>
  <c r="Z479" i="16"/>
  <c r="Y479" i="16"/>
  <c r="X479" i="16"/>
  <c r="V479" i="16"/>
  <c r="U479" i="16"/>
  <c r="AC478" i="16"/>
  <c r="AB478" i="16"/>
  <c r="AA478" i="16"/>
  <c r="Z478" i="16"/>
  <c r="Y478" i="16"/>
  <c r="X478" i="16"/>
  <c r="V478" i="16"/>
  <c r="U478" i="16"/>
  <c r="AC477" i="16"/>
  <c r="AB477" i="16"/>
  <c r="AA477" i="16"/>
  <c r="Z477" i="16"/>
  <c r="Y477" i="16"/>
  <c r="X477" i="16"/>
  <c r="V477" i="16"/>
  <c r="U477" i="16"/>
  <c r="AC476" i="16"/>
  <c r="AB476" i="16"/>
  <c r="AA476" i="16"/>
  <c r="Z476" i="16"/>
  <c r="Y476" i="16"/>
  <c r="X476" i="16"/>
  <c r="V476" i="16"/>
  <c r="U476" i="16"/>
  <c r="AC475" i="16"/>
  <c r="AB475" i="16"/>
  <c r="AA475" i="16"/>
  <c r="Z475" i="16"/>
  <c r="Y475" i="16"/>
  <c r="X475" i="16"/>
  <c r="V475" i="16"/>
  <c r="U475" i="16"/>
  <c r="AC474" i="16"/>
  <c r="AB474" i="16"/>
  <c r="AA474" i="16"/>
  <c r="Z474" i="16"/>
  <c r="Y474" i="16"/>
  <c r="X474" i="16"/>
  <c r="V474" i="16"/>
  <c r="U474" i="16"/>
  <c r="AC473" i="16"/>
  <c r="AB473" i="16"/>
  <c r="AA473" i="16"/>
  <c r="Z473" i="16"/>
  <c r="Y473" i="16"/>
  <c r="X473" i="16"/>
  <c r="V473" i="16"/>
  <c r="U473" i="16"/>
  <c r="AC472" i="16"/>
  <c r="AB472" i="16"/>
  <c r="AA472" i="16"/>
  <c r="Z472" i="16"/>
  <c r="Y472" i="16"/>
  <c r="X472" i="16"/>
  <c r="V472" i="16"/>
  <c r="U472" i="16"/>
  <c r="AK470" i="16"/>
  <c r="AK10" i="16" s="1"/>
  <c r="AJ470" i="16"/>
  <c r="AH470" i="16"/>
  <c r="AG470" i="16"/>
  <c r="AG10" i="16" s="1"/>
  <c r="I470" i="16"/>
  <c r="I10" i="16" s="1"/>
  <c r="H470" i="16"/>
  <c r="H10" i="16" s="1"/>
  <c r="G470" i="16"/>
  <c r="G10" i="16" s="1"/>
  <c r="F470" i="16"/>
  <c r="F10" i="16" s="1"/>
  <c r="E470" i="16"/>
  <c r="E10" i="16" s="1"/>
  <c r="D470" i="16"/>
  <c r="D10" i="16" s="1"/>
  <c r="C470" i="16"/>
  <c r="C10" i="16" s="1"/>
  <c r="AC469" i="16"/>
  <c r="AB469" i="16"/>
  <c r="AA469" i="16"/>
  <c r="Z469" i="16"/>
  <c r="Y469" i="16"/>
  <c r="V469" i="16"/>
  <c r="B469" i="16"/>
  <c r="B468" i="16"/>
  <c r="B467" i="16"/>
  <c r="B466" i="16"/>
  <c r="B465" i="16"/>
  <c r="AK463" i="16"/>
  <c r="AK9" i="16" s="1"/>
  <c r="AJ463" i="16"/>
  <c r="AH463" i="16"/>
  <c r="AH9" i="16" s="1"/>
  <c r="AG463" i="16"/>
  <c r="I463" i="16"/>
  <c r="I9" i="16" s="1"/>
  <c r="H463" i="16"/>
  <c r="H9" i="16" s="1"/>
  <c r="G463" i="16"/>
  <c r="G9" i="16" s="1"/>
  <c r="F463" i="16"/>
  <c r="F9" i="16" s="1"/>
  <c r="E463" i="16"/>
  <c r="E9" i="16" s="1"/>
  <c r="D463" i="16"/>
  <c r="C463" i="16"/>
  <c r="C9" i="16" s="1"/>
  <c r="AC462" i="16"/>
  <c r="AB462" i="16"/>
  <c r="AA462" i="16"/>
  <c r="Z462" i="16"/>
  <c r="Y462" i="16"/>
  <c r="V462" i="16"/>
  <c r="B462" i="16"/>
  <c r="AC461" i="16"/>
  <c r="AB461" i="16"/>
  <c r="AA461" i="16"/>
  <c r="Z461" i="16"/>
  <c r="Y461" i="16"/>
  <c r="V461" i="16"/>
  <c r="B461" i="16"/>
  <c r="U461" i="16" s="1"/>
  <c r="AC460" i="16"/>
  <c r="AB460" i="16"/>
  <c r="AA460" i="16"/>
  <c r="Z460" i="16"/>
  <c r="Y460" i="16"/>
  <c r="V460" i="16"/>
  <c r="B460" i="16"/>
  <c r="U460" i="16" s="1"/>
  <c r="AC459" i="16"/>
  <c r="AB459" i="16"/>
  <c r="AA459" i="16"/>
  <c r="Z459" i="16"/>
  <c r="Y459" i="16"/>
  <c r="V459" i="16"/>
  <c r="B459" i="16"/>
  <c r="AK457" i="16"/>
  <c r="AJ457" i="16"/>
  <c r="AH457" i="16"/>
  <c r="AH8" i="16" s="1"/>
  <c r="AG457" i="16"/>
  <c r="AG8" i="16" s="1"/>
  <c r="I457" i="16"/>
  <c r="I8" i="16" s="1"/>
  <c r="H457" i="16"/>
  <c r="G457" i="16"/>
  <c r="G8" i="16" s="1"/>
  <c r="F457" i="16"/>
  <c r="F8" i="16" s="1"/>
  <c r="E457" i="16"/>
  <c r="E8" i="16" s="1"/>
  <c r="D457" i="16"/>
  <c r="C457" i="16"/>
  <c r="AC456" i="16"/>
  <c r="AB456" i="16"/>
  <c r="AA456" i="16"/>
  <c r="Z456" i="16"/>
  <c r="Y456" i="16"/>
  <c r="V456" i="16"/>
  <c r="B456" i="16"/>
  <c r="AC455" i="16"/>
  <c r="AB455" i="16"/>
  <c r="AA455" i="16"/>
  <c r="Z455" i="16"/>
  <c r="Y455" i="16"/>
  <c r="V455" i="16"/>
  <c r="B455" i="16"/>
  <c r="U455" i="16" s="1"/>
  <c r="I383" i="16"/>
  <c r="H383" i="16"/>
  <c r="G383" i="16"/>
  <c r="F383" i="16"/>
  <c r="E383" i="16"/>
  <c r="D383" i="16"/>
  <c r="C383" i="16"/>
  <c r="B379" i="16" a="1"/>
  <c r="B379" i="16" s="1"/>
  <c r="C443" i="16" s="1"/>
  <c r="I314" i="16"/>
  <c r="H314" i="16"/>
  <c r="G314" i="16"/>
  <c r="F314" i="16"/>
  <c r="E314" i="16"/>
  <c r="D314" i="16"/>
  <c r="C314" i="16"/>
  <c r="H243" i="16"/>
  <c r="G243" i="16"/>
  <c r="F243" i="16"/>
  <c r="E243" i="16"/>
  <c r="D243" i="16"/>
  <c r="C243" i="16"/>
  <c r="H238" i="16"/>
  <c r="G238" i="16"/>
  <c r="F238" i="16"/>
  <c r="E238" i="16"/>
  <c r="D238" i="16"/>
  <c r="C238" i="16"/>
  <c r="H232" i="16"/>
  <c r="G232" i="16"/>
  <c r="F232" i="16"/>
  <c r="E232" i="16"/>
  <c r="D232" i="16"/>
  <c r="C232" i="16"/>
  <c r="H226" i="16"/>
  <c r="G226" i="16"/>
  <c r="F226" i="16"/>
  <c r="E226" i="16"/>
  <c r="D226" i="16"/>
  <c r="C226" i="16"/>
  <c r="I218" i="16"/>
  <c r="H218" i="16"/>
  <c r="G218" i="16"/>
  <c r="F218" i="16"/>
  <c r="E218" i="16"/>
  <c r="D218" i="16"/>
  <c r="C218" i="16"/>
  <c r="I216" i="16"/>
  <c r="H216" i="16"/>
  <c r="G216" i="16"/>
  <c r="F216" i="16"/>
  <c r="E216" i="16"/>
  <c r="D216" i="16"/>
  <c r="C216" i="16"/>
  <c r="I207" i="16"/>
  <c r="H207" i="16"/>
  <c r="G207" i="16"/>
  <c r="F207" i="16"/>
  <c r="E207" i="16"/>
  <c r="D207" i="16"/>
  <c r="C207" i="16"/>
  <c r="I206" i="16"/>
  <c r="H206" i="16"/>
  <c r="G206" i="16"/>
  <c r="F206" i="16"/>
  <c r="E206" i="16"/>
  <c r="D206" i="16"/>
  <c r="C206" i="16"/>
  <c r="I205" i="16"/>
  <c r="H205" i="16"/>
  <c r="G205" i="16"/>
  <c r="F205" i="16"/>
  <c r="E205" i="16"/>
  <c r="D205" i="16"/>
  <c r="C205" i="16"/>
  <c r="A205" i="16"/>
  <c r="I204" i="16"/>
  <c r="H204" i="16"/>
  <c r="G204" i="16"/>
  <c r="F204" i="16"/>
  <c r="E204" i="16"/>
  <c r="D204" i="16"/>
  <c r="C204" i="16"/>
  <c r="I203" i="16"/>
  <c r="H203" i="16"/>
  <c r="G203" i="16"/>
  <c r="F203" i="16"/>
  <c r="E203" i="16"/>
  <c r="D203" i="16"/>
  <c r="C203" i="16"/>
  <c r="I202" i="16"/>
  <c r="H202" i="16"/>
  <c r="G202" i="16"/>
  <c r="F202" i="16"/>
  <c r="E202" i="16"/>
  <c r="D202" i="16"/>
  <c r="C202" i="16"/>
  <c r="AE200" i="16"/>
  <c r="I200" i="16"/>
  <c r="H200" i="16"/>
  <c r="G200" i="16"/>
  <c r="F200" i="16"/>
  <c r="E200" i="16"/>
  <c r="D200" i="16"/>
  <c r="C200" i="16"/>
  <c r="AE199" i="16"/>
  <c r="AE198" i="16" s="1"/>
  <c r="AE197" i="16"/>
  <c r="J197" i="16"/>
  <c r="AE195" i="16"/>
  <c r="J195" i="16"/>
  <c r="B189" i="16"/>
  <c r="B157" i="16" s="1"/>
  <c r="B188" i="16"/>
  <c r="B181" i="16"/>
  <c r="AK180" i="16"/>
  <c r="AJ180" i="16"/>
  <c r="AJ182" i="16" s="1"/>
  <c r="AH180" i="16"/>
  <c r="AH182" i="16" s="1"/>
  <c r="AH184" i="16" s="1"/>
  <c r="AG183" i="16" s="1"/>
  <c r="AG180" i="16"/>
  <c r="B179" i="16"/>
  <c r="AK178" i="16"/>
  <c r="AJ178" i="16"/>
  <c r="AH178" i="16"/>
  <c r="AG178" i="16"/>
  <c r="I178" i="16"/>
  <c r="H178" i="16"/>
  <c r="G178" i="16"/>
  <c r="F178" i="16"/>
  <c r="E178" i="16"/>
  <c r="D178" i="16"/>
  <c r="C178" i="16"/>
  <c r="B177" i="16"/>
  <c r="B206" i="16" s="1"/>
  <c r="B176" i="16"/>
  <c r="AC175" i="16"/>
  <c r="AB175" i="16"/>
  <c r="AA175" i="16"/>
  <c r="Z175" i="16"/>
  <c r="V175" i="16"/>
  <c r="B175" i="16"/>
  <c r="X175" i="16" s="1"/>
  <c r="AC174" i="16"/>
  <c r="AB174" i="16"/>
  <c r="AA174" i="16"/>
  <c r="Z174" i="16"/>
  <c r="Y174" i="16"/>
  <c r="V174" i="16"/>
  <c r="B174" i="16"/>
  <c r="X174" i="16" s="1"/>
  <c r="AC173" i="16"/>
  <c r="AB173" i="16"/>
  <c r="AA173" i="16"/>
  <c r="Z173" i="16"/>
  <c r="V173" i="16"/>
  <c r="B173" i="16"/>
  <c r="U173" i="16" s="1"/>
  <c r="AC172" i="16"/>
  <c r="AB172" i="16"/>
  <c r="AA172" i="16"/>
  <c r="Z172" i="16"/>
  <c r="Y172" i="16"/>
  <c r="V172" i="16"/>
  <c r="B172" i="16"/>
  <c r="X172" i="16" s="1"/>
  <c r="B171" i="16"/>
  <c r="B170" i="16"/>
  <c r="B169" i="16"/>
  <c r="B168" i="16"/>
  <c r="AK167" i="16"/>
  <c r="AJ167" i="16"/>
  <c r="AH167" i="16"/>
  <c r="AG167" i="16"/>
  <c r="I167" i="16"/>
  <c r="H167" i="16"/>
  <c r="F167" i="16"/>
  <c r="E167" i="16"/>
  <c r="D167" i="16"/>
  <c r="C167" i="16"/>
  <c r="B166" i="16"/>
  <c r="AC165" i="16"/>
  <c r="AB165" i="16"/>
  <c r="AA165" i="16"/>
  <c r="Z165" i="16"/>
  <c r="Y165" i="16"/>
  <c r="V165" i="16"/>
  <c r="B165" i="16"/>
  <c r="U165" i="16" s="1"/>
  <c r="B164" i="16"/>
  <c r="AB163" i="16"/>
  <c r="AA163" i="16"/>
  <c r="Z163" i="16"/>
  <c r="Y163" i="16"/>
  <c r="B163" i="16"/>
  <c r="B207" i="16" s="1"/>
  <c r="B162" i="16"/>
  <c r="B204" i="16" s="1"/>
  <c r="AC161" i="16"/>
  <c r="AB161" i="16"/>
  <c r="AA161" i="16"/>
  <c r="Z161" i="16"/>
  <c r="Y161" i="16"/>
  <c r="V161" i="16"/>
  <c r="B161" i="16"/>
  <c r="X161" i="16" s="1"/>
  <c r="I158" i="16"/>
  <c r="H158" i="16"/>
  <c r="G158" i="16"/>
  <c r="F158" i="16"/>
  <c r="E158" i="16"/>
  <c r="D158" i="16"/>
  <c r="C158" i="16"/>
  <c r="I157" i="16"/>
  <c r="H157" i="16"/>
  <c r="G157" i="16"/>
  <c r="F157" i="16"/>
  <c r="E157" i="16"/>
  <c r="D157" i="16"/>
  <c r="C157" i="16"/>
  <c r="I156" i="16"/>
  <c r="H156" i="16"/>
  <c r="G156" i="16"/>
  <c r="F156" i="16"/>
  <c r="E156" i="16"/>
  <c r="D156" i="16"/>
  <c r="C156" i="16"/>
  <c r="I155" i="16"/>
  <c r="H155" i="16"/>
  <c r="G155" i="16"/>
  <c r="F155" i="16"/>
  <c r="E155" i="16"/>
  <c r="D155" i="16"/>
  <c r="C155" i="16"/>
  <c r="AC149" i="16"/>
  <c r="AB149" i="16"/>
  <c r="AA149" i="16"/>
  <c r="Z149" i="16"/>
  <c r="Y149" i="16"/>
  <c r="V149" i="16"/>
  <c r="B149" i="16"/>
  <c r="U149" i="16" s="1"/>
  <c r="AC148" i="16"/>
  <c r="AB148" i="16"/>
  <c r="AA148" i="16"/>
  <c r="Z148" i="16"/>
  <c r="Y148" i="16"/>
  <c r="B148" i="16"/>
  <c r="X148" i="16" s="1"/>
  <c r="AC147" i="16"/>
  <c r="AB147" i="16"/>
  <c r="AA147" i="16"/>
  <c r="Z147" i="16"/>
  <c r="Y147" i="16"/>
  <c r="B147" i="16"/>
  <c r="X147" i="16" s="1"/>
  <c r="AC146" i="16"/>
  <c r="AB146" i="16"/>
  <c r="AA146" i="16"/>
  <c r="Z146" i="16"/>
  <c r="Y146" i="16"/>
  <c r="B146" i="16"/>
  <c r="X146" i="16" s="1"/>
  <c r="AC145" i="16"/>
  <c r="AB145" i="16"/>
  <c r="AA145" i="16"/>
  <c r="Z145" i="16"/>
  <c r="Y145" i="16"/>
  <c r="V145" i="16"/>
  <c r="B145" i="16"/>
  <c r="X145" i="16" s="1"/>
  <c r="AK143" i="16"/>
  <c r="AJ143" i="16"/>
  <c r="AH143" i="16"/>
  <c r="AG143" i="16"/>
  <c r="B142" i="16"/>
  <c r="B141" i="16"/>
  <c r="B140" i="16"/>
  <c r="B139" i="16"/>
  <c r="B138" i="16"/>
  <c r="AC137" i="16"/>
  <c r="AB137" i="16"/>
  <c r="AA137" i="16"/>
  <c r="Z137" i="16"/>
  <c r="Y137" i="16"/>
  <c r="V137" i="16"/>
  <c r="B137" i="16"/>
  <c r="B158" i="16" s="1"/>
  <c r="AC136" i="16"/>
  <c r="AB136" i="16"/>
  <c r="AA136" i="16"/>
  <c r="Z136" i="16"/>
  <c r="Y136" i="16"/>
  <c r="V136" i="16"/>
  <c r="B136" i="16"/>
  <c r="AC135" i="16"/>
  <c r="AB135" i="16"/>
  <c r="AA135" i="16"/>
  <c r="Z135" i="16"/>
  <c r="Y135" i="16"/>
  <c r="B135" i="16"/>
  <c r="X135" i="16" s="1"/>
  <c r="AC134" i="16"/>
  <c r="AB134" i="16"/>
  <c r="AA134" i="16"/>
  <c r="Z134" i="16"/>
  <c r="Y134" i="16"/>
  <c r="V134" i="16"/>
  <c r="B134" i="16"/>
  <c r="X134" i="16" s="1"/>
  <c r="V133" i="16"/>
  <c r="B133" i="16"/>
  <c r="U133" i="16" s="1"/>
  <c r="AB132" i="16"/>
  <c r="AA132" i="16"/>
  <c r="Z132" i="16"/>
  <c r="Y132" i="16"/>
  <c r="B132" i="16"/>
  <c r="X132" i="16" s="1"/>
  <c r="B131" i="16"/>
  <c r="B130" i="16"/>
  <c r="B129" i="16"/>
  <c r="AB128" i="16"/>
  <c r="AA128" i="16"/>
  <c r="Z128" i="16"/>
  <c r="Y128" i="16"/>
  <c r="B128" i="16"/>
  <c r="X128" i="16" s="1"/>
  <c r="AC127" i="16"/>
  <c r="AB127" i="16"/>
  <c r="AA127" i="16"/>
  <c r="Z127" i="16"/>
  <c r="Y127" i="16"/>
  <c r="B127" i="16"/>
  <c r="U127" i="16" s="1"/>
  <c r="I87" i="16"/>
  <c r="H87" i="16"/>
  <c r="G87" i="16"/>
  <c r="F87" i="16"/>
  <c r="E87" i="16"/>
  <c r="D87" i="16"/>
  <c r="C87" i="16"/>
  <c r="I83" i="16"/>
  <c r="H83" i="16"/>
  <c r="G83" i="16"/>
  <c r="F83" i="16"/>
  <c r="E83" i="16"/>
  <c r="D83" i="16"/>
  <c r="C83" i="16"/>
  <c r="H79" i="16"/>
  <c r="H404" i="16" s="1"/>
  <c r="G79" i="16"/>
  <c r="G404" i="16" s="1"/>
  <c r="F79" i="16"/>
  <c r="F404" i="16" s="1"/>
  <c r="E79" i="16"/>
  <c r="E404" i="16" s="1"/>
  <c r="D79" i="16"/>
  <c r="D404" i="16" s="1"/>
  <c r="C79" i="16"/>
  <c r="C404" i="16" s="1"/>
  <c r="B77" i="16"/>
  <c r="A69" i="16"/>
  <c r="AK67" i="16"/>
  <c r="AJ67" i="16"/>
  <c r="AH67" i="16"/>
  <c r="AG67" i="16"/>
  <c r="AH62" i="16"/>
  <c r="AG62" i="16"/>
  <c r="A61" i="16"/>
  <c r="AK57" i="16"/>
  <c r="AJ57" i="16"/>
  <c r="AH57" i="16"/>
  <c r="AG57" i="16"/>
  <c r="AK47" i="16"/>
  <c r="AJ47" i="16"/>
  <c r="AH47" i="16"/>
  <c r="AG47" i="16"/>
  <c r="I47" i="16"/>
  <c r="I380" i="16" s="1"/>
  <c r="I381" i="16" s="1"/>
  <c r="H47" i="16"/>
  <c r="H380" i="16" s="1"/>
  <c r="H381" i="16" s="1"/>
  <c r="G47" i="16"/>
  <c r="G380" i="16" s="1"/>
  <c r="G381" i="16" s="1"/>
  <c r="F47" i="16"/>
  <c r="F380" i="16" s="1"/>
  <c r="F381" i="16" s="1"/>
  <c r="E47" i="16"/>
  <c r="E380" i="16" s="1"/>
  <c r="E381" i="16" s="1"/>
  <c r="D47" i="16"/>
  <c r="D380" i="16" s="1"/>
  <c r="D381" i="16" s="1"/>
  <c r="C47" i="16"/>
  <c r="C380" i="16" s="1"/>
  <c r="C381" i="16" s="1"/>
  <c r="B46" i="16"/>
  <c r="B314" i="16" s="1"/>
  <c r="B45" i="16"/>
  <c r="AD40" i="16"/>
  <c r="AC40" i="16"/>
  <c r="AB40" i="16"/>
  <c r="AA40" i="16"/>
  <c r="Z40" i="16"/>
  <c r="Y40" i="16"/>
  <c r="V40" i="16"/>
  <c r="T40" i="16"/>
  <c r="B40" i="16"/>
  <c r="AK39" i="16"/>
  <c r="AK41" i="16" s="1"/>
  <c r="AJ39" i="16"/>
  <c r="AJ41" i="16" s="1"/>
  <c r="AH39" i="16"/>
  <c r="AH41" i="16" s="1"/>
  <c r="AG39" i="16"/>
  <c r="AG41" i="16" s="1"/>
  <c r="I39" i="16"/>
  <c r="I41" i="16" s="1"/>
  <c r="H39" i="16"/>
  <c r="H41" i="16" s="1"/>
  <c r="G39" i="16"/>
  <c r="G41" i="16" s="1"/>
  <c r="F39" i="16"/>
  <c r="E39" i="16"/>
  <c r="E41" i="16" s="1"/>
  <c r="D39" i="16"/>
  <c r="D41" i="16" s="1"/>
  <c r="C39" i="16"/>
  <c r="C41" i="16" s="1"/>
  <c r="AD38" i="16"/>
  <c r="AC38" i="16"/>
  <c r="AB38" i="16"/>
  <c r="AA38" i="16"/>
  <c r="Z38" i="16"/>
  <c r="Y38" i="16"/>
  <c r="V38" i="16"/>
  <c r="T38" i="16"/>
  <c r="B38" i="16"/>
  <c r="U38" i="16" s="1"/>
  <c r="AD37" i="16"/>
  <c r="AC37" i="16"/>
  <c r="AB37" i="16"/>
  <c r="AA37" i="16"/>
  <c r="Z37" i="16"/>
  <c r="Y37" i="16"/>
  <c r="V37" i="16"/>
  <c r="T37" i="16"/>
  <c r="B37" i="16"/>
  <c r="U37" i="16" s="1"/>
  <c r="AD36" i="16"/>
  <c r="AC36" i="16"/>
  <c r="AB36" i="16"/>
  <c r="AA36" i="16"/>
  <c r="Z36" i="16"/>
  <c r="Y36" i="16"/>
  <c r="V36" i="16"/>
  <c r="B36" i="16"/>
  <c r="AD35" i="16"/>
  <c r="AC35" i="16"/>
  <c r="AB35" i="16"/>
  <c r="AA35" i="16"/>
  <c r="Z35" i="16"/>
  <c r="Y35" i="16"/>
  <c r="V35" i="16"/>
  <c r="T35" i="16"/>
  <c r="B35" i="16"/>
  <c r="X35" i="16" s="1"/>
  <c r="AD34" i="16"/>
  <c r="AC34" i="16"/>
  <c r="AB34" i="16"/>
  <c r="AA34" i="16"/>
  <c r="Z34" i="16"/>
  <c r="Y34" i="16"/>
  <c r="V34" i="16"/>
  <c r="T34" i="16"/>
  <c r="B34" i="16"/>
  <c r="G31" i="16"/>
  <c r="A31" i="16"/>
  <c r="B30" i="16"/>
  <c r="AD29" i="16"/>
  <c r="AC29" i="16"/>
  <c r="AB29" i="16"/>
  <c r="AA29" i="16"/>
  <c r="Z29" i="16"/>
  <c r="Y29" i="16"/>
  <c r="V29" i="16"/>
  <c r="T29" i="16"/>
  <c r="B29" i="16"/>
  <c r="U29" i="16" s="1"/>
  <c r="A27" i="16"/>
  <c r="AD26" i="16"/>
  <c r="AC26" i="16"/>
  <c r="AB26" i="16"/>
  <c r="AA26" i="16"/>
  <c r="Z26" i="16"/>
  <c r="Y26" i="16"/>
  <c r="V26" i="16"/>
  <c r="T26" i="16"/>
  <c r="B26" i="16"/>
  <c r="X26" i="16" s="1"/>
  <c r="AD25" i="16"/>
  <c r="AC25" i="16"/>
  <c r="AB25" i="16"/>
  <c r="AA25" i="16"/>
  <c r="Z25" i="16"/>
  <c r="Y25" i="16"/>
  <c r="V25" i="16"/>
  <c r="T25" i="16"/>
  <c r="B25" i="16"/>
  <c r="U25" i="16" s="1"/>
  <c r="F21" i="16"/>
  <c r="D21" i="16"/>
  <c r="A21" i="16"/>
  <c r="G20" i="16"/>
  <c r="E20" i="16"/>
  <c r="D20" i="16"/>
  <c r="A20" i="16"/>
  <c r="AD19" i="16"/>
  <c r="AC19" i="16"/>
  <c r="AB19" i="16"/>
  <c r="AA19" i="16"/>
  <c r="Z19" i="16"/>
  <c r="Y19" i="16"/>
  <c r="V19" i="16"/>
  <c r="T19" i="16"/>
  <c r="B19" i="16"/>
  <c r="X19" i="16" s="1"/>
  <c r="B18" i="16"/>
  <c r="AD16" i="16"/>
  <c r="AC16" i="16"/>
  <c r="AB16" i="16"/>
  <c r="AA16" i="16"/>
  <c r="Z16" i="16"/>
  <c r="Y16" i="16"/>
  <c r="V16" i="16"/>
  <c r="T16" i="16"/>
  <c r="B16" i="16"/>
  <c r="AK15" i="16"/>
  <c r="AK17" i="16" s="1"/>
  <c r="AJ15" i="16"/>
  <c r="AJ17" i="16" s="1"/>
  <c r="AH15" i="16"/>
  <c r="AH17" i="16" s="1"/>
  <c r="AG15" i="16"/>
  <c r="AG17" i="16" s="1"/>
  <c r="I15" i="16"/>
  <c r="I217" i="16" s="1"/>
  <c r="H15" i="16"/>
  <c r="H217" i="16" s="1"/>
  <c r="G15" i="16"/>
  <c r="G217" i="16" s="1"/>
  <c r="F15" i="16"/>
  <c r="F217" i="16" s="1"/>
  <c r="E15" i="16"/>
  <c r="E217" i="16" s="1"/>
  <c r="D15" i="16"/>
  <c r="D217" i="16" s="1"/>
  <c r="C15" i="16"/>
  <c r="C217" i="16" s="1"/>
  <c r="AD14" i="16"/>
  <c r="AC14" i="16"/>
  <c r="AB14" i="16"/>
  <c r="AA14" i="16"/>
  <c r="Z14" i="16"/>
  <c r="Y14" i="16"/>
  <c r="V14" i="16"/>
  <c r="T14" i="16"/>
  <c r="B14" i="16"/>
  <c r="U14" i="16" s="1"/>
  <c r="AD13" i="16"/>
  <c r="AC13" i="16"/>
  <c r="AB13" i="16"/>
  <c r="AA13" i="16"/>
  <c r="Z13" i="16"/>
  <c r="Y13" i="16"/>
  <c r="V13" i="16"/>
  <c r="T13" i="16"/>
  <c r="B13" i="16"/>
  <c r="U13" i="16" s="1"/>
  <c r="AD12" i="16"/>
  <c r="AC12" i="16"/>
  <c r="AB12" i="16"/>
  <c r="AA12" i="16"/>
  <c r="Z12" i="16"/>
  <c r="Y12" i="16"/>
  <c r="V12" i="16"/>
  <c r="T12" i="16"/>
  <c r="B12" i="16"/>
  <c r="X12" i="16" s="1"/>
  <c r="AJ10" i="16"/>
  <c r="AH10" i="16"/>
  <c r="A10" i="16"/>
  <c r="AJ9" i="16"/>
  <c r="AG9" i="16"/>
  <c r="A9" i="16"/>
  <c r="AK8" i="16"/>
  <c r="AJ8" i="16"/>
  <c r="C8" i="16"/>
  <c r="A8" i="16"/>
  <c r="B7" i="16"/>
  <c r="AD6" i="16"/>
  <c r="AC6" i="16"/>
  <c r="AB6" i="16"/>
  <c r="AA6" i="16"/>
  <c r="Z6" i="16"/>
  <c r="Y6" i="16"/>
  <c r="V6" i="16"/>
  <c r="T6" i="16"/>
  <c r="B6" i="16"/>
  <c r="X6" i="16" s="1"/>
  <c r="C154" i="8"/>
  <c r="D426" i="8"/>
  <c r="C426" i="8"/>
  <c r="B426" i="8"/>
  <c r="D425" i="8"/>
  <c r="C425" i="8"/>
  <c r="B425" i="8"/>
  <c r="B424" i="8"/>
  <c r="D423" i="8"/>
  <c r="C423" i="8"/>
  <c r="B423" i="8"/>
  <c r="D422" i="8"/>
  <c r="C422" i="8"/>
  <c r="B422" i="8"/>
  <c r="I382" i="8"/>
  <c r="H382" i="8"/>
  <c r="G382" i="8"/>
  <c r="F382" i="8"/>
  <c r="E382" i="8"/>
  <c r="D382" i="8"/>
  <c r="C382" i="8"/>
  <c r="B378" i="8" a="1"/>
  <c r="B378" i="8" s="1"/>
  <c r="B439" i="8"/>
  <c r="U439" i="8" s="1"/>
  <c r="V439" i="8"/>
  <c r="Y439" i="8"/>
  <c r="Z439" i="8"/>
  <c r="AA439" i="8"/>
  <c r="AB439" i="8"/>
  <c r="AC439" i="8"/>
  <c r="D104" i="8"/>
  <c r="F104" i="8"/>
  <c r="H104" i="8"/>
  <c r="I104" i="8"/>
  <c r="C57" i="16" l="1"/>
  <c r="D443" i="16"/>
  <c r="B443" i="16"/>
  <c r="V243" i="16"/>
  <c r="I57" i="16"/>
  <c r="V226" i="16"/>
  <c r="V238" i="16"/>
  <c r="V204" i="16"/>
  <c r="T204" i="16"/>
  <c r="G57" i="16"/>
  <c r="V218" i="16"/>
  <c r="D57" i="16"/>
  <c r="T218" i="16"/>
  <c r="V205" i="16"/>
  <c r="H219" i="16"/>
  <c r="Y167" i="16"/>
  <c r="X14" i="16"/>
  <c r="W14" i="16" s="1"/>
  <c r="I219" i="16"/>
  <c r="Z482" i="16"/>
  <c r="AB510" i="16"/>
  <c r="T87" i="16"/>
  <c r="V232" i="16"/>
  <c r="Y457" i="16"/>
  <c r="V203" i="16"/>
  <c r="U204" i="16"/>
  <c r="T203" i="16"/>
  <c r="T216" i="16"/>
  <c r="V217" i="16"/>
  <c r="V83" i="16"/>
  <c r="T83" i="16"/>
  <c r="C20" i="16"/>
  <c r="B20" i="16" s="1"/>
  <c r="U20" i="16" s="1"/>
  <c r="B87" i="16"/>
  <c r="U87" i="16" s="1"/>
  <c r="AJ22" i="16"/>
  <c r="W505" i="16"/>
  <c r="B218" i="16"/>
  <c r="U218" i="16" s="1"/>
  <c r="Z167" i="16"/>
  <c r="D219" i="16"/>
  <c r="V216" i="16"/>
  <c r="T217" i="16"/>
  <c r="C103" i="8"/>
  <c r="C108" i="8" s="1"/>
  <c r="B103" i="8"/>
  <c r="AD20" i="16"/>
  <c r="G11" i="16"/>
  <c r="V87" i="16"/>
  <c r="AA482" i="16"/>
  <c r="H57" i="16"/>
  <c r="AK22" i="16"/>
  <c r="Y463" i="16"/>
  <c r="E57" i="16"/>
  <c r="V463" i="16"/>
  <c r="F57" i="16"/>
  <c r="AB39" i="16"/>
  <c r="AG22" i="16"/>
  <c r="AH22" i="16"/>
  <c r="W497" i="16"/>
  <c r="AD31" i="16"/>
  <c r="AC20" i="16"/>
  <c r="V457" i="16"/>
  <c r="V10" i="16"/>
  <c r="E49" i="16"/>
  <c r="E300" i="16" s="1"/>
  <c r="B15" i="16"/>
  <c r="B217" i="16" s="1"/>
  <c r="AC15" i="16"/>
  <c r="E67" i="16"/>
  <c r="W6" i="16"/>
  <c r="AA510" i="16"/>
  <c r="AJ11" i="16"/>
  <c r="W12" i="16"/>
  <c r="AC31" i="16"/>
  <c r="T39" i="16"/>
  <c r="AB9" i="16"/>
  <c r="T21" i="16"/>
  <c r="AK11" i="16"/>
  <c r="X37" i="16"/>
  <c r="W37" i="16" s="1"/>
  <c r="Y39" i="16"/>
  <c r="AH11" i="16"/>
  <c r="Z10" i="16"/>
  <c r="T10" i="16"/>
  <c r="B9" i="16"/>
  <c r="X9" i="16" s="1"/>
  <c r="Z20" i="16"/>
  <c r="AH68" i="16"/>
  <c r="AH70" i="16" s="1"/>
  <c r="AH72" i="16" s="1"/>
  <c r="AH74" i="16" s="1"/>
  <c r="D9" i="16"/>
  <c r="Y9" i="16" s="1"/>
  <c r="U19" i="16"/>
  <c r="AB20" i="16"/>
  <c r="AH33" i="16"/>
  <c r="AH42" i="16" s="1"/>
  <c r="T8" i="16"/>
  <c r="I67" i="16"/>
  <c r="H67" i="16"/>
  <c r="W145" i="16"/>
  <c r="G67" i="16"/>
  <c r="W507" i="16"/>
  <c r="U145" i="16"/>
  <c r="U175" i="16"/>
  <c r="AA21" i="16"/>
  <c r="AB31" i="16"/>
  <c r="W504" i="16"/>
  <c r="Z510" i="16"/>
  <c r="F67" i="16"/>
  <c r="H8" i="16"/>
  <c r="G225" i="16" s="1"/>
  <c r="AA15" i="16"/>
  <c r="W147" i="16"/>
  <c r="AA167" i="16"/>
  <c r="D67" i="16"/>
  <c r="C67" i="16"/>
  <c r="AA31" i="16"/>
  <c r="AA10" i="16"/>
  <c r="AB10" i="16"/>
  <c r="V21" i="16"/>
  <c r="AD21" i="16"/>
  <c r="F284" i="16"/>
  <c r="F344" i="16" s="1"/>
  <c r="F28" i="16"/>
  <c r="F255" i="16" s="1"/>
  <c r="AB27" i="16"/>
  <c r="G284" i="16"/>
  <c r="G344" i="16" s="1"/>
  <c r="G28" i="16"/>
  <c r="G255" i="16" s="1"/>
  <c r="AC27" i="16"/>
  <c r="Z21" i="16"/>
  <c r="B498" i="16"/>
  <c r="B31" i="16" s="1"/>
  <c r="U31" i="16" s="1"/>
  <c r="D8" i="16"/>
  <c r="AB21" i="16"/>
  <c r="X165" i="16"/>
  <c r="W165" i="16" s="1"/>
  <c r="B232" i="16"/>
  <c r="U232" i="16" s="1"/>
  <c r="B489" i="16"/>
  <c r="B21" i="16" s="1"/>
  <c r="X21" i="16" s="1"/>
  <c r="U497" i="16"/>
  <c r="AA9" i="16"/>
  <c r="Z31" i="16"/>
  <c r="AK33" i="16"/>
  <c r="AK42" i="16" s="1"/>
  <c r="Y482" i="16"/>
  <c r="X484" i="16"/>
  <c r="W484" i="16" s="1"/>
  <c r="Y510" i="16"/>
  <c r="D17" i="16"/>
  <c r="D22" i="16" s="1"/>
  <c r="X29" i="16"/>
  <c r="W29" i="16" s="1"/>
  <c r="W35" i="16"/>
  <c r="B47" i="16"/>
  <c r="B49" i="16" s="1"/>
  <c r="B300" i="16" s="1"/>
  <c r="X163" i="16"/>
  <c r="W473" i="16"/>
  <c r="W476" i="16"/>
  <c r="W479" i="16"/>
  <c r="AC10" i="16"/>
  <c r="AJ33" i="16"/>
  <c r="AJ42" i="16" s="1"/>
  <c r="U172" i="16"/>
  <c r="I11" i="16"/>
  <c r="F17" i="16"/>
  <c r="F22" i="16" s="1"/>
  <c r="W474" i="16"/>
  <c r="W477" i="16"/>
  <c r="W480" i="16"/>
  <c r="AC21" i="16"/>
  <c r="F11" i="16"/>
  <c r="E219" i="16"/>
  <c r="H17" i="16"/>
  <c r="H22" i="16" s="1"/>
  <c r="AA20" i="16"/>
  <c r="B39" i="16"/>
  <c r="B41" i="16" s="1"/>
  <c r="U41" i="16" s="1"/>
  <c r="H49" i="16"/>
  <c r="H300" i="16" s="1"/>
  <c r="U137" i="16"/>
  <c r="U161" i="16"/>
  <c r="AE201" i="16"/>
  <c r="AB482" i="16"/>
  <c r="B203" i="16"/>
  <c r="U203" i="16" s="1"/>
  <c r="AG11" i="16"/>
  <c r="F219" i="16"/>
  <c r="I17" i="16"/>
  <c r="I22" i="16" s="1"/>
  <c r="W26" i="16"/>
  <c r="I49" i="16"/>
  <c r="I300" i="16" s="1"/>
  <c r="B167" i="16"/>
  <c r="X167" i="16" s="1"/>
  <c r="V482" i="16"/>
  <c r="X496" i="16"/>
  <c r="W496" i="16" s="1"/>
  <c r="U16" i="16"/>
  <c r="H28" i="16"/>
  <c r="H255" i="16" s="1"/>
  <c r="U34" i="16"/>
  <c r="B470" i="16"/>
  <c r="B10" i="16" s="1"/>
  <c r="X10" i="16" s="1"/>
  <c r="W478" i="16"/>
  <c r="Y21" i="16"/>
  <c r="T31" i="16"/>
  <c r="X137" i="16"/>
  <c r="W137" i="16" s="1"/>
  <c r="B178" i="16"/>
  <c r="W472" i="16"/>
  <c r="W148" i="16"/>
  <c r="U12" i="16"/>
  <c r="X13" i="16"/>
  <c r="W13" i="16" s="1"/>
  <c r="Z15" i="16"/>
  <c r="W19" i="16"/>
  <c r="Y31" i="16"/>
  <c r="B79" i="16"/>
  <c r="B404" i="16" s="1"/>
  <c r="B405" i="16" s="1"/>
  <c r="AC482" i="16"/>
  <c r="W508" i="16"/>
  <c r="Y32" i="16"/>
  <c r="C388" i="16"/>
  <c r="C392" i="16" s="1"/>
  <c r="C288" i="16"/>
  <c r="Y41" i="16"/>
  <c r="T32" i="16"/>
  <c r="X20" i="16"/>
  <c r="H344" i="16"/>
  <c r="H299" i="16"/>
  <c r="H382" i="16"/>
  <c r="H384" i="16" s="1"/>
  <c r="I388" i="16"/>
  <c r="I392" i="16" s="1"/>
  <c r="I288" i="16"/>
  <c r="T41" i="16"/>
  <c r="AG33" i="16"/>
  <c r="AG42" i="16" s="1"/>
  <c r="B383" i="16"/>
  <c r="V9" i="16"/>
  <c r="Y15" i="16"/>
  <c r="AA27" i="16"/>
  <c r="U35" i="16"/>
  <c r="E388" i="16"/>
  <c r="E392" i="16" s="1"/>
  <c r="E288" i="16"/>
  <c r="C405" i="16"/>
  <c r="F225" i="16"/>
  <c r="U26" i="16"/>
  <c r="C344" i="16"/>
  <c r="C299" i="16"/>
  <c r="C382" i="16"/>
  <c r="C384" i="16" s="1"/>
  <c r="X38" i="16"/>
  <c r="W38" i="16" s="1"/>
  <c r="G388" i="16"/>
  <c r="G392" i="16" s="1"/>
  <c r="AC41" i="16"/>
  <c r="G288" i="16"/>
  <c r="AG68" i="16"/>
  <c r="AG70" i="16" s="1"/>
  <c r="AG72" i="16" s="1"/>
  <c r="AG74" i="16" s="1"/>
  <c r="W135" i="16"/>
  <c r="AD10" i="16"/>
  <c r="AB15" i="16"/>
  <c r="D344" i="16"/>
  <c r="D299" i="16"/>
  <c r="D382" i="16"/>
  <c r="D384" i="16" s="1"/>
  <c r="AD27" i="16"/>
  <c r="I28" i="16"/>
  <c r="V31" i="16"/>
  <c r="H388" i="16"/>
  <c r="H392" i="16" s="1"/>
  <c r="V41" i="16"/>
  <c r="AD41" i="16"/>
  <c r="H288" i="16"/>
  <c r="V39" i="16"/>
  <c r="E225" i="16"/>
  <c r="C220" i="16"/>
  <c r="C219" i="16"/>
  <c r="E344" i="16"/>
  <c r="E299" i="16"/>
  <c r="E382" i="16"/>
  <c r="E384" i="16" s="1"/>
  <c r="X40" i="16"/>
  <c r="W40" i="16" s="1"/>
  <c r="U40" i="16"/>
  <c r="AJ68" i="16"/>
  <c r="AJ70" i="16" s="1"/>
  <c r="AJ72" i="16" s="1"/>
  <c r="AJ74" i="16" s="1"/>
  <c r="G405" i="16"/>
  <c r="AD15" i="16"/>
  <c r="T27" i="16"/>
  <c r="AK68" i="16"/>
  <c r="AK70" i="16" s="1"/>
  <c r="AK72" i="16" s="1"/>
  <c r="AK74" i="16" s="1"/>
  <c r="D220" i="16"/>
  <c r="X149" i="16"/>
  <c r="W149" i="16" s="1"/>
  <c r="AC9" i="16"/>
  <c r="T15" i="16"/>
  <c r="C17" i="16"/>
  <c r="V27" i="16"/>
  <c r="E32" i="16"/>
  <c r="X34" i="16"/>
  <c r="W34" i="16" s="1"/>
  <c r="U36" i="16"/>
  <c r="Z39" i="16"/>
  <c r="E413" i="16"/>
  <c r="W134" i="16"/>
  <c r="AD9" i="16"/>
  <c r="G219" i="16"/>
  <c r="G220" i="16"/>
  <c r="I382" i="16"/>
  <c r="I384" i="16" s="1"/>
  <c r="I344" i="16"/>
  <c r="I299" i="16"/>
  <c r="F32" i="16"/>
  <c r="AA39" i="16"/>
  <c r="F41" i="16"/>
  <c r="AA41" i="16" s="1"/>
  <c r="X136" i="16"/>
  <c r="W136" i="16" s="1"/>
  <c r="U136" i="16"/>
  <c r="W172" i="16"/>
  <c r="U456" i="16"/>
  <c r="X456" i="16"/>
  <c r="W456" i="16" s="1"/>
  <c r="AA8" i="16"/>
  <c r="C11" i="16"/>
  <c r="V15" i="16"/>
  <c r="E17" i="16"/>
  <c r="X25" i="16"/>
  <c r="W25" i="16" s="1"/>
  <c r="C28" i="16"/>
  <c r="G32" i="16"/>
  <c r="V167" i="16"/>
  <c r="H220" i="16"/>
  <c r="U6" i="16"/>
  <c r="B8" i="16"/>
  <c r="AB8" i="16"/>
  <c r="T9" i="16"/>
  <c r="Y10" i="16"/>
  <c r="Y27" i="16"/>
  <c r="D28" i="16"/>
  <c r="H32" i="16"/>
  <c r="X36" i="16"/>
  <c r="W36" i="16" s="1"/>
  <c r="AC39" i="16"/>
  <c r="H413" i="16"/>
  <c r="W146" i="16"/>
  <c r="W161" i="16"/>
  <c r="E11" i="16"/>
  <c r="X16" i="16"/>
  <c r="W16" i="16" s="1"/>
  <c r="G17" i="16"/>
  <c r="Z27" i="16"/>
  <c r="E28" i="16"/>
  <c r="E254" i="16" s="1"/>
  <c r="D388" i="16"/>
  <c r="D392" i="16" s="1"/>
  <c r="D288" i="16"/>
  <c r="Z41" i="16"/>
  <c r="AD39" i="16"/>
  <c r="I413" i="16"/>
  <c r="F405" i="16"/>
  <c r="AB457" i="16"/>
  <c r="H405" i="16"/>
  <c r="I220" i="16"/>
  <c r="I405" i="16"/>
  <c r="B238" i="16"/>
  <c r="U238" i="16" s="1"/>
  <c r="B243" i="16"/>
  <c r="U243" i="16" s="1"/>
  <c r="AB167" i="16"/>
  <c r="AC167" i="16"/>
  <c r="AG184" i="16"/>
  <c r="Y502" i="16"/>
  <c r="C413" i="16"/>
  <c r="C49" i="16"/>
  <c r="C300" i="16" s="1"/>
  <c r="X127" i="16"/>
  <c r="W127" i="16" s="1"/>
  <c r="B202" i="16"/>
  <c r="D413" i="16"/>
  <c r="D49" i="16"/>
  <c r="D300" i="16" s="1"/>
  <c r="U134" i="16"/>
  <c r="W174" i="16"/>
  <c r="AK182" i="16"/>
  <c r="AK184" i="16"/>
  <c r="AJ183" i="16" s="1"/>
  <c r="AJ184" i="16" s="1"/>
  <c r="F49" i="16"/>
  <c r="F300" i="16" s="1"/>
  <c r="D405" i="16"/>
  <c r="B200" i="16"/>
  <c r="B216" i="16"/>
  <c r="U216" i="16" s="1"/>
  <c r="E220" i="16"/>
  <c r="B226" i="16"/>
  <c r="U226" i="16" s="1"/>
  <c r="G413" i="16"/>
  <c r="G49" i="16"/>
  <c r="G300" i="16" s="1"/>
  <c r="E405" i="16"/>
  <c r="F220" i="16"/>
  <c r="U174" i="16"/>
  <c r="Z502" i="16"/>
  <c r="AA463" i="16"/>
  <c r="U462" i="16"/>
  <c r="X462" i="16"/>
  <c r="W462" i="16" s="1"/>
  <c r="AB463" i="16"/>
  <c r="B493" i="16"/>
  <c r="B27" i="16" s="1"/>
  <c r="B284" i="16" s="1"/>
  <c r="AB502" i="16"/>
  <c r="X500" i="16"/>
  <c r="W500" i="16" s="1"/>
  <c r="B502" i="16"/>
  <c r="U500" i="16"/>
  <c r="AC502" i="16"/>
  <c r="AG182" i="16"/>
  <c r="B205" i="16"/>
  <c r="U205" i="16" s="1"/>
  <c r="W481" i="16"/>
  <c r="W475" i="16"/>
  <c r="W506" i="16"/>
  <c r="AC510" i="16"/>
  <c r="V510" i="16"/>
  <c r="X459" i="16"/>
  <c r="W459" i="16" s="1"/>
  <c r="B463" i="16"/>
  <c r="U463" i="16" s="1"/>
  <c r="U459" i="16"/>
  <c r="AA457" i="16"/>
  <c r="U510" i="16"/>
  <c r="V502" i="16"/>
  <c r="Z457" i="16"/>
  <c r="X460" i="16"/>
  <c r="W460" i="16" s="1"/>
  <c r="Z463" i="16"/>
  <c r="U469" i="16"/>
  <c r="X501" i="16"/>
  <c r="W501" i="16" s="1"/>
  <c r="AC457" i="16"/>
  <c r="AC463" i="16"/>
  <c r="X469" i="16"/>
  <c r="W469" i="16" s="1"/>
  <c r="U482" i="16"/>
  <c r="AA502" i="16"/>
  <c r="B457" i="16"/>
  <c r="X488" i="16"/>
  <c r="W488" i="16" s="1"/>
  <c r="X495" i="16"/>
  <c r="W495" i="16" s="1"/>
  <c r="X455" i="16"/>
  <c r="W455" i="16" s="1"/>
  <c r="X461" i="16"/>
  <c r="W461" i="16" s="1"/>
  <c r="E102" i="8"/>
  <c r="E103" i="8" s="1"/>
  <c r="X439" i="8"/>
  <c r="W439" i="8" s="1"/>
  <c r="H242" i="8"/>
  <c r="G242" i="8"/>
  <c r="F242" i="8"/>
  <c r="E242" i="8"/>
  <c r="D242" i="8"/>
  <c r="C242" i="8"/>
  <c r="H237" i="8"/>
  <c r="G237" i="8"/>
  <c r="F237" i="8"/>
  <c r="E237" i="8"/>
  <c r="D237" i="8"/>
  <c r="C237" i="8"/>
  <c r="H231" i="8"/>
  <c r="G231" i="8"/>
  <c r="F231" i="8"/>
  <c r="E231" i="8"/>
  <c r="D231" i="8"/>
  <c r="C231" i="8"/>
  <c r="H227" i="8"/>
  <c r="G227" i="8"/>
  <c r="F227" i="8"/>
  <c r="E227" i="8"/>
  <c r="D227" i="8"/>
  <c r="C227" i="8"/>
  <c r="H225" i="8"/>
  <c r="G225" i="8"/>
  <c r="F225" i="8"/>
  <c r="E225" i="8"/>
  <c r="D225" i="8"/>
  <c r="C225" i="8"/>
  <c r="I447" i="8"/>
  <c r="I9" i="8" s="1"/>
  <c r="I267" i="8" s="1"/>
  <c r="I454" i="8"/>
  <c r="I10" i="8" s="1"/>
  <c r="I466" i="8"/>
  <c r="I20" i="8" s="1"/>
  <c r="I473" i="8"/>
  <c r="I21" i="8" s="1"/>
  <c r="I477" i="8"/>
  <c r="I27" i="8" s="1"/>
  <c r="I28" i="8" s="1"/>
  <c r="I254" i="8" s="1"/>
  <c r="I482" i="8"/>
  <c r="I31" i="8" s="1"/>
  <c r="I32" i="8" s="1"/>
  <c r="I486" i="8"/>
  <c r="I61" i="8" s="1"/>
  <c r="I494" i="8"/>
  <c r="I69" i="8" s="1"/>
  <c r="A8" i="8"/>
  <c r="I313" i="8"/>
  <c r="I270" i="8"/>
  <c r="I274" i="8" s="1"/>
  <c r="I271" i="8"/>
  <c r="I268" i="8" s="1"/>
  <c r="I194" i="8"/>
  <c r="I199" i="8"/>
  <c r="I201" i="8"/>
  <c r="I202" i="8"/>
  <c r="I203" i="8"/>
  <c r="I204" i="8"/>
  <c r="I205" i="8"/>
  <c r="I206" i="8"/>
  <c r="I215" i="8"/>
  <c r="I217" i="8"/>
  <c r="B73" i="1"/>
  <c r="B88" i="1"/>
  <c r="C65" i="1"/>
  <c r="G133" i="1"/>
  <c r="I105" i="1"/>
  <c r="I177" i="8"/>
  <c r="I166" i="8"/>
  <c r="I151" i="8"/>
  <c r="I152" i="8"/>
  <c r="I272" i="8" s="1"/>
  <c r="I154" i="8"/>
  <c r="I155" i="8"/>
  <c r="I156" i="8"/>
  <c r="I157" i="8"/>
  <c r="I102" i="8"/>
  <c r="R56" i="8"/>
  <c r="R58" i="8"/>
  <c r="R59" i="8"/>
  <c r="R60" i="8"/>
  <c r="R63" i="8"/>
  <c r="R64" i="8"/>
  <c r="R65" i="8"/>
  <c r="R66" i="8"/>
  <c r="R71" i="8"/>
  <c r="R73" i="8"/>
  <c r="R55" i="8"/>
  <c r="T56" i="8"/>
  <c r="T58" i="8"/>
  <c r="T63" i="8"/>
  <c r="T64" i="8"/>
  <c r="T55" i="8"/>
  <c r="B421" i="8" s="1"/>
  <c r="AD55" i="8"/>
  <c r="AD56" i="8"/>
  <c r="AD58" i="8"/>
  <c r="AD63" i="8"/>
  <c r="AD64" i="8"/>
  <c r="H82" i="8"/>
  <c r="I78" i="8"/>
  <c r="I403" i="8" s="1"/>
  <c r="I404" i="8" s="1"/>
  <c r="I82" i="8"/>
  <c r="I84" i="8"/>
  <c r="I86" i="8"/>
  <c r="I67" i="8"/>
  <c r="I57" i="8"/>
  <c r="I62" i="8" s="1"/>
  <c r="T12" i="8"/>
  <c r="T13" i="8"/>
  <c r="T14" i="8"/>
  <c r="T16" i="8"/>
  <c r="T19" i="8"/>
  <c r="T25" i="8"/>
  <c r="T26" i="8"/>
  <c r="T29" i="8"/>
  <c r="T34" i="8"/>
  <c r="T35" i="8"/>
  <c r="T37" i="8"/>
  <c r="T38" i="8"/>
  <c r="T40" i="8"/>
  <c r="T6" i="8"/>
  <c r="AD6" i="8"/>
  <c r="AD12" i="8"/>
  <c r="AD13" i="8"/>
  <c r="AD14" i="8"/>
  <c r="AD16" i="8"/>
  <c r="AD19" i="8"/>
  <c r="AD25" i="8"/>
  <c r="AD26" i="8"/>
  <c r="AD29" i="8"/>
  <c r="AD34" i="8"/>
  <c r="AD35" i="8"/>
  <c r="AD36" i="8"/>
  <c r="AD37" i="8"/>
  <c r="AD38" i="8"/>
  <c r="AD40" i="8"/>
  <c r="I47" i="8"/>
  <c r="I39" i="8"/>
  <c r="I41" i="8" s="1"/>
  <c r="I15" i="8"/>
  <c r="I17" i="8" s="1"/>
  <c r="I7" i="1"/>
  <c r="Q145" i="1"/>
  <c r="I73" i="1"/>
  <c r="AD89" i="1"/>
  <c r="AD96" i="1"/>
  <c r="AD97" i="1"/>
  <c r="AD98" i="1"/>
  <c r="AD99" i="1"/>
  <c r="AD106" i="1"/>
  <c r="AD107" i="1"/>
  <c r="AD108" i="1"/>
  <c r="AD109" i="1"/>
  <c r="AD110" i="1"/>
  <c r="AD112" i="1"/>
  <c r="AD116" i="1"/>
  <c r="AD118" i="1"/>
  <c r="AD123" i="1"/>
  <c r="AD124" i="1"/>
  <c r="AD125" i="1"/>
  <c r="Q111" i="1"/>
  <c r="T89" i="1"/>
  <c r="T98" i="1"/>
  <c r="T99" i="1"/>
  <c r="T107" i="1"/>
  <c r="T108" i="1"/>
  <c r="T112" i="1"/>
  <c r="T118" i="1"/>
  <c r="T123" i="1"/>
  <c r="T124" i="1"/>
  <c r="T125" i="1"/>
  <c r="I129" i="1"/>
  <c r="I118" i="1"/>
  <c r="I82" i="1"/>
  <c r="W58" i="1"/>
  <c r="AD58" i="1"/>
  <c r="AD59" i="1"/>
  <c r="AD60" i="1"/>
  <c r="AD61" i="1"/>
  <c r="AD64" i="1"/>
  <c r="AD65" i="1"/>
  <c r="AD66" i="1"/>
  <c r="AD67" i="1"/>
  <c r="AD68" i="1"/>
  <c r="AD71" i="1"/>
  <c r="W71" i="1" s="1"/>
  <c r="AD72" i="1"/>
  <c r="AC59" i="1"/>
  <c r="AC60" i="1"/>
  <c r="AC61" i="1"/>
  <c r="AC64" i="1"/>
  <c r="AC65" i="1"/>
  <c r="AC66" i="1"/>
  <c r="AC67" i="1"/>
  <c r="W67" i="1" s="1"/>
  <c r="AC68" i="1"/>
  <c r="W68" i="1" s="1"/>
  <c r="AC71" i="1"/>
  <c r="AC72" i="1"/>
  <c r="AC74" i="1"/>
  <c r="AC76" i="1"/>
  <c r="AC78" i="1"/>
  <c r="W59" i="1"/>
  <c r="W60" i="1"/>
  <c r="W61" i="1"/>
  <c r="W64" i="1"/>
  <c r="T59" i="1"/>
  <c r="T60" i="1"/>
  <c r="T61" i="1"/>
  <c r="T64" i="1"/>
  <c r="T65" i="1"/>
  <c r="T67" i="1"/>
  <c r="T68" i="1"/>
  <c r="T71" i="1"/>
  <c r="T77" i="1"/>
  <c r="T58" i="1"/>
  <c r="R59" i="1"/>
  <c r="R60" i="1"/>
  <c r="R61" i="1"/>
  <c r="R62" i="1"/>
  <c r="R63" i="1"/>
  <c r="R64" i="1"/>
  <c r="R65" i="1"/>
  <c r="R66" i="1"/>
  <c r="R67" i="1"/>
  <c r="R68" i="1"/>
  <c r="R69" i="1"/>
  <c r="R70" i="1"/>
  <c r="R71" i="1"/>
  <c r="R72" i="1"/>
  <c r="R73" i="1"/>
  <c r="R75" i="1"/>
  <c r="R77" i="1"/>
  <c r="R58" i="1"/>
  <c r="I71" i="1"/>
  <c r="I60" i="1"/>
  <c r="AD6" i="1"/>
  <c r="W7" i="1"/>
  <c r="W9" i="1"/>
  <c r="W11" i="1"/>
  <c r="W14" i="1"/>
  <c r="W15" i="1"/>
  <c r="W16" i="1"/>
  <c r="W17" i="1"/>
  <c r="W18" i="1"/>
  <c r="W19" i="1"/>
  <c r="W21" i="1"/>
  <c r="W22" i="1"/>
  <c r="W23" i="1"/>
  <c r="W24" i="1"/>
  <c r="W28" i="1"/>
  <c r="W29" i="1"/>
  <c r="W31" i="1"/>
  <c r="W32" i="1"/>
  <c r="W35" i="1"/>
  <c r="W36" i="1"/>
  <c r="W37" i="1"/>
  <c r="W38" i="1"/>
  <c r="W40" i="1"/>
  <c r="W41" i="1"/>
  <c r="W42" i="1"/>
  <c r="W44" i="1"/>
  <c r="W45" i="1"/>
  <c r="W47" i="1"/>
  <c r="W48" i="1"/>
  <c r="W49" i="1"/>
  <c r="W50" i="1"/>
  <c r="W51" i="1"/>
  <c r="W52" i="1"/>
  <c r="W6" i="1"/>
  <c r="AD7" i="1"/>
  <c r="AD9" i="1"/>
  <c r="AD11" i="1"/>
  <c r="AD14" i="1"/>
  <c r="AD15" i="1"/>
  <c r="AD16" i="1"/>
  <c r="AD17" i="1"/>
  <c r="AD18" i="1"/>
  <c r="AD19" i="1"/>
  <c r="AD21" i="1"/>
  <c r="AD22" i="1"/>
  <c r="AD23" i="1"/>
  <c r="AD24" i="1"/>
  <c r="AD28" i="1"/>
  <c r="AD29" i="1"/>
  <c r="AD31" i="1"/>
  <c r="AD32" i="1"/>
  <c r="AD35" i="1"/>
  <c r="AD36" i="1"/>
  <c r="AD37" i="1"/>
  <c r="AD38" i="1"/>
  <c r="AD40" i="1"/>
  <c r="AD41" i="1"/>
  <c r="AD42" i="1"/>
  <c r="AD44" i="1"/>
  <c r="AD45" i="1"/>
  <c r="AD47" i="1"/>
  <c r="AD48" i="1"/>
  <c r="AD49" i="1"/>
  <c r="AD50" i="1"/>
  <c r="AD51" i="1"/>
  <c r="AD52" i="1"/>
  <c r="T11" i="1"/>
  <c r="T15" i="1"/>
  <c r="T16" i="1"/>
  <c r="T17" i="1"/>
  <c r="T18" i="1"/>
  <c r="T21" i="1"/>
  <c r="T22" i="1"/>
  <c r="T23" i="1"/>
  <c r="T31" i="1"/>
  <c r="T32" i="1"/>
  <c r="T36" i="1"/>
  <c r="T37" i="1"/>
  <c r="T38" i="1"/>
  <c r="T40" i="1"/>
  <c r="T44" i="1"/>
  <c r="T45" i="1"/>
  <c r="T47" i="1"/>
  <c r="T48" i="1"/>
  <c r="T50" i="1"/>
  <c r="T6" i="1"/>
  <c r="V6" i="1"/>
  <c r="I177" i="1"/>
  <c r="I169" i="1"/>
  <c r="I64" i="1" s="1"/>
  <c r="I65" i="1" s="1"/>
  <c r="I66" i="1" s="1"/>
  <c r="I49" i="1"/>
  <c r="I51" i="1" s="1"/>
  <c r="I41" i="1"/>
  <c r="I35" i="1"/>
  <c r="I42" i="1" s="1"/>
  <c r="I147" i="1"/>
  <c r="I165" i="1"/>
  <c r="I24" i="1" s="1"/>
  <c r="I153" i="1"/>
  <c r="I9" i="1" s="1"/>
  <c r="I19" i="1"/>
  <c r="C84" i="8"/>
  <c r="D84" i="8"/>
  <c r="D226" i="8" s="1"/>
  <c r="E84" i="8"/>
  <c r="E226" i="8" s="1"/>
  <c r="F84" i="8"/>
  <c r="F226" i="8" s="1"/>
  <c r="G84" i="8"/>
  <c r="H84" i="8"/>
  <c r="C202" i="8"/>
  <c r="D202" i="8"/>
  <c r="E202" i="8"/>
  <c r="F202" i="8"/>
  <c r="G202" i="8"/>
  <c r="H202" i="8"/>
  <c r="D177" i="8"/>
  <c r="E177" i="8"/>
  <c r="F177" i="8"/>
  <c r="G177" i="8"/>
  <c r="H177" i="8"/>
  <c r="C177" i="8"/>
  <c r="D11" i="16" l="1"/>
  <c r="AK23" i="16"/>
  <c r="T219" i="16"/>
  <c r="T220" i="16"/>
  <c r="F382" i="16"/>
  <c r="F384" i="16" s="1"/>
  <c r="B17" i="16"/>
  <c r="U15" i="16"/>
  <c r="X15" i="16"/>
  <c r="U9" i="16"/>
  <c r="F299" i="16"/>
  <c r="F301" i="16" s="1"/>
  <c r="F305" i="16" s="1"/>
  <c r="G252" i="16"/>
  <c r="G253" i="16"/>
  <c r="G251" i="16"/>
  <c r="AG23" i="16"/>
  <c r="AG43" i="16" s="1"/>
  <c r="B219" i="16"/>
  <c r="U219" i="16" s="1"/>
  <c r="U217" i="16"/>
  <c r="V220" i="16"/>
  <c r="G33" i="16"/>
  <c r="G42" i="16" s="1"/>
  <c r="Y20" i="16"/>
  <c r="W20" i="16" s="1"/>
  <c r="T20" i="16"/>
  <c r="V219" i="16"/>
  <c r="V20" i="16"/>
  <c r="G254" i="16"/>
  <c r="AJ23" i="16"/>
  <c r="AJ43" i="16" s="1"/>
  <c r="AB28" i="16"/>
  <c r="F252" i="16"/>
  <c r="B380" i="16"/>
  <c r="B381" i="16" s="1"/>
  <c r="B413" i="16" s="1"/>
  <c r="F254" i="16"/>
  <c r="AC28" i="16"/>
  <c r="U167" i="16"/>
  <c r="T11" i="16"/>
  <c r="X31" i="16"/>
  <c r="I253" i="16"/>
  <c r="D225" i="16"/>
  <c r="C225" i="16"/>
  <c r="Z9" i="16"/>
  <c r="W9" i="16" s="1"/>
  <c r="AH23" i="16"/>
  <c r="AH43" i="16" s="1"/>
  <c r="Y8" i="16"/>
  <c r="Z8" i="16"/>
  <c r="U17" i="16"/>
  <c r="T17" i="16"/>
  <c r="AB11" i="16"/>
  <c r="F251" i="16"/>
  <c r="W31" i="16"/>
  <c r="W21" i="16"/>
  <c r="AD17" i="16"/>
  <c r="W510" i="16"/>
  <c r="U39" i="16"/>
  <c r="X39" i="16"/>
  <c r="W39" i="16" s="1"/>
  <c r="H33" i="16"/>
  <c r="AK43" i="16"/>
  <c r="V8" i="16"/>
  <c r="V28" i="16"/>
  <c r="AC8" i="16"/>
  <c r="H254" i="16"/>
  <c r="H225" i="16"/>
  <c r="U8" i="16"/>
  <c r="H11" i="16"/>
  <c r="AC11" i="16" s="1"/>
  <c r="AD8" i="16"/>
  <c r="F413" i="16"/>
  <c r="W482" i="16"/>
  <c r="I62" i="16"/>
  <c r="I68" i="16" s="1"/>
  <c r="I69" i="16" s="1"/>
  <c r="I254" i="16"/>
  <c r="AD28" i="16"/>
  <c r="X463" i="16"/>
  <c r="W463" i="16" s="1"/>
  <c r="U21" i="16"/>
  <c r="G299" i="16"/>
  <c r="G301" i="16" s="1"/>
  <c r="G305" i="16" s="1"/>
  <c r="W15" i="16"/>
  <c r="G382" i="16"/>
  <c r="G384" i="16" s="1"/>
  <c r="B32" i="16"/>
  <c r="X32" i="16" s="1"/>
  <c r="F253" i="16"/>
  <c r="B382" i="16"/>
  <c r="B344" i="16"/>
  <c r="B299" i="16"/>
  <c r="G22" i="16"/>
  <c r="AB22" i="16" s="1"/>
  <c r="AC17" i="16"/>
  <c r="AB17" i="16"/>
  <c r="D255" i="16"/>
  <c r="Z28" i="16"/>
  <c r="D33" i="16"/>
  <c r="D23" i="16"/>
  <c r="M11" i="16" s="1"/>
  <c r="E287" i="16"/>
  <c r="W167" i="16"/>
  <c r="AB32" i="16"/>
  <c r="D301" i="16"/>
  <c r="D305" i="16" s="1"/>
  <c r="C287" i="16"/>
  <c r="U502" i="16"/>
  <c r="E22" i="16"/>
  <c r="AA17" i="16"/>
  <c r="Z17" i="16"/>
  <c r="H301" i="16"/>
  <c r="D287" i="16"/>
  <c r="E252" i="16"/>
  <c r="E253" i="16"/>
  <c r="E251" i="16"/>
  <c r="AA11" i="16"/>
  <c r="F23" i="16"/>
  <c r="O41" i="16" s="1"/>
  <c r="AA32" i="16"/>
  <c r="Z32" i="16"/>
  <c r="C301" i="16"/>
  <c r="C305" i="16" s="1"/>
  <c r="H287" i="16"/>
  <c r="B225" i="16"/>
  <c r="X8" i="16"/>
  <c r="AC32" i="16"/>
  <c r="E301" i="16"/>
  <c r="X457" i="16"/>
  <c r="W457" i="16" s="1"/>
  <c r="B28" i="16"/>
  <c r="X502" i="16"/>
  <c r="W502" i="16" s="1"/>
  <c r="E255" i="16"/>
  <c r="AA28" i="16"/>
  <c r="E33" i="16"/>
  <c r="C252" i="16"/>
  <c r="C253" i="16"/>
  <c r="C251" i="16"/>
  <c r="Y11" i="16"/>
  <c r="U457" i="16"/>
  <c r="I301" i="16"/>
  <c r="I303" i="16" s="1"/>
  <c r="G287" i="16"/>
  <c r="I252" i="16"/>
  <c r="W10" i="16"/>
  <c r="B11" i="16"/>
  <c r="F33" i="16"/>
  <c r="F42" i="16" s="1"/>
  <c r="AD22" i="16"/>
  <c r="I287" i="16"/>
  <c r="I251" i="16"/>
  <c r="V32" i="16"/>
  <c r="AD32" i="16"/>
  <c r="B220" i="16"/>
  <c r="U220" i="16" s="1"/>
  <c r="C255" i="16"/>
  <c r="Y28" i="16"/>
  <c r="C33" i="16"/>
  <c r="C22" i="16"/>
  <c r="V22" i="16" s="1"/>
  <c r="Y17" i="16"/>
  <c r="I23" i="16"/>
  <c r="B22" i="16"/>
  <c r="X17" i="16"/>
  <c r="D252" i="16"/>
  <c r="D253" i="16"/>
  <c r="D251" i="16"/>
  <c r="Z11" i="16"/>
  <c r="D254" i="16"/>
  <c r="B388" i="16"/>
  <c r="B392" i="16" s="1"/>
  <c r="B288" i="16"/>
  <c r="X41" i="16"/>
  <c r="X27" i="16"/>
  <c r="W27" i="16" s="1"/>
  <c r="U27" i="16"/>
  <c r="F388" i="16"/>
  <c r="F392" i="16" s="1"/>
  <c r="F288" i="16"/>
  <c r="AB41" i="16"/>
  <c r="I255" i="16"/>
  <c r="I33" i="16"/>
  <c r="T28" i="16"/>
  <c r="V17" i="16"/>
  <c r="C254" i="16"/>
  <c r="R69" i="8"/>
  <c r="I360" i="8"/>
  <c r="I387" i="8"/>
  <c r="I391" i="8" s="1"/>
  <c r="I49" i="8"/>
  <c r="I299" i="8" s="1"/>
  <c r="I379" i="8"/>
  <c r="I380" i="8" s="1"/>
  <c r="I287" i="8"/>
  <c r="I286" i="8" s="1"/>
  <c r="I103" i="8"/>
  <c r="C226" i="8"/>
  <c r="G226" i="8"/>
  <c r="H226" i="8"/>
  <c r="I275" i="8"/>
  <c r="R57" i="8"/>
  <c r="R67" i="8"/>
  <c r="I283" i="8"/>
  <c r="I216" i="8"/>
  <c r="I218" i="8" s="1"/>
  <c r="I359" i="8"/>
  <c r="I153" i="8"/>
  <c r="R186" i="8" s="1"/>
  <c r="R61" i="8"/>
  <c r="I118" i="8"/>
  <c r="I22" i="8"/>
  <c r="I33" i="8"/>
  <c r="I72" i="1"/>
  <c r="I74" i="1" s="1"/>
  <c r="I28" i="1"/>
  <c r="I52" i="1"/>
  <c r="I14" i="1"/>
  <c r="H102" i="8"/>
  <c r="F102" i="8"/>
  <c r="C157" i="8"/>
  <c r="D157" i="8"/>
  <c r="E157" i="8"/>
  <c r="F157" i="8"/>
  <c r="G157" i="8"/>
  <c r="H157" i="8"/>
  <c r="C156" i="8"/>
  <c r="D156" i="8"/>
  <c r="E156" i="8"/>
  <c r="F156" i="8"/>
  <c r="G156" i="8"/>
  <c r="H156" i="8"/>
  <c r="B188" i="8"/>
  <c r="B156" i="8" s="1"/>
  <c r="B187" i="8"/>
  <c r="C86" i="8"/>
  <c r="D86" i="8"/>
  <c r="E86" i="8"/>
  <c r="F86" i="8"/>
  <c r="G86" i="8"/>
  <c r="H86" i="8"/>
  <c r="C82" i="8"/>
  <c r="D82" i="8"/>
  <c r="E82" i="8"/>
  <c r="F82" i="8"/>
  <c r="G82" i="8"/>
  <c r="C313" i="8"/>
  <c r="D313" i="8"/>
  <c r="E313" i="8"/>
  <c r="F313" i="8"/>
  <c r="G313" i="8"/>
  <c r="H313" i="8"/>
  <c r="AH47" i="8"/>
  <c r="AJ47" i="8"/>
  <c r="AK47" i="8"/>
  <c r="AG47" i="8"/>
  <c r="B46" i="8"/>
  <c r="B313" i="8" s="1"/>
  <c r="B45" i="8"/>
  <c r="D47" i="8"/>
  <c r="E47" i="8"/>
  <c r="F47" i="8"/>
  <c r="G47" i="8"/>
  <c r="H47" i="8"/>
  <c r="C47" i="8"/>
  <c r="C270" i="8"/>
  <c r="C274" i="8" s="1"/>
  <c r="D270" i="8"/>
  <c r="D274" i="8" s="1"/>
  <c r="E270" i="8"/>
  <c r="E274" i="8" s="1"/>
  <c r="F270" i="8"/>
  <c r="G270" i="8"/>
  <c r="G274" i="8" s="1"/>
  <c r="H270" i="8"/>
  <c r="H274" i="8" s="1"/>
  <c r="C271" i="8"/>
  <c r="C275" i="8" s="1"/>
  <c r="D271" i="8"/>
  <c r="D275" i="8" s="1"/>
  <c r="E271" i="8"/>
  <c r="E258" i="8" s="1"/>
  <c r="E263" i="8" s="1"/>
  <c r="F271" i="8"/>
  <c r="F258" i="8" s="1"/>
  <c r="F263" i="8" s="1"/>
  <c r="G271" i="8"/>
  <c r="G268" i="8" s="1"/>
  <c r="H271" i="8"/>
  <c r="F204" i="8"/>
  <c r="C217" i="8"/>
  <c r="D217" i="8"/>
  <c r="E217" i="8"/>
  <c r="F217" i="8"/>
  <c r="G217" i="8"/>
  <c r="H217" i="8"/>
  <c r="C215" i="8"/>
  <c r="D215" i="8"/>
  <c r="E215" i="8"/>
  <c r="F215" i="8"/>
  <c r="G215" i="8"/>
  <c r="H215" i="8"/>
  <c r="C206" i="8"/>
  <c r="D206" i="8"/>
  <c r="E206" i="8"/>
  <c r="F206" i="8"/>
  <c r="G206" i="8"/>
  <c r="H206" i="8"/>
  <c r="C205" i="8"/>
  <c r="D205" i="8"/>
  <c r="E205" i="8"/>
  <c r="F205" i="8"/>
  <c r="G205" i="8"/>
  <c r="H205" i="8"/>
  <c r="A204" i="8"/>
  <c r="C203" i="8"/>
  <c r="D203" i="8"/>
  <c r="E203" i="8"/>
  <c r="F203" i="8"/>
  <c r="G203" i="8"/>
  <c r="H203" i="8"/>
  <c r="C204" i="8"/>
  <c r="D204" i="8"/>
  <c r="E204" i="8"/>
  <c r="G204" i="8"/>
  <c r="H204" i="8"/>
  <c r="C201" i="8"/>
  <c r="D201" i="8"/>
  <c r="E201" i="8"/>
  <c r="F201" i="8"/>
  <c r="G201" i="8"/>
  <c r="H201" i="8"/>
  <c r="J194" i="8"/>
  <c r="AE194" i="8"/>
  <c r="J196" i="8"/>
  <c r="AE196" i="8"/>
  <c r="AE198" i="8"/>
  <c r="AE199" i="8"/>
  <c r="C199" i="8"/>
  <c r="D199" i="8"/>
  <c r="E199" i="8"/>
  <c r="F199" i="8"/>
  <c r="G199" i="8"/>
  <c r="H199" i="8"/>
  <c r="C194" i="8"/>
  <c r="D194" i="8"/>
  <c r="E194" i="8"/>
  <c r="F194" i="8"/>
  <c r="G194" i="8"/>
  <c r="H194" i="8"/>
  <c r="AG482" i="8"/>
  <c r="AG31" i="8" s="1"/>
  <c r="AG32" i="8" s="1"/>
  <c r="D155" i="8"/>
  <c r="E155" i="8"/>
  <c r="F155" i="8"/>
  <c r="G155" i="8"/>
  <c r="H155" i="8"/>
  <c r="C155" i="8"/>
  <c r="D154" i="8"/>
  <c r="E154" i="8"/>
  <c r="F154" i="8"/>
  <c r="G154" i="8"/>
  <c r="H154" i="8"/>
  <c r="C152" i="8"/>
  <c r="C272" i="8" s="1"/>
  <c r="D152" i="8"/>
  <c r="D272" i="8" s="1"/>
  <c r="E152" i="8"/>
  <c r="E272" i="8" s="1"/>
  <c r="F152" i="8"/>
  <c r="F272" i="8" s="1"/>
  <c r="G152" i="8"/>
  <c r="G272" i="8" s="1"/>
  <c r="H152" i="8"/>
  <c r="H272" i="8" s="1"/>
  <c r="C151" i="8"/>
  <c r="D151" i="8"/>
  <c r="E151" i="8"/>
  <c r="F151" i="8"/>
  <c r="G151" i="8"/>
  <c r="H151" i="8"/>
  <c r="J43" i="8"/>
  <c r="AH15" i="8"/>
  <c r="AH17" i="8" s="1"/>
  <c r="AJ15" i="8"/>
  <c r="AJ17" i="8" s="1"/>
  <c r="AK15" i="8"/>
  <c r="AK17" i="8" s="1"/>
  <c r="AG15" i="8"/>
  <c r="AG17" i="8" s="1"/>
  <c r="AH482" i="8"/>
  <c r="AH31" i="8" s="1"/>
  <c r="AH32" i="8" s="1"/>
  <c r="AJ482" i="8"/>
  <c r="AJ31" i="8" s="1"/>
  <c r="AJ32" i="8" s="1"/>
  <c r="AK482" i="8"/>
  <c r="AK31" i="8" s="1"/>
  <c r="AK32" i="8" s="1"/>
  <c r="A31" i="8"/>
  <c r="C482" i="8"/>
  <c r="C31" i="8" s="1"/>
  <c r="T31" i="8" s="1"/>
  <c r="D482" i="8"/>
  <c r="D31" i="8" s="1"/>
  <c r="E482" i="8"/>
  <c r="E31" i="8" s="1"/>
  <c r="F482" i="8"/>
  <c r="F31" i="8" s="1"/>
  <c r="G482" i="8"/>
  <c r="G31" i="8" s="1"/>
  <c r="H482" i="8"/>
  <c r="H31" i="8" s="1"/>
  <c r="H32" i="8" s="1"/>
  <c r="AD32" i="8" s="1"/>
  <c r="A27" i="8"/>
  <c r="AH477" i="8"/>
  <c r="AH27" i="8" s="1"/>
  <c r="AH28" i="8" s="1"/>
  <c r="AJ477" i="8"/>
  <c r="AJ27" i="8" s="1"/>
  <c r="AJ28" i="8" s="1"/>
  <c r="AK477" i="8"/>
  <c r="AK27" i="8" s="1"/>
  <c r="AK28" i="8" s="1"/>
  <c r="AG477" i="8"/>
  <c r="AG27" i="8" s="1"/>
  <c r="AG28" i="8" s="1"/>
  <c r="C477" i="8"/>
  <c r="C27" i="8" s="1"/>
  <c r="C283" i="8" s="1"/>
  <c r="C381" i="8" s="1"/>
  <c r="D477" i="8"/>
  <c r="D27" i="8" s="1"/>
  <c r="D283" i="8" s="1"/>
  <c r="D381" i="8" s="1"/>
  <c r="E477" i="8"/>
  <c r="E27" i="8" s="1"/>
  <c r="E283" i="8" s="1"/>
  <c r="E381" i="8" s="1"/>
  <c r="F477" i="8"/>
  <c r="F27" i="8" s="1"/>
  <c r="F283" i="8" s="1"/>
  <c r="F381" i="8" s="1"/>
  <c r="G477" i="8"/>
  <c r="G27" i="8" s="1"/>
  <c r="G283" i="8" s="1"/>
  <c r="G381" i="8" s="1"/>
  <c r="H477" i="8"/>
  <c r="H27" i="8" s="1"/>
  <c r="H283" i="8" s="1"/>
  <c r="H381" i="8" s="1"/>
  <c r="A21" i="8"/>
  <c r="AH473" i="8"/>
  <c r="AH21" i="8" s="1"/>
  <c r="AJ473" i="8"/>
  <c r="AJ21" i="8" s="1"/>
  <c r="AK473" i="8"/>
  <c r="AK21" i="8" s="1"/>
  <c r="AG473" i="8"/>
  <c r="AG21" i="8" s="1"/>
  <c r="C473" i="8"/>
  <c r="C21" i="8" s="1"/>
  <c r="T21" i="8" s="1"/>
  <c r="D473" i="8"/>
  <c r="D21" i="8" s="1"/>
  <c r="E473" i="8"/>
  <c r="E21" i="8" s="1"/>
  <c r="F473" i="8"/>
  <c r="F21" i="8" s="1"/>
  <c r="G473" i="8"/>
  <c r="G21" i="8" s="1"/>
  <c r="H473" i="8"/>
  <c r="H21" i="8" s="1"/>
  <c r="AD21" i="8" s="1"/>
  <c r="C15" i="8"/>
  <c r="C17" i="8" s="1"/>
  <c r="T17" i="8" s="1"/>
  <c r="D15" i="8"/>
  <c r="D17" i="8" s="1"/>
  <c r="E15" i="8"/>
  <c r="E17" i="8" s="1"/>
  <c r="F15" i="8"/>
  <c r="F17" i="8" s="1"/>
  <c r="G15" i="8"/>
  <c r="G17" i="8" s="1"/>
  <c r="H15" i="8"/>
  <c r="AH454" i="8"/>
  <c r="AH10" i="8" s="1"/>
  <c r="AJ454" i="8"/>
  <c r="AJ10" i="8" s="1"/>
  <c r="AK454" i="8"/>
  <c r="AK10" i="8" s="1"/>
  <c r="AG454" i="8"/>
  <c r="AG10" i="8" s="1"/>
  <c r="A10" i="8"/>
  <c r="C454" i="8"/>
  <c r="C10" i="8" s="1"/>
  <c r="T10" i="8" s="1"/>
  <c r="D454" i="8"/>
  <c r="D10" i="8" s="1"/>
  <c r="E454" i="8"/>
  <c r="E10" i="8" s="1"/>
  <c r="F454" i="8"/>
  <c r="F10" i="8" s="1"/>
  <c r="G454" i="8"/>
  <c r="G10" i="8" s="1"/>
  <c r="H454" i="8"/>
  <c r="H10" i="8" s="1"/>
  <c r="AD10" i="8" s="1"/>
  <c r="B452" i="8"/>
  <c r="B7" i="8"/>
  <c r="U225" i="16" l="1"/>
  <c r="AC33" i="16"/>
  <c r="B384" i="16"/>
  <c r="V33" i="16"/>
  <c r="H42" i="16"/>
  <c r="AD33" i="16"/>
  <c r="G102" i="8"/>
  <c r="G103" i="8" s="1"/>
  <c r="D103" i="8"/>
  <c r="T22" i="16"/>
  <c r="H23" i="16"/>
  <c r="Q22" i="16" s="1"/>
  <c r="U11" i="16"/>
  <c r="V11" i="16"/>
  <c r="AD11" i="16"/>
  <c r="H252" i="16"/>
  <c r="H251" i="16"/>
  <c r="I70" i="16"/>
  <c r="I72" i="16" s="1"/>
  <c r="I74" i="16" s="1"/>
  <c r="I75" i="16" s="1"/>
  <c r="W8" i="16"/>
  <c r="D304" i="16"/>
  <c r="M28" i="16"/>
  <c r="D303" i="16"/>
  <c r="H253" i="16"/>
  <c r="W32" i="16"/>
  <c r="U32" i="16"/>
  <c r="W41" i="16"/>
  <c r="F43" i="16"/>
  <c r="O42" i="16"/>
  <c r="AB42" i="16"/>
  <c r="I289" i="16"/>
  <c r="I295" i="16" s="1"/>
  <c r="R40" i="16"/>
  <c r="R29" i="16"/>
  <c r="R12" i="16"/>
  <c r="R35" i="16"/>
  <c r="R38" i="16"/>
  <c r="R18" i="16"/>
  <c r="R6" i="16"/>
  <c r="R30" i="16"/>
  <c r="R13" i="16"/>
  <c r="R36" i="16"/>
  <c r="R19" i="16"/>
  <c r="R16" i="16"/>
  <c r="R15" i="16"/>
  <c r="R27" i="16"/>
  <c r="R25" i="16"/>
  <c r="R23" i="16"/>
  <c r="R37" i="16"/>
  <c r="R14" i="16"/>
  <c r="R34" i="16"/>
  <c r="R21" i="16"/>
  <c r="R26" i="16"/>
  <c r="R8" i="16"/>
  <c r="R39" i="16"/>
  <c r="R10" i="16"/>
  <c r="R9" i="16"/>
  <c r="R41" i="16"/>
  <c r="R11" i="16"/>
  <c r="R20" i="16"/>
  <c r="R31" i="16"/>
  <c r="R32" i="16"/>
  <c r="R17" i="16"/>
  <c r="I414" i="16"/>
  <c r="G303" i="16"/>
  <c r="H305" i="16"/>
  <c r="H304" i="16"/>
  <c r="AA22" i="16"/>
  <c r="E23" i="16"/>
  <c r="N33" i="16" s="1"/>
  <c r="B301" i="16"/>
  <c r="B303" i="16" s="1"/>
  <c r="R22" i="16"/>
  <c r="O501" i="16"/>
  <c r="O486" i="16"/>
  <c r="O460" i="16"/>
  <c r="O484" i="16"/>
  <c r="O479" i="16"/>
  <c r="O476" i="16"/>
  <c r="O473" i="16"/>
  <c r="O467" i="16"/>
  <c r="O491" i="16"/>
  <c r="O462" i="16"/>
  <c r="O456" i="16"/>
  <c r="O496" i="16"/>
  <c r="O487" i="16"/>
  <c r="O500" i="16"/>
  <c r="O481" i="16"/>
  <c r="O478" i="16"/>
  <c r="O475" i="16"/>
  <c r="O472" i="16"/>
  <c r="O468" i="16"/>
  <c r="O465" i="16"/>
  <c r="O459" i="16"/>
  <c r="O492" i="16"/>
  <c r="O495" i="16"/>
  <c r="O488" i="16"/>
  <c r="O485" i="16"/>
  <c r="O477" i="16"/>
  <c r="O461" i="16"/>
  <c r="O497" i="16"/>
  <c r="O466" i="16"/>
  <c r="O474" i="16"/>
  <c r="O480" i="16"/>
  <c r="O455" i="16"/>
  <c r="O469" i="16"/>
  <c r="F289" i="16"/>
  <c r="F296" i="16" s="1"/>
  <c r="O34" i="16"/>
  <c r="O37" i="16"/>
  <c r="O23" i="16"/>
  <c r="O26" i="16"/>
  <c r="O25" i="16"/>
  <c r="O40" i="16"/>
  <c r="O29" i="16"/>
  <c r="O12" i="16"/>
  <c r="O27" i="16"/>
  <c r="O35" i="16"/>
  <c r="O38" i="16"/>
  <c r="O18" i="16"/>
  <c r="O17" i="16"/>
  <c r="O9" i="16"/>
  <c r="O6" i="16"/>
  <c r="O30" i="16"/>
  <c r="O13" i="16"/>
  <c r="O36" i="16"/>
  <c r="O19" i="16"/>
  <c r="O16" i="16"/>
  <c r="O15" i="16"/>
  <c r="O10" i="16"/>
  <c r="O14" i="16"/>
  <c r="O21" i="16"/>
  <c r="O463" i="16"/>
  <c r="O20" i="16"/>
  <c r="O482" i="16"/>
  <c r="O31" i="16"/>
  <c r="O502" i="16"/>
  <c r="O457" i="16"/>
  <c r="O28" i="16"/>
  <c r="O39" i="16"/>
  <c r="O8" i="16"/>
  <c r="O11" i="16"/>
  <c r="H303" i="16"/>
  <c r="W17" i="16"/>
  <c r="Q480" i="16"/>
  <c r="Q17" i="16"/>
  <c r="AD23" i="16"/>
  <c r="Q23" i="16"/>
  <c r="G304" i="16"/>
  <c r="O22" i="16"/>
  <c r="F287" i="16"/>
  <c r="B23" i="16"/>
  <c r="K22" i="16" s="1"/>
  <c r="X22" i="16"/>
  <c r="F303" i="16"/>
  <c r="Q32" i="16"/>
  <c r="C304" i="16"/>
  <c r="U22" i="16"/>
  <c r="B33" i="16"/>
  <c r="U28" i="16"/>
  <c r="X28" i="16"/>
  <c r="W28" i="16" s="1"/>
  <c r="B255" i="16"/>
  <c r="B254" i="16"/>
  <c r="B287" i="16"/>
  <c r="B251" i="16"/>
  <c r="B253" i="16"/>
  <c r="B252" i="16"/>
  <c r="X11" i="16"/>
  <c r="W11" i="16" s="1"/>
  <c r="Q33" i="16"/>
  <c r="T33" i="16"/>
  <c r="R33" i="16"/>
  <c r="I42" i="16"/>
  <c r="AC42" i="16"/>
  <c r="F304" i="16"/>
  <c r="C303" i="16"/>
  <c r="AC22" i="16"/>
  <c r="G23" i="16"/>
  <c r="P22" i="16" s="1"/>
  <c r="R28" i="16"/>
  <c r="F414" i="16"/>
  <c r="AB33" i="16"/>
  <c r="O33" i="16"/>
  <c r="I305" i="16"/>
  <c r="I304" i="16"/>
  <c r="AA33" i="16"/>
  <c r="E42" i="16"/>
  <c r="O32" i="16"/>
  <c r="M480" i="16"/>
  <c r="M477" i="16"/>
  <c r="M474" i="16"/>
  <c r="M469" i="16"/>
  <c r="M466" i="16"/>
  <c r="M497" i="16"/>
  <c r="M501" i="16"/>
  <c r="M486" i="16"/>
  <c r="M460" i="16"/>
  <c r="M484" i="16"/>
  <c r="M479" i="16"/>
  <c r="M476" i="16"/>
  <c r="M473" i="16"/>
  <c r="M467" i="16"/>
  <c r="M491" i="16"/>
  <c r="M463" i="16"/>
  <c r="M462" i="16"/>
  <c r="M457" i="16"/>
  <c r="M456" i="16"/>
  <c r="M496" i="16"/>
  <c r="M487" i="16"/>
  <c r="M492" i="16"/>
  <c r="M485" i="16"/>
  <c r="M495" i="16"/>
  <c r="M478" i="16"/>
  <c r="M500" i="16"/>
  <c r="M488" i="16"/>
  <c r="M461" i="16"/>
  <c r="M475" i="16"/>
  <c r="D289" i="16"/>
  <c r="D295" i="16" s="1"/>
  <c r="M465" i="16"/>
  <c r="M481" i="16"/>
  <c r="M455" i="16"/>
  <c r="M459" i="16"/>
  <c r="M468" i="16"/>
  <c r="M472" i="16"/>
  <c r="M25" i="16"/>
  <c r="M23" i="16"/>
  <c r="M19" i="16"/>
  <c r="M14" i="16"/>
  <c r="M15" i="16"/>
  <c r="M34" i="16"/>
  <c r="M37" i="16"/>
  <c r="M8" i="16"/>
  <c r="M39" i="16"/>
  <c r="M26" i="16"/>
  <c r="M40" i="16"/>
  <c r="M29" i="16"/>
  <c r="M12" i="16"/>
  <c r="M35" i="16"/>
  <c r="M20" i="16"/>
  <c r="M36" i="16"/>
  <c r="M38" i="16"/>
  <c r="M18" i="16"/>
  <c r="M17" i="16"/>
  <c r="M9" i="16"/>
  <c r="M6" i="16"/>
  <c r="M32" i="16"/>
  <c r="M30" i="16"/>
  <c r="M13" i="16"/>
  <c r="M16" i="16"/>
  <c r="M21" i="16"/>
  <c r="M27" i="16"/>
  <c r="M31" i="16"/>
  <c r="M502" i="16"/>
  <c r="M10" i="16"/>
  <c r="M41" i="16"/>
  <c r="M482" i="16"/>
  <c r="Y33" i="16"/>
  <c r="C42" i="16"/>
  <c r="V42" i="16" s="1"/>
  <c r="Y22" i="16"/>
  <c r="C23" i="16"/>
  <c r="E305" i="16"/>
  <c r="E304" i="16"/>
  <c r="M22" i="16"/>
  <c r="Z33" i="16"/>
  <c r="M33" i="16"/>
  <c r="D42" i="16"/>
  <c r="E303" i="16"/>
  <c r="Z22" i="16"/>
  <c r="D414" i="16"/>
  <c r="I68" i="8"/>
  <c r="I115" i="8" s="1"/>
  <c r="R62" i="8"/>
  <c r="I349" i="8"/>
  <c r="I309" i="8"/>
  <c r="R185" i="8"/>
  <c r="E49" i="8"/>
  <c r="E299" i="8" s="1"/>
  <c r="E379" i="8"/>
  <c r="E380" i="8" s="1"/>
  <c r="H49" i="8"/>
  <c r="H299" i="8" s="1"/>
  <c r="H379" i="8"/>
  <c r="H380" i="8" s="1"/>
  <c r="G49" i="8"/>
  <c r="G299" i="8" s="1"/>
  <c r="G379" i="8"/>
  <c r="G380" i="8" s="1"/>
  <c r="F49" i="8"/>
  <c r="F299" i="8" s="1"/>
  <c r="F379" i="8"/>
  <c r="F380" i="8" s="1"/>
  <c r="D49" i="8"/>
  <c r="D299" i="8" s="1"/>
  <c r="D379" i="8"/>
  <c r="D380" i="8" s="1"/>
  <c r="I298" i="8"/>
  <c r="I300" i="8" s="1"/>
  <c r="I303" i="8" s="1"/>
  <c r="I381" i="8"/>
  <c r="I383" i="8" s="1"/>
  <c r="I412" i="8"/>
  <c r="I393" i="8"/>
  <c r="I361" i="8"/>
  <c r="C49" i="8"/>
  <c r="C299" i="8" s="1"/>
  <c r="C379" i="8"/>
  <c r="C380" i="8" s="1"/>
  <c r="I219" i="8"/>
  <c r="F103" i="8"/>
  <c r="H103" i="8"/>
  <c r="T15" i="8"/>
  <c r="H268" i="8"/>
  <c r="H258" i="8"/>
  <c r="H263" i="8" s="1"/>
  <c r="H17" i="8"/>
  <c r="G368" i="8" s="1"/>
  <c r="AD15" i="8"/>
  <c r="AD31" i="8"/>
  <c r="T27" i="8"/>
  <c r="AD27" i="8"/>
  <c r="I343" i="8"/>
  <c r="I42" i="8"/>
  <c r="I70" i="8"/>
  <c r="R70" i="8" s="1"/>
  <c r="I117" i="8"/>
  <c r="I119" i="8" s="1"/>
  <c r="I107" i="8" s="1"/>
  <c r="I108" i="8" s="1"/>
  <c r="R68" i="8"/>
  <c r="I76" i="1"/>
  <c r="AD74" i="1"/>
  <c r="R74" i="1"/>
  <c r="I29" i="1"/>
  <c r="R14" i="1"/>
  <c r="R52" i="1"/>
  <c r="R28" i="1"/>
  <c r="I53" i="1"/>
  <c r="E368" i="8"/>
  <c r="D368" i="8"/>
  <c r="F368" i="8"/>
  <c r="D298" i="8"/>
  <c r="C368" i="8"/>
  <c r="H298" i="8"/>
  <c r="G298" i="8"/>
  <c r="F298" i="8"/>
  <c r="C298" i="8"/>
  <c r="E298" i="8"/>
  <c r="B47" i="8"/>
  <c r="C258" i="8"/>
  <c r="C263" i="8" s="1"/>
  <c r="H275" i="8"/>
  <c r="G275" i="8"/>
  <c r="F275" i="8"/>
  <c r="G258" i="8"/>
  <c r="G263" i="8" s="1"/>
  <c r="E268" i="8"/>
  <c r="D268" i="8"/>
  <c r="C268" i="8"/>
  <c r="D258" i="8"/>
  <c r="D263" i="8" s="1"/>
  <c r="E275" i="8"/>
  <c r="F274" i="8"/>
  <c r="F268" i="8"/>
  <c r="H216" i="8"/>
  <c r="H218" i="8" s="1"/>
  <c r="G216" i="8"/>
  <c r="G218" i="8" s="1"/>
  <c r="F216" i="8"/>
  <c r="F218" i="8" s="1"/>
  <c r="E216" i="8"/>
  <c r="E218" i="8" s="1"/>
  <c r="D216" i="8"/>
  <c r="D218" i="8" s="1"/>
  <c r="C216" i="8"/>
  <c r="C218" i="8" s="1"/>
  <c r="AE200" i="8"/>
  <c r="E153" i="8"/>
  <c r="N185" i="8" s="1"/>
  <c r="D153" i="8"/>
  <c r="M185" i="8" s="1"/>
  <c r="C153" i="8"/>
  <c r="L185" i="8" s="1"/>
  <c r="AE197" i="8"/>
  <c r="F153" i="8"/>
  <c r="O186" i="8" s="1"/>
  <c r="H153" i="8"/>
  <c r="Q186" i="8" s="1"/>
  <c r="G153" i="8"/>
  <c r="P186" i="8" s="1"/>
  <c r="AC31" i="8"/>
  <c r="AA31" i="8"/>
  <c r="Y31" i="8"/>
  <c r="AB31" i="8"/>
  <c r="Z31" i="8"/>
  <c r="V31" i="8"/>
  <c r="G32" i="8"/>
  <c r="F32" i="8"/>
  <c r="E32" i="8"/>
  <c r="D32" i="8"/>
  <c r="AB10" i="8"/>
  <c r="C32" i="8"/>
  <c r="T32" i="8" s="1"/>
  <c r="Y15" i="8"/>
  <c r="Y10" i="8"/>
  <c r="Z15" i="8"/>
  <c r="AB27" i="8"/>
  <c r="F28" i="8"/>
  <c r="F254" i="8" s="1"/>
  <c r="G28" i="8"/>
  <c r="G254" i="8" s="1"/>
  <c r="AC27" i="8"/>
  <c r="Y27" i="8"/>
  <c r="C28" i="8"/>
  <c r="Z27" i="8"/>
  <c r="D28" i="8"/>
  <c r="D254" i="8" s="1"/>
  <c r="V27" i="8"/>
  <c r="H28" i="8"/>
  <c r="E28" i="8"/>
  <c r="E254" i="8" s="1"/>
  <c r="AA27" i="8"/>
  <c r="Z21" i="8"/>
  <c r="V10" i="8"/>
  <c r="AA10" i="8"/>
  <c r="AB21" i="8"/>
  <c r="Z10" i="8"/>
  <c r="AC21" i="8"/>
  <c r="AA21" i="8"/>
  <c r="Y21" i="8"/>
  <c r="AC10" i="8"/>
  <c r="V15" i="8"/>
  <c r="V21" i="8"/>
  <c r="AC15" i="8"/>
  <c r="AB15" i="8"/>
  <c r="AA15" i="8"/>
  <c r="H414" i="16" l="1"/>
  <c r="Q501" i="16"/>
  <c r="Q469" i="16"/>
  <c r="Q455" i="16"/>
  <c r="Q461" i="16"/>
  <c r="Q482" i="16"/>
  <c r="Q456" i="16"/>
  <c r="Q39" i="16"/>
  <c r="Q20" i="16"/>
  <c r="Q496" i="16"/>
  <c r="Q41" i="16"/>
  <c r="Q462" i="16"/>
  <c r="Q25" i="16"/>
  <c r="Q9" i="16"/>
  <c r="Q18" i="16"/>
  <c r="Q491" i="16"/>
  <c r="Q14" i="16"/>
  <c r="Q6" i="16"/>
  <c r="Q486" i="16"/>
  <c r="Q495" i="16"/>
  <c r="Q500" i="16"/>
  <c r="Q27" i="16"/>
  <c r="Q28" i="16"/>
  <c r="Q10" i="16"/>
  <c r="Q34" i="16"/>
  <c r="Q502" i="16"/>
  <c r="Q459" i="16"/>
  <c r="Q467" i="16"/>
  <c r="Q11" i="16"/>
  <c r="Q31" i="16"/>
  <c r="Q16" i="16"/>
  <c r="Q35" i="16"/>
  <c r="Q460" i="16"/>
  <c r="Q465" i="16"/>
  <c r="Q473" i="16"/>
  <c r="Q15" i="16"/>
  <c r="Q19" i="16"/>
  <c r="Q40" i="16"/>
  <c r="Q466" i="16"/>
  <c r="Q468" i="16"/>
  <c r="Q476" i="16"/>
  <c r="Q492" i="16"/>
  <c r="U23" i="16"/>
  <c r="Q463" i="16"/>
  <c r="Q36" i="16"/>
  <c r="Q12" i="16"/>
  <c r="H289" i="16"/>
  <c r="H295" i="16" s="1"/>
  <c r="Q472" i="16"/>
  <c r="Q479" i="16"/>
  <c r="Q457" i="16"/>
  <c r="Q13" i="16"/>
  <c r="Q29" i="16"/>
  <c r="Q497" i="16"/>
  <c r="Q475" i="16"/>
  <c r="Q38" i="16"/>
  <c r="Q42" i="16"/>
  <c r="Q43" i="16" s="1"/>
  <c r="Q8" i="16"/>
  <c r="Q30" i="16"/>
  <c r="Q26" i="16"/>
  <c r="Q485" i="16"/>
  <c r="Q478" i="16"/>
  <c r="Q474" i="16"/>
  <c r="H43" i="16"/>
  <c r="Q37" i="16"/>
  <c r="Q21" i="16"/>
  <c r="Q477" i="16"/>
  <c r="Q488" i="16"/>
  <c r="Q481" i="16"/>
  <c r="Q484" i="16"/>
  <c r="Q487" i="16"/>
  <c r="F295" i="16"/>
  <c r="Z23" i="16"/>
  <c r="B414" i="16"/>
  <c r="K28" i="16"/>
  <c r="I365" i="8"/>
  <c r="I351" i="8"/>
  <c r="O43" i="16"/>
  <c r="L495" i="16"/>
  <c r="L488" i="16"/>
  <c r="L485" i="16"/>
  <c r="L480" i="16"/>
  <c r="L477" i="16"/>
  <c r="L474" i="16"/>
  <c r="L469" i="16"/>
  <c r="L466" i="16"/>
  <c r="L497" i="16"/>
  <c r="L501" i="16"/>
  <c r="L486" i="16"/>
  <c r="L460" i="16"/>
  <c r="L484" i="16"/>
  <c r="L479" i="16"/>
  <c r="L476" i="16"/>
  <c r="L473" i="16"/>
  <c r="L467" i="16"/>
  <c r="L491" i="16"/>
  <c r="L463" i="16"/>
  <c r="L462" i="16"/>
  <c r="L457" i="16"/>
  <c r="L456" i="16"/>
  <c r="L496" i="16"/>
  <c r="L500" i="16"/>
  <c r="L481" i="16"/>
  <c r="L478" i="16"/>
  <c r="L475" i="16"/>
  <c r="L472" i="16"/>
  <c r="L468" i="16"/>
  <c r="L465" i="16"/>
  <c r="L459" i="16"/>
  <c r="L482" i="16"/>
  <c r="L492" i="16"/>
  <c r="L461" i="16"/>
  <c r="L487" i="16"/>
  <c r="C289" i="16"/>
  <c r="L455" i="16"/>
  <c r="L40" i="16"/>
  <c r="L25" i="16"/>
  <c r="Y23" i="16"/>
  <c r="L23" i="16"/>
  <c r="L13" i="16"/>
  <c r="L14" i="16"/>
  <c r="L34" i="16"/>
  <c r="L37" i="16"/>
  <c r="L39" i="16"/>
  <c r="L31" i="16"/>
  <c r="L26" i="16"/>
  <c r="L29" i="16"/>
  <c r="L12" i="16"/>
  <c r="L30" i="16"/>
  <c r="L35" i="16"/>
  <c r="L20" i="16"/>
  <c r="L38" i="16"/>
  <c r="L18" i="16"/>
  <c r="L9" i="16"/>
  <c r="L6" i="16"/>
  <c r="L36" i="16"/>
  <c r="L19" i="16"/>
  <c r="L16" i="16"/>
  <c r="L32" i="16"/>
  <c r="L10" i="16"/>
  <c r="L8" i="16"/>
  <c r="L27" i="16"/>
  <c r="L502" i="16"/>
  <c r="L15" i="16"/>
  <c r="L21" i="16"/>
  <c r="L41" i="16"/>
  <c r="L17" i="16"/>
  <c r="L11" i="16"/>
  <c r="C414" i="16"/>
  <c r="L28" i="16"/>
  <c r="P501" i="16"/>
  <c r="P486" i="16"/>
  <c r="P460" i="16"/>
  <c r="P484" i="16"/>
  <c r="P479" i="16"/>
  <c r="P476" i="16"/>
  <c r="P473" i="16"/>
  <c r="P467" i="16"/>
  <c r="P491" i="16"/>
  <c r="P462" i="16"/>
  <c r="P456" i="16"/>
  <c r="P496" i="16"/>
  <c r="P487" i="16"/>
  <c r="P500" i="16"/>
  <c r="P481" i="16"/>
  <c r="P478" i="16"/>
  <c r="P475" i="16"/>
  <c r="P472" i="16"/>
  <c r="P468" i="16"/>
  <c r="P465" i="16"/>
  <c r="P459" i="16"/>
  <c r="P492" i="16"/>
  <c r="P482" i="16"/>
  <c r="P461" i="16"/>
  <c r="P455" i="16"/>
  <c r="P480" i="16"/>
  <c r="P477" i="16"/>
  <c r="P474" i="16"/>
  <c r="P469" i="16"/>
  <c r="P466" i="16"/>
  <c r="P488" i="16"/>
  <c r="P497" i="16"/>
  <c r="G289" i="16"/>
  <c r="F308" i="16" s="1"/>
  <c r="F357" i="16" s="1"/>
  <c r="P485" i="16"/>
  <c r="P40" i="16"/>
  <c r="P495" i="16"/>
  <c r="P37" i="16"/>
  <c r="P26" i="16"/>
  <c r="P29" i="16"/>
  <c r="P12" i="16"/>
  <c r="P35" i="16"/>
  <c r="P38" i="16"/>
  <c r="P18" i="16"/>
  <c r="P6" i="16"/>
  <c r="P14" i="16"/>
  <c r="P30" i="16"/>
  <c r="P13" i="16"/>
  <c r="P36" i="16"/>
  <c r="P19" i="16"/>
  <c r="P16" i="16"/>
  <c r="P15" i="16"/>
  <c r="P10" i="16"/>
  <c r="P27" i="16"/>
  <c r="P25" i="16"/>
  <c r="AC23" i="16"/>
  <c r="P23" i="16"/>
  <c r="P34" i="16"/>
  <c r="P457" i="16"/>
  <c r="P31" i="16"/>
  <c r="P21" i="16"/>
  <c r="P41" i="16"/>
  <c r="P502" i="16"/>
  <c r="P28" i="16"/>
  <c r="P8" i="16"/>
  <c r="P39" i="16"/>
  <c r="P11" i="16"/>
  <c r="P9" i="16"/>
  <c r="P20" i="16"/>
  <c r="P463" i="16"/>
  <c r="P33" i="16"/>
  <c r="P17" i="16"/>
  <c r="P32" i="16"/>
  <c r="G414" i="16"/>
  <c r="L22" i="16"/>
  <c r="AA42" i="16"/>
  <c r="N42" i="16"/>
  <c r="E43" i="16"/>
  <c r="X33" i="16"/>
  <c r="W33" i="16" s="1"/>
  <c r="K33" i="16"/>
  <c r="B42" i="16"/>
  <c r="U33" i="16"/>
  <c r="W22" i="16"/>
  <c r="AB23" i="16"/>
  <c r="Z42" i="16"/>
  <c r="M42" i="16"/>
  <c r="M43" i="16" s="1"/>
  <c r="D43" i="16"/>
  <c r="C43" i="16"/>
  <c r="L42" i="16"/>
  <c r="Y42" i="16"/>
  <c r="K480" i="16"/>
  <c r="K477" i="16"/>
  <c r="K474" i="16"/>
  <c r="K484" i="16"/>
  <c r="K479" i="16"/>
  <c r="K476" i="16"/>
  <c r="K473" i="16"/>
  <c r="K467" i="16"/>
  <c r="K472" i="16"/>
  <c r="K496" i="16"/>
  <c r="K478" i="16"/>
  <c r="K482" i="16"/>
  <c r="K500" i="16"/>
  <c r="K492" i="16"/>
  <c r="K475" i="16"/>
  <c r="K465" i="16"/>
  <c r="B289" i="16"/>
  <c r="K481" i="16"/>
  <c r="X23" i="16"/>
  <c r="K23" i="16"/>
  <c r="K6" i="16"/>
  <c r="K14" i="16"/>
  <c r="K37" i="16"/>
  <c r="K31" i="16"/>
  <c r="K29" i="16"/>
  <c r="K12" i="16"/>
  <c r="K9" i="16"/>
  <c r="K30" i="16"/>
  <c r="K13" i="16"/>
  <c r="K10" i="16"/>
  <c r="K15" i="16"/>
  <c r="K25" i="16"/>
  <c r="K19" i="16"/>
  <c r="K487" i="16"/>
  <c r="K36" i="16"/>
  <c r="K489" i="16"/>
  <c r="K491" i="16"/>
  <c r="K488" i="16"/>
  <c r="K456" i="16"/>
  <c r="K497" i="16"/>
  <c r="K39" i="16"/>
  <c r="K460" i="16"/>
  <c r="K18" i="16"/>
  <c r="K35" i="16"/>
  <c r="K40" i="16"/>
  <c r="K21" i="16"/>
  <c r="K461" i="16"/>
  <c r="K485" i="16"/>
  <c r="K469" i="16"/>
  <c r="K20" i="16"/>
  <c r="K455" i="16"/>
  <c r="K466" i="16"/>
  <c r="K32" i="16"/>
  <c r="K26" i="16"/>
  <c r="K468" i="16"/>
  <c r="K462" i="16"/>
  <c r="K495" i="16"/>
  <c r="K459" i="16"/>
  <c r="K34" i="16"/>
  <c r="K16" i="16"/>
  <c r="K486" i="16"/>
  <c r="K38" i="16"/>
  <c r="K501" i="16"/>
  <c r="K463" i="16"/>
  <c r="K502" i="16"/>
  <c r="K8" i="16"/>
  <c r="K41" i="16"/>
  <c r="K17" i="16"/>
  <c r="K457" i="16"/>
  <c r="K27" i="16"/>
  <c r="L33" i="16"/>
  <c r="P42" i="16"/>
  <c r="V23" i="16"/>
  <c r="F294" i="16"/>
  <c r="F285" i="16"/>
  <c r="F292" i="16"/>
  <c r="B305" i="16"/>
  <c r="B304" i="16"/>
  <c r="G43" i="16"/>
  <c r="N497" i="16"/>
  <c r="N501" i="16"/>
  <c r="N486" i="16"/>
  <c r="N460" i="16"/>
  <c r="N484" i="16"/>
  <c r="N479" i="16"/>
  <c r="N476" i="16"/>
  <c r="N473" i="16"/>
  <c r="N467" i="16"/>
  <c r="N491" i="16"/>
  <c r="N462" i="16"/>
  <c r="N456" i="16"/>
  <c r="N496" i="16"/>
  <c r="N487" i="16"/>
  <c r="N500" i="16"/>
  <c r="N481" i="16"/>
  <c r="N478" i="16"/>
  <c r="N475" i="16"/>
  <c r="N472" i="16"/>
  <c r="N468" i="16"/>
  <c r="N465" i="16"/>
  <c r="N459" i="16"/>
  <c r="N461" i="16"/>
  <c r="N455" i="16"/>
  <c r="N495" i="16"/>
  <c r="N477" i="16"/>
  <c r="N482" i="16"/>
  <c r="N492" i="16"/>
  <c r="N488" i="16"/>
  <c r="N466" i="16"/>
  <c r="E289" i="16"/>
  <c r="N474" i="16"/>
  <c r="N480" i="16"/>
  <c r="N469" i="16"/>
  <c r="N485" i="16"/>
  <c r="N14" i="16"/>
  <c r="N34" i="16"/>
  <c r="N37" i="16"/>
  <c r="N26" i="16"/>
  <c r="N40" i="16"/>
  <c r="N29" i="16"/>
  <c r="N12" i="16"/>
  <c r="N35" i="16"/>
  <c r="N20" i="16"/>
  <c r="N38" i="16"/>
  <c r="N18" i="16"/>
  <c r="N10" i="16"/>
  <c r="N6" i="16"/>
  <c r="N30" i="16"/>
  <c r="N13" i="16"/>
  <c r="N36" i="16"/>
  <c r="N19" i="16"/>
  <c r="N16" i="16"/>
  <c r="N15" i="16"/>
  <c r="N25" i="16"/>
  <c r="AA23" i="16"/>
  <c r="N23" i="16"/>
  <c r="N457" i="16"/>
  <c r="N41" i="16"/>
  <c r="N27" i="16"/>
  <c r="N9" i="16"/>
  <c r="N21" i="16"/>
  <c r="N502" i="16"/>
  <c r="N31" i="16"/>
  <c r="N463" i="16"/>
  <c r="N39" i="16"/>
  <c r="N8" i="16"/>
  <c r="N17" i="16"/>
  <c r="N32" i="16"/>
  <c r="N28" i="16"/>
  <c r="N11" i="16"/>
  <c r="E414" i="16"/>
  <c r="T42" i="16"/>
  <c r="R42" i="16"/>
  <c r="R43" i="16" s="1"/>
  <c r="I43" i="16"/>
  <c r="K11" i="16"/>
  <c r="N22" i="16"/>
  <c r="T23" i="16"/>
  <c r="D308" i="16"/>
  <c r="D357" i="16" s="1"/>
  <c r="D285" i="16"/>
  <c r="D294" i="16"/>
  <c r="D292" i="16"/>
  <c r="D296" i="16"/>
  <c r="AD42" i="16"/>
  <c r="I285" i="16"/>
  <c r="I294" i="16"/>
  <c r="I292" i="16"/>
  <c r="I296" i="16"/>
  <c r="Q185" i="8"/>
  <c r="O185" i="8"/>
  <c r="L186" i="8"/>
  <c r="P185" i="8"/>
  <c r="M186" i="8"/>
  <c r="N186" i="8"/>
  <c r="D300" i="8"/>
  <c r="D304" i="8" s="1"/>
  <c r="C383" i="8"/>
  <c r="C393" i="8"/>
  <c r="I304" i="8"/>
  <c r="F383" i="8"/>
  <c r="F393" i="8"/>
  <c r="I302" i="8"/>
  <c r="G383" i="8"/>
  <c r="G393" i="8"/>
  <c r="H393" i="8"/>
  <c r="H383" i="8"/>
  <c r="D383" i="8"/>
  <c r="D393" i="8"/>
  <c r="B49" i="8"/>
  <c r="B299" i="8" s="1"/>
  <c r="B379" i="8"/>
  <c r="B380" i="8" s="1"/>
  <c r="E383" i="8"/>
  <c r="E393" i="8"/>
  <c r="I72" i="8"/>
  <c r="R72" i="8" s="1"/>
  <c r="C254" i="8"/>
  <c r="T28" i="8"/>
  <c r="H368" i="8"/>
  <c r="AD17" i="8"/>
  <c r="H254" i="8"/>
  <c r="AD28" i="8"/>
  <c r="I78" i="1"/>
  <c r="I88" i="1"/>
  <c r="R76" i="1"/>
  <c r="AD76" i="1"/>
  <c r="R10" i="1"/>
  <c r="R22" i="1"/>
  <c r="R47" i="1"/>
  <c r="R11" i="1"/>
  <c r="R23" i="1"/>
  <c r="R36" i="1"/>
  <c r="R48" i="1"/>
  <c r="R12" i="1"/>
  <c r="R37" i="1"/>
  <c r="R34" i="1"/>
  <c r="R13" i="1"/>
  <c r="R25" i="1"/>
  <c r="R38" i="1"/>
  <c r="R50" i="1"/>
  <c r="R27" i="1"/>
  <c r="R21" i="1"/>
  <c r="R26" i="1"/>
  <c r="R39" i="1"/>
  <c r="R15" i="1"/>
  <c r="R40" i="1"/>
  <c r="R46" i="1"/>
  <c r="R16" i="1"/>
  <c r="R41" i="1"/>
  <c r="R6" i="1"/>
  <c r="R17" i="1"/>
  <c r="R29" i="1"/>
  <c r="R45" i="1"/>
  <c r="R9" i="1"/>
  <c r="R18" i="1"/>
  <c r="R31" i="1"/>
  <c r="R43" i="1"/>
  <c r="R8" i="1"/>
  <c r="R33" i="1"/>
  <c r="R7" i="1"/>
  <c r="R32" i="1"/>
  <c r="R44" i="1"/>
  <c r="R20" i="1"/>
  <c r="R35" i="1"/>
  <c r="R24" i="1"/>
  <c r="R51" i="1"/>
  <c r="R42" i="1"/>
  <c r="R49" i="1"/>
  <c r="R19" i="1"/>
  <c r="E300" i="8"/>
  <c r="E302" i="8" s="1"/>
  <c r="G300" i="8"/>
  <c r="G302" i="8" s="1"/>
  <c r="H300" i="8"/>
  <c r="H302" i="8" s="1"/>
  <c r="F300" i="8"/>
  <c r="F302" i="8" s="1"/>
  <c r="C300" i="8"/>
  <c r="C302" i="8" s="1"/>
  <c r="C219" i="8"/>
  <c r="D219" i="8"/>
  <c r="H219" i="8"/>
  <c r="E219" i="8"/>
  <c r="G219" i="8"/>
  <c r="F219" i="8"/>
  <c r="H494" i="8"/>
  <c r="G494" i="8"/>
  <c r="F494" i="8"/>
  <c r="F69" i="8" s="1"/>
  <c r="E494" i="8"/>
  <c r="D494" i="8"/>
  <c r="D69" i="8" s="1"/>
  <c r="C494" i="8"/>
  <c r="C69" i="8" s="1"/>
  <c r="B69" i="8" s="1"/>
  <c r="AC493" i="8"/>
  <c r="AB493" i="8"/>
  <c r="AA493" i="8"/>
  <c r="Z493" i="8"/>
  <c r="Y493" i="8"/>
  <c r="X493" i="8"/>
  <c r="W493" i="8" s="1"/>
  <c r="V493" i="8"/>
  <c r="U493" i="8"/>
  <c r="AC492" i="8"/>
  <c r="AB492" i="8"/>
  <c r="AA492" i="8"/>
  <c r="Z492" i="8"/>
  <c r="Y492" i="8"/>
  <c r="X492" i="8"/>
  <c r="V492" i="8"/>
  <c r="U492" i="8"/>
  <c r="AC491" i="8"/>
  <c r="AB491" i="8"/>
  <c r="AA491" i="8"/>
  <c r="Z491" i="8"/>
  <c r="Y491" i="8"/>
  <c r="X491" i="8"/>
  <c r="V491" i="8"/>
  <c r="U491" i="8"/>
  <c r="AC490" i="8"/>
  <c r="AB490" i="8"/>
  <c r="AA490" i="8"/>
  <c r="Z490" i="8"/>
  <c r="Y490" i="8"/>
  <c r="X490" i="8"/>
  <c r="V490" i="8"/>
  <c r="U490" i="8"/>
  <c r="AC489" i="8"/>
  <c r="AB489" i="8"/>
  <c r="AA489" i="8"/>
  <c r="Z489" i="8"/>
  <c r="Y489" i="8"/>
  <c r="X489" i="8"/>
  <c r="V489" i="8"/>
  <c r="U489" i="8"/>
  <c r="AC488" i="8"/>
  <c r="AB488" i="8"/>
  <c r="AA488" i="8"/>
  <c r="Z488" i="8"/>
  <c r="Y488" i="8"/>
  <c r="X488" i="8"/>
  <c r="V488" i="8"/>
  <c r="U488" i="8"/>
  <c r="AK486" i="8"/>
  <c r="AK61" i="8" s="1"/>
  <c r="AK62" i="8" s="1"/>
  <c r="AJ486" i="8"/>
  <c r="AJ61" i="8" s="1"/>
  <c r="AJ62" i="8" s="1"/>
  <c r="AH486" i="8"/>
  <c r="AH61" i="8" s="1"/>
  <c r="AH62" i="8" s="1"/>
  <c r="AG486" i="8"/>
  <c r="AG61" i="8" s="1"/>
  <c r="AG62" i="8" s="1"/>
  <c r="H486" i="8"/>
  <c r="H61" i="8" s="1"/>
  <c r="G486" i="8"/>
  <c r="G61" i="8" s="1"/>
  <c r="F486" i="8"/>
  <c r="F61" i="8" s="1"/>
  <c r="E486" i="8"/>
  <c r="D486" i="8"/>
  <c r="D61" i="8" s="1"/>
  <c r="C486" i="8"/>
  <c r="AC485" i="8"/>
  <c r="AB485" i="8"/>
  <c r="AA485" i="8"/>
  <c r="Z485" i="8"/>
  <c r="Y485" i="8"/>
  <c r="V485" i="8"/>
  <c r="B485" i="8"/>
  <c r="X485" i="8" s="1"/>
  <c r="AC484" i="8"/>
  <c r="AB484" i="8"/>
  <c r="AA484" i="8"/>
  <c r="Z484" i="8"/>
  <c r="Y484" i="8"/>
  <c r="V484" i="8"/>
  <c r="B484" i="8"/>
  <c r="H466" i="8"/>
  <c r="G466" i="8"/>
  <c r="G20" i="8" s="1"/>
  <c r="G22" i="8" s="1"/>
  <c r="F466" i="8"/>
  <c r="F20" i="8" s="1"/>
  <c r="F22" i="8" s="1"/>
  <c r="E466" i="8"/>
  <c r="E20" i="8" s="1"/>
  <c r="E22" i="8" s="1"/>
  <c r="D466" i="8"/>
  <c r="D20" i="8" s="1"/>
  <c r="D22" i="8" s="1"/>
  <c r="C466" i="8"/>
  <c r="C20" i="8" s="1"/>
  <c r="AC465" i="8"/>
  <c r="AB465" i="8"/>
  <c r="AA465" i="8"/>
  <c r="Z465" i="8"/>
  <c r="Y465" i="8"/>
  <c r="X465" i="8"/>
  <c r="V465" i="8"/>
  <c r="U465" i="8"/>
  <c r="AC464" i="8"/>
  <c r="AB464" i="8"/>
  <c r="AA464" i="8"/>
  <c r="Z464" i="8"/>
  <c r="Y464" i="8"/>
  <c r="X464" i="8"/>
  <c r="V464" i="8"/>
  <c r="U464" i="8"/>
  <c r="AC463" i="8"/>
  <c r="AB463" i="8"/>
  <c r="AA463" i="8"/>
  <c r="Z463" i="8"/>
  <c r="Y463" i="8"/>
  <c r="X463" i="8"/>
  <c r="V463" i="8"/>
  <c r="U463" i="8"/>
  <c r="AC462" i="8"/>
  <c r="AB462" i="8"/>
  <c r="AA462" i="8"/>
  <c r="Z462" i="8"/>
  <c r="Y462" i="8"/>
  <c r="X462" i="8"/>
  <c r="V462" i="8"/>
  <c r="U462" i="8"/>
  <c r="AC461" i="8"/>
  <c r="AB461" i="8"/>
  <c r="AA461" i="8"/>
  <c r="Z461" i="8"/>
  <c r="Y461" i="8"/>
  <c r="X461" i="8"/>
  <c r="V461" i="8"/>
  <c r="U461" i="8"/>
  <c r="AC460" i="8"/>
  <c r="AB460" i="8"/>
  <c r="AA460" i="8"/>
  <c r="Z460" i="8"/>
  <c r="Y460" i="8"/>
  <c r="X460" i="8"/>
  <c r="V460" i="8"/>
  <c r="U460" i="8"/>
  <c r="AC459" i="8"/>
  <c r="AB459" i="8"/>
  <c r="AA459" i="8"/>
  <c r="Z459" i="8"/>
  <c r="Y459" i="8"/>
  <c r="X459" i="8"/>
  <c r="V459" i="8"/>
  <c r="U459" i="8"/>
  <c r="AC458" i="8"/>
  <c r="AB458" i="8"/>
  <c r="AA458" i="8"/>
  <c r="Z458" i="8"/>
  <c r="Y458" i="8"/>
  <c r="X458" i="8"/>
  <c r="V458" i="8"/>
  <c r="U458" i="8"/>
  <c r="AC457" i="8"/>
  <c r="AB457" i="8"/>
  <c r="AA457" i="8"/>
  <c r="Z457" i="8"/>
  <c r="Y457" i="8"/>
  <c r="X457" i="8"/>
  <c r="V457" i="8"/>
  <c r="U457" i="8"/>
  <c r="AC456" i="8"/>
  <c r="AB456" i="8"/>
  <c r="AA456" i="8"/>
  <c r="Z456" i="8"/>
  <c r="Y456" i="8"/>
  <c r="X456" i="8"/>
  <c r="V456" i="8"/>
  <c r="U456" i="8"/>
  <c r="AK447" i="8"/>
  <c r="AK9" i="8" s="1"/>
  <c r="AJ447" i="8"/>
  <c r="AJ9" i="8" s="1"/>
  <c r="AH447" i="8"/>
  <c r="AH9" i="8" s="1"/>
  <c r="AG447" i="8"/>
  <c r="AG9" i="8" s="1"/>
  <c r="H447" i="8"/>
  <c r="H9" i="8" s="1"/>
  <c r="G447" i="8"/>
  <c r="G9" i="8" s="1"/>
  <c r="G267" i="8" s="1"/>
  <c r="F447" i="8"/>
  <c r="F9" i="8" s="1"/>
  <c r="F267" i="8" s="1"/>
  <c r="E447" i="8"/>
  <c r="D447" i="8"/>
  <c r="D9" i="8" s="1"/>
  <c r="D267" i="8" s="1"/>
  <c r="C447" i="8"/>
  <c r="C9" i="8" s="1"/>
  <c r="T9" i="8" s="1"/>
  <c r="AC446" i="8"/>
  <c r="AB446" i="8"/>
  <c r="AA446" i="8"/>
  <c r="Z446" i="8"/>
  <c r="Y446" i="8"/>
  <c r="V446" i="8"/>
  <c r="B446" i="8"/>
  <c r="X446" i="8" s="1"/>
  <c r="AC445" i="8"/>
  <c r="AB445" i="8"/>
  <c r="AA445" i="8"/>
  <c r="Z445" i="8"/>
  <c r="Y445" i="8"/>
  <c r="V445" i="8"/>
  <c r="B445" i="8"/>
  <c r="X445" i="8" s="1"/>
  <c r="AC444" i="8"/>
  <c r="AB444" i="8"/>
  <c r="AA444" i="8"/>
  <c r="Z444" i="8"/>
  <c r="Y444" i="8"/>
  <c r="V444" i="8"/>
  <c r="B444" i="8"/>
  <c r="U444" i="8" s="1"/>
  <c r="AC443" i="8"/>
  <c r="AB443" i="8"/>
  <c r="AA443" i="8"/>
  <c r="Z443" i="8"/>
  <c r="Y443" i="8"/>
  <c r="V443" i="8"/>
  <c r="B443" i="8"/>
  <c r="U443" i="8" s="1"/>
  <c r="AK441" i="8"/>
  <c r="AK8" i="8" s="1"/>
  <c r="AJ441" i="8"/>
  <c r="AJ8" i="8" s="1"/>
  <c r="AH441" i="8"/>
  <c r="AH8" i="8" s="1"/>
  <c r="AG441" i="8"/>
  <c r="AG8" i="8" s="1"/>
  <c r="AC440" i="8"/>
  <c r="AB440" i="8"/>
  <c r="AA440" i="8"/>
  <c r="Z440" i="8"/>
  <c r="Y440" i="8"/>
  <c r="V440" i="8"/>
  <c r="B440" i="8"/>
  <c r="B180" i="8"/>
  <c r="B178" i="8"/>
  <c r="AK177" i="8"/>
  <c r="AJ177" i="8"/>
  <c r="AH177" i="8"/>
  <c r="AG177" i="8"/>
  <c r="B176" i="8"/>
  <c r="B205" i="8" s="1"/>
  <c r="B175" i="8"/>
  <c r="AC174" i="8"/>
  <c r="AB174" i="8"/>
  <c r="AA174" i="8"/>
  <c r="Z174" i="8"/>
  <c r="V174" i="8"/>
  <c r="B174" i="8"/>
  <c r="AC173" i="8"/>
  <c r="AB173" i="8"/>
  <c r="AA173" i="8"/>
  <c r="Z173" i="8"/>
  <c r="Y173" i="8"/>
  <c r="V173" i="8"/>
  <c r="B173" i="8"/>
  <c r="AC172" i="8"/>
  <c r="AB172" i="8"/>
  <c r="AA172" i="8"/>
  <c r="Z172" i="8"/>
  <c r="V172" i="8"/>
  <c r="B172" i="8"/>
  <c r="AC171" i="8"/>
  <c r="AB171" i="8"/>
  <c r="AA171" i="8"/>
  <c r="Z171" i="8"/>
  <c r="Y171" i="8"/>
  <c r="V171" i="8"/>
  <c r="B171" i="8"/>
  <c r="B170" i="8"/>
  <c r="B169" i="8"/>
  <c r="B168" i="8"/>
  <c r="B167" i="8"/>
  <c r="AK166" i="8"/>
  <c r="AJ166" i="8"/>
  <c r="AH166" i="8"/>
  <c r="AG166" i="8"/>
  <c r="H166" i="8"/>
  <c r="G166" i="8"/>
  <c r="F166" i="8"/>
  <c r="E166" i="8"/>
  <c r="D166" i="8"/>
  <c r="C166" i="8"/>
  <c r="B165" i="8"/>
  <c r="AC164" i="8"/>
  <c r="AB164" i="8"/>
  <c r="AA164" i="8"/>
  <c r="Z164" i="8"/>
  <c r="Y164" i="8"/>
  <c r="V164" i="8"/>
  <c r="B164" i="8"/>
  <c r="B163" i="8"/>
  <c r="AB162" i="8"/>
  <c r="AA162" i="8"/>
  <c r="Z162" i="8"/>
  <c r="Y162" i="8"/>
  <c r="B162" i="8"/>
  <c r="B161" i="8"/>
  <c r="B203" i="8" s="1"/>
  <c r="AC160" i="8"/>
  <c r="AB160" i="8"/>
  <c r="AA160" i="8"/>
  <c r="Z160" i="8"/>
  <c r="Y160" i="8"/>
  <c r="V160" i="8"/>
  <c r="B160" i="8"/>
  <c r="AC148" i="8"/>
  <c r="AB148" i="8"/>
  <c r="AA148" i="8"/>
  <c r="Z148" i="8"/>
  <c r="Y148" i="8"/>
  <c r="V148" i="8"/>
  <c r="B148" i="8"/>
  <c r="X148" i="8" s="1"/>
  <c r="AC147" i="8"/>
  <c r="AB147" i="8"/>
  <c r="AA147" i="8"/>
  <c r="Z147" i="8"/>
  <c r="Y147" i="8"/>
  <c r="B147" i="8"/>
  <c r="X147" i="8" s="1"/>
  <c r="AC146" i="8"/>
  <c r="AB146" i="8"/>
  <c r="AA146" i="8"/>
  <c r="Z146" i="8"/>
  <c r="Y146" i="8"/>
  <c r="B146" i="8"/>
  <c r="X146" i="8" s="1"/>
  <c r="AC145" i="8"/>
  <c r="AB145" i="8"/>
  <c r="AA145" i="8"/>
  <c r="Z145" i="8"/>
  <c r="Y145" i="8"/>
  <c r="B145" i="8"/>
  <c r="AC144" i="8"/>
  <c r="AB144" i="8"/>
  <c r="AA144" i="8"/>
  <c r="Z144" i="8"/>
  <c r="Y144" i="8"/>
  <c r="V144" i="8"/>
  <c r="B144" i="8"/>
  <c r="U144" i="8" s="1"/>
  <c r="AK142" i="8"/>
  <c r="AJ142" i="8"/>
  <c r="AH142" i="8"/>
  <c r="AG142" i="8"/>
  <c r="B141" i="8"/>
  <c r="B140" i="8"/>
  <c r="B139" i="8"/>
  <c r="B138" i="8"/>
  <c r="B137" i="8"/>
  <c r="AC136" i="8"/>
  <c r="AB136" i="8"/>
  <c r="AA136" i="8"/>
  <c r="Z136" i="8"/>
  <c r="Y136" i="8"/>
  <c r="V136" i="8"/>
  <c r="B136" i="8"/>
  <c r="AC135" i="8"/>
  <c r="AB135" i="8"/>
  <c r="AA135" i="8"/>
  <c r="Z135" i="8"/>
  <c r="Y135" i="8"/>
  <c r="V135" i="8"/>
  <c r="B135" i="8"/>
  <c r="U135" i="8" s="1"/>
  <c r="AC134" i="8"/>
  <c r="AB134" i="8"/>
  <c r="AA134" i="8"/>
  <c r="Z134" i="8"/>
  <c r="Y134" i="8"/>
  <c r="B134" i="8"/>
  <c r="X134" i="8" s="1"/>
  <c r="AC133" i="8"/>
  <c r="AB133" i="8"/>
  <c r="AA133" i="8"/>
  <c r="Z133" i="8"/>
  <c r="Y133" i="8"/>
  <c r="V133" i="8"/>
  <c r="B133" i="8"/>
  <c r="X133" i="8" s="1"/>
  <c r="V132" i="8"/>
  <c r="B132" i="8"/>
  <c r="U132" i="8" s="1"/>
  <c r="AB131" i="8"/>
  <c r="AA131" i="8"/>
  <c r="Z131" i="8"/>
  <c r="Y131" i="8"/>
  <c r="B131" i="8"/>
  <c r="X131" i="8" s="1"/>
  <c r="B130" i="8"/>
  <c r="B129" i="8"/>
  <c r="B128" i="8"/>
  <c r="AB127" i="8"/>
  <c r="AA127" i="8"/>
  <c r="Z127" i="8"/>
  <c r="Y127" i="8"/>
  <c r="B127" i="8"/>
  <c r="X127" i="8" s="1"/>
  <c r="AC126" i="8"/>
  <c r="AB126" i="8"/>
  <c r="AA126" i="8"/>
  <c r="Z126" i="8"/>
  <c r="Y126" i="8"/>
  <c r="V126" i="8"/>
  <c r="B126" i="8"/>
  <c r="H78" i="8"/>
  <c r="H403" i="8" s="1"/>
  <c r="H404" i="8" s="1"/>
  <c r="G78" i="8"/>
  <c r="G403" i="8" s="1"/>
  <c r="F78" i="8"/>
  <c r="F403" i="8" s="1"/>
  <c r="E78" i="8"/>
  <c r="E403" i="8" s="1"/>
  <c r="D78" i="8"/>
  <c r="D403" i="8" s="1"/>
  <c r="C78" i="8"/>
  <c r="C403" i="8" s="1"/>
  <c r="B76" i="8"/>
  <c r="Q73" i="8"/>
  <c r="P73" i="8"/>
  <c r="O73" i="8"/>
  <c r="N73" i="8"/>
  <c r="M73" i="8"/>
  <c r="L73" i="8"/>
  <c r="B73" i="8"/>
  <c r="B73" i="16" s="1"/>
  <c r="Q71" i="8"/>
  <c r="P71" i="8"/>
  <c r="O71" i="8"/>
  <c r="N71" i="8"/>
  <c r="M71" i="8"/>
  <c r="L71" i="8"/>
  <c r="B71" i="8"/>
  <c r="A69" i="8"/>
  <c r="AK67" i="8"/>
  <c r="AJ67" i="8"/>
  <c r="AH67" i="8"/>
  <c r="AG67" i="8"/>
  <c r="H67" i="8"/>
  <c r="AD67" i="8" s="1"/>
  <c r="G67" i="8"/>
  <c r="P67" i="8" s="1"/>
  <c r="F67" i="8"/>
  <c r="E67" i="8"/>
  <c r="D67" i="8"/>
  <c r="C67" i="8"/>
  <c r="Q66" i="8"/>
  <c r="P66" i="8"/>
  <c r="O66" i="8"/>
  <c r="N66" i="8"/>
  <c r="M66" i="8"/>
  <c r="L66" i="8"/>
  <c r="B66" i="8"/>
  <c r="B66" i="16" s="1"/>
  <c r="Q65" i="8"/>
  <c r="P65" i="8"/>
  <c r="O65" i="8"/>
  <c r="N65" i="8"/>
  <c r="M65" i="8"/>
  <c r="L65" i="8"/>
  <c r="B65" i="8"/>
  <c r="B65" i="16" s="1"/>
  <c r="AC64" i="8"/>
  <c r="AB64" i="8"/>
  <c r="AA64" i="8"/>
  <c r="Z64" i="8"/>
  <c r="Y64" i="8"/>
  <c r="V64" i="8"/>
  <c r="Q64" i="8"/>
  <c r="P64" i="8"/>
  <c r="O64" i="8"/>
  <c r="N64" i="8"/>
  <c r="M64" i="8"/>
  <c r="L64" i="8"/>
  <c r="B64" i="8"/>
  <c r="B64" i="16" s="1"/>
  <c r="AC63" i="8"/>
  <c r="AB63" i="8"/>
  <c r="AA63" i="8"/>
  <c r="Z63" i="8"/>
  <c r="Y63" i="8"/>
  <c r="V63" i="8"/>
  <c r="Q63" i="8"/>
  <c r="P63" i="8"/>
  <c r="O63" i="8"/>
  <c r="N63" i="8"/>
  <c r="M63" i="8"/>
  <c r="L63" i="8"/>
  <c r="B63" i="8"/>
  <c r="B63" i="16" s="1"/>
  <c r="A61" i="8"/>
  <c r="Q60" i="8"/>
  <c r="P60" i="8"/>
  <c r="O60" i="8"/>
  <c r="N60" i="8"/>
  <c r="M60" i="8"/>
  <c r="L60" i="8"/>
  <c r="Q59" i="8"/>
  <c r="P59" i="8"/>
  <c r="O59" i="8"/>
  <c r="N59" i="8"/>
  <c r="M59" i="8"/>
  <c r="L59" i="8"/>
  <c r="B59" i="8"/>
  <c r="AC58" i="8"/>
  <c r="AB58" i="8"/>
  <c r="AA58" i="8"/>
  <c r="Z58" i="8"/>
  <c r="Y58" i="8"/>
  <c r="V58" i="8"/>
  <c r="Q58" i="8"/>
  <c r="P58" i="8"/>
  <c r="O58" i="8"/>
  <c r="N58" i="8"/>
  <c r="M58" i="8"/>
  <c r="L58" i="8"/>
  <c r="B58" i="8"/>
  <c r="B58" i="16" s="1"/>
  <c r="AK57" i="8"/>
  <c r="AJ57" i="8"/>
  <c r="AH57" i="8"/>
  <c r="AG57" i="8"/>
  <c r="H57" i="8"/>
  <c r="G57" i="8"/>
  <c r="G62" i="8" s="1"/>
  <c r="F57" i="8"/>
  <c r="F62" i="8" s="1"/>
  <c r="E57" i="8"/>
  <c r="D57" i="8"/>
  <c r="D62" i="8" s="1"/>
  <c r="C57" i="8"/>
  <c r="AC56" i="8"/>
  <c r="AB56" i="8"/>
  <c r="AA56" i="8"/>
  <c r="Z56" i="8"/>
  <c r="Y56" i="8"/>
  <c r="V56" i="8"/>
  <c r="Q56" i="8"/>
  <c r="P56" i="8"/>
  <c r="O56" i="8"/>
  <c r="N56" i="8"/>
  <c r="M56" i="8"/>
  <c r="L56" i="8"/>
  <c r="B56" i="8"/>
  <c r="AC55" i="8"/>
  <c r="AB55" i="8"/>
  <c r="AA55" i="8"/>
  <c r="Z55" i="8"/>
  <c r="Y55" i="8"/>
  <c r="V55" i="8"/>
  <c r="D421" i="8" s="1"/>
  <c r="Q55" i="8"/>
  <c r="P55" i="8"/>
  <c r="O55" i="8"/>
  <c r="N55" i="8"/>
  <c r="M55" i="8"/>
  <c r="L55" i="8"/>
  <c r="B55" i="8"/>
  <c r="B55" i="16" s="1"/>
  <c r="AC40" i="8"/>
  <c r="AB40" i="8"/>
  <c r="AA40" i="8"/>
  <c r="Z40" i="8"/>
  <c r="Y40" i="8"/>
  <c r="V40" i="8"/>
  <c r="B40" i="8"/>
  <c r="X40" i="8" s="1"/>
  <c r="AK39" i="8"/>
  <c r="AK41" i="8" s="1"/>
  <c r="AJ39" i="8"/>
  <c r="AJ41" i="8" s="1"/>
  <c r="AH39" i="8"/>
  <c r="AH41" i="8" s="1"/>
  <c r="AG39" i="8"/>
  <c r="AG41" i="8" s="1"/>
  <c r="H39" i="8"/>
  <c r="G39" i="8"/>
  <c r="G343" i="8" s="1"/>
  <c r="F39" i="8"/>
  <c r="F343" i="8" s="1"/>
  <c r="E39" i="8"/>
  <c r="E343" i="8" s="1"/>
  <c r="D39" i="8"/>
  <c r="D343" i="8" s="1"/>
  <c r="C39" i="8"/>
  <c r="AC38" i="8"/>
  <c r="AB38" i="8"/>
  <c r="AA38" i="8"/>
  <c r="Z38" i="8"/>
  <c r="Y38" i="8"/>
  <c r="V38" i="8"/>
  <c r="B38" i="8"/>
  <c r="U38" i="8" s="1"/>
  <c r="AC37" i="8"/>
  <c r="AB37" i="8"/>
  <c r="AA37" i="8"/>
  <c r="Z37" i="8"/>
  <c r="Y37" i="8"/>
  <c r="V37" i="8"/>
  <c r="B37" i="8"/>
  <c r="X37" i="8" s="1"/>
  <c r="AC36" i="8"/>
  <c r="AB36" i="8"/>
  <c r="AA36" i="8"/>
  <c r="Z36" i="8"/>
  <c r="Y36" i="8"/>
  <c r="V36" i="8"/>
  <c r="B36" i="8"/>
  <c r="X36" i="8" s="1"/>
  <c r="AC35" i="8"/>
  <c r="AB35" i="8"/>
  <c r="AA35" i="8"/>
  <c r="Z35" i="8"/>
  <c r="Y35" i="8"/>
  <c r="V35" i="8"/>
  <c r="B35" i="8"/>
  <c r="AC34" i="8"/>
  <c r="AB34" i="8"/>
  <c r="AA34" i="8"/>
  <c r="Z34" i="8"/>
  <c r="Y34" i="8"/>
  <c r="V34" i="8"/>
  <c r="B34" i="8"/>
  <c r="AC481" i="8"/>
  <c r="AB481" i="8"/>
  <c r="AA481" i="8"/>
  <c r="Z481" i="8"/>
  <c r="Y481" i="8"/>
  <c r="V481" i="8"/>
  <c r="B481" i="8"/>
  <c r="B30" i="8"/>
  <c r="AC480" i="8"/>
  <c r="AB480" i="8"/>
  <c r="AA480" i="8"/>
  <c r="Z480" i="8"/>
  <c r="Y480" i="8"/>
  <c r="V480" i="8"/>
  <c r="B480" i="8"/>
  <c r="U480" i="8" s="1"/>
  <c r="AC479" i="8"/>
  <c r="AB479" i="8"/>
  <c r="AA479" i="8"/>
  <c r="Z479" i="8"/>
  <c r="Y479" i="8"/>
  <c r="V479" i="8"/>
  <c r="B479" i="8"/>
  <c r="AC29" i="8"/>
  <c r="AB29" i="8"/>
  <c r="AA29" i="8"/>
  <c r="Z29" i="8"/>
  <c r="Y29" i="8"/>
  <c r="V29" i="8"/>
  <c r="B29" i="8"/>
  <c r="V476" i="8"/>
  <c r="B476" i="8"/>
  <c r="B475" i="8"/>
  <c r="AC26" i="8"/>
  <c r="AB26" i="8"/>
  <c r="AA26" i="8"/>
  <c r="Z26" i="8"/>
  <c r="Y26" i="8"/>
  <c r="V26" i="8"/>
  <c r="B26" i="8"/>
  <c r="AC25" i="8"/>
  <c r="AB25" i="8"/>
  <c r="AA25" i="8"/>
  <c r="Z25" i="8"/>
  <c r="Y25" i="8"/>
  <c r="V25" i="8"/>
  <c r="B25" i="8"/>
  <c r="B471" i="8"/>
  <c r="B470" i="8"/>
  <c r="B469" i="8"/>
  <c r="A20" i="8"/>
  <c r="AC472" i="8"/>
  <c r="AB472" i="8"/>
  <c r="AA472" i="8"/>
  <c r="Z472" i="8"/>
  <c r="Y472" i="8"/>
  <c r="V472" i="8"/>
  <c r="B472" i="8"/>
  <c r="X472" i="8" s="1"/>
  <c r="AC468" i="8"/>
  <c r="AB468" i="8"/>
  <c r="AA468" i="8"/>
  <c r="Z468" i="8"/>
  <c r="Y468" i="8"/>
  <c r="V468" i="8"/>
  <c r="B468" i="8"/>
  <c r="AC19" i="8"/>
  <c r="AB19" i="8"/>
  <c r="AA19" i="8"/>
  <c r="Z19" i="8"/>
  <c r="Y19" i="8"/>
  <c r="V19" i="8"/>
  <c r="B19" i="8"/>
  <c r="B18" i="8"/>
  <c r="AK22" i="8"/>
  <c r="AJ22" i="8"/>
  <c r="AH22" i="8"/>
  <c r="AG22" i="8"/>
  <c r="AC16" i="8"/>
  <c r="AB16" i="8"/>
  <c r="AA16" i="8"/>
  <c r="Z16" i="8"/>
  <c r="Y16" i="8"/>
  <c r="V16" i="8"/>
  <c r="B16" i="8"/>
  <c r="AC14" i="8"/>
  <c r="AB14" i="8"/>
  <c r="AA14" i="8"/>
  <c r="Z14" i="8"/>
  <c r="Y14" i="8"/>
  <c r="V14" i="8"/>
  <c r="B14" i="8"/>
  <c r="AC13" i="8"/>
  <c r="AB13" i="8"/>
  <c r="AA13" i="8"/>
  <c r="Z13" i="8"/>
  <c r="Y13" i="8"/>
  <c r="V13" i="8"/>
  <c r="B13" i="8"/>
  <c r="AC12" i="8"/>
  <c r="AB12" i="8"/>
  <c r="AA12" i="8"/>
  <c r="Z12" i="8"/>
  <c r="Y12" i="8"/>
  <c r="V12" i="8"/>
  <c r="B12" i="8"/>
  <c r="B451" i="8"/>
  <c r="AC453" i="8"/>
  <c r="AB453" i="8"/>
  <c r="AA453" i="8"/>
  <c r="Z453" i="8"/>
  <c r="Y453" i="8"/>
  <c r="V453" i="8"/>
  <c r="B453" i="8"/>
  <c r="X453" i="8" s="1"/>
  <c r="B450" i="8"/>
  <c r="A9" i="8"/>
  <c r="B449" i="8"/>
  <c r="AC6" i="8"/>
  <c r="AB6" i="8"/>
  <c r="AA6" i="8"/>
  <c r="Z6" i="8"/>
  <c r="Y6" i="8"/>
  <c r="V6" i="8"/>
  <c r="B6" i="8"/>
  <c r="H296" i="16" l="1"/>
  <c r="H292" i="16"/>
  <c r="H294" i="16"/>
  <c r="H285" i="16"/>
  <c r="H308" i="16"/>
  <c r="H357" i="16" s="1"/>
  <c r="D62" i="16"/>
  <c r="D68" i="16" s="1"/>
  <c r="F62" i="16"/>
  <c r="F68" i="16" s="1"/>
  <c r="G62" i="16"/>
  <c r="G68" i="16" s="1"/>
  <c r="G69" i="16" s="1"/>
  <c r="H62" i="16"/>
  <c r="H68" i="16" s="1"/>
  <c r="H69" i="16" s="1"/>
  <c r="B382" i="8"/>
  <c r="P43" i="16"/>
  <c r="T57" i="8"/>
  <c r="D302" i="8"/>
  <c r="E359" i="8"/>
  <c r="AD57" i="8"/>
  <c r="H62" i="8"/>
  <c r="N43" i="16"/>
  <c r="E308" i="16"/>
  <c r="E357" i="16" s="1"/>
  <c r="E285" i="16"/>
  <c r="E294" i="16"/>
  <c r="E292" i="16"/>
  <c r="E296" i="16"/>
  <c r="E295" i="16"/>
  <c r="D293" i="16"/>
  <c r="D297" i="16" s="1"/>
  <c r="D283" i="16"/>
  <c r="D291" i="16" s="1"/>
  <c r="W23" i="16"/>
  <c r="B294" i="16"/>
  <c r="B308" i="16"/>
  <c r="B357" i="16" s="1"/>
  <c r="B285" i="16"/>
  <c r="B292" i="16"/>
  <c r="B296" i="16"/>
  <c r="G308" i="16"/>
  <c r="G357" i="16" s="1"/>
  <c r="G285" i="16"/>
  <c r="G294" i="16"/>
  <c r="G292" i="16"/>
  <c r="G296" i="16"/>
  <c r="G295" i="16"/>
  <c r="H293" i="16"/>
  <c r="H283" i="16"/>
  <c r="H291" i="16" s="1"/>
  <c r="F283" i="16"/>
  <c r="F291" i="16" s="1"/>
  <c r="F293" i="16"/>
  <c r="F297" i="16" s="1"/>
  <c r="X42" i="16"/>
  <c r="W42" i="16" s="1"/>
  <c r="K42" i="16"/>
  <c r="K43" i="16" s="1"/>
  <c r="B43" i="16"/>
  <c r="U42" i="16"/>
  <c r="I293" i="16"/>
  <c r="I297" i="16" s="1"/>
  <c r="I283" i="16"/>
  <c r="I291" i="16" s="1"/>
  <c r="C308" i="16"/>
  <c r="C357" i="16" s="1"/>
  <c r="C285" i="16"/>
  <c r="C294" i="16"/>
  <c r="C292" i="16"/>
  <c r="C296" i="16"/>
  <c r="C295" i="16"/>
  <c r="B295" i="16"/>
  <c r="L43" i="16"/>
  <c r="P187" i="8"/>
  <c r="P188" i="8"/>
  <c r="I74" i="8"/>
  <c r="I93" i="8" s="1"/>
  <c r="I109" i="8" s="1"/>
  <c r="I113" i="8" s="1"/>
  <c r="F118" i="8"/>
  <c r="D303" i="8"/>
  <c r="I125" i="8"/>
  <c r="I142" i="8" s="1"/>
  <c r="I396" i="8" s="1"/>
  <c r="C404" i="8"/>
  <c r="F404" i="8"/>
  <c r="E404" i="8"/>
  <c r="G404" i="8"/>
  <c r="D404" i="8"/>
  <c r="B393" i="8"/>
  <c r="B225" i="8"/>
  <c r="B231" i="8"/>
  <c r="B227" i="8"/>
  <c r="B242" i="8"/>
  <c r="B237" i="8"/>
  <c r="AD61" i="8"/>
  <c r="H267" i="8"/>
  <c r="H257" i="8"/>
  <c r="H261" i="8" s="1"/>
  <c r="AD9" i="8"/>
  <c r="C22" i="8"/>
  <c r="T22" i="8" s="1"/>
  <c r="T20" i="8"/>
  <c r="C343" i="8"/>
  <c r="T39" i="8"/>
  <c r="L67" i="8"/>
  <c r="T67" i="8"/>
  <c r="H343" i="8"/>
  <c r="AD39" i="8"/>
  <c r="H20" i="8"/>
  <c r="AC20" i="8" s="1"/>
  <c r="AD88" i="1"/>
  <c r="I81" i="1"/>
  <c r="AD78" i="1"/>
  <c r="R78" i="1"/>
  <c r="E69" i="8"/>
  <c r="B84" i="8"/>
  <c r="G69" i="8"/>
  <c r="H69" i="8"/>
  <c r="X58" i="8"/>
  <c r="W58" i="8" s="1"/>
  <c r="O61" i="8"/>
  <c r="B202" i="8"/>
  <c r="L57" i="8"/>
  <c r="C359" i="8"/>
  <c r="X173" i="8"/>
  <c r="W173" i="8" s="1"/>
  <c r="O57" i="8"/>
  <c r="F359" i="8"/>
  <c r="O69" i="8"/>
  <c r="P57" i="8"/>
  <c r="G359" i="8"/>
  <c r="Q57" i="8"/>
  <c r="H359" i="8"/>
  <c r="U172" i="8"/>
  <c r="B177" i="8"/>
  <c r="M57" i="8"/>
  <c r="D359" i="8"/>
  <c r="B201" i="8"/>
  <c r="B166" i="8"/>
  <c r="X171" i="8"/>
  <c r="W171" i="8" s="1"/>
  <c r="C304" i="8"/>
  <c r="C303" i="8"/>
  <c r="F304" i="8"/>
  <c r="F303" i="8"/>
  <c r="H304" i="8"/>
  <c r="H303" i="8"/>
  <c r="G304" i="8"/>
  <c r="G303" i="8"/>
  <c r="E304" i="8"/>
  <c r="E303" i="8"/>
  <c r="B271" i="8"/>
  <c r="B275" i="8" s="1"/>
  <c r="X136" i="8"/>
  <c r="W136" i="8" s="1"/>
  <c r="B157" i="8"/>
  <c r="X126" i="8"/>
  <c r="W126" i="8" s="1"/>
  <c r="B86" i="8"/>
  <c r="X63" i="8"/>
  <c r="W63" i="8" s="1"/>
  <c r="B67" i="8"/>
  <c r="B270" i="8"/>
  <c r="B274" i="8" s="1"/>
  <c r="E41" i="8"/>
  <c r="C257" i="8"/>
  <c r="C261" i="8" s="1"/>
  <c r="C267" i="8"/>
  <c r="F257" i="8"/>
  <c r="F261" i="8" s="1"/>
  <c r="G257" i="8"/>
  <c r="G261" i="8" s="1"/>
  <c r="B194" i="8"/>
  <c r="X145" i="8"/>
  <c r="W145" i="8" s="1"/>
  <c r="U14" i="8"/>
  <c r="U13" i="8"/>
  <c r="U16" i="8"/>
  <c r="B217" i="8"/>
  <c r="B215" i="8"/>
  <c r="X162" i="8"/>
  <c r="B206" i="8"/>
  <c r="U164" i="8"/>
  <c r="B204" i="8"/>
  <c r="X160" i="8"/>
  <c r="W160" i="8" s="1"/>
  <c r="B199" i="8"/>
  <c r="B151" i="8"/>
  <c r="X56" i="8"/>
  <c r="W56" i="8" s="1"/>
  <c r="B152" i="8"/>
  <c r="B272" i="8" s="1"/>
  <c r="Y486" i="8"/>
  <c r="B477" i="8"/>
  <c r="B27" i="8" s="1"/>
  <c r="U27" i="8" s="1"/>
  <c r="X29" i="8"/>
  <c r="W29" i="8" s="1"/>
  <c r="B78" i="8"/>
  <c r="B403" i="8" s="1"/>
  <c r="X34" i="8"/>
  <c r="W34" i="8" s="1"/>
  <c r="B39" i="8"/>
  <c r="B482" i="8"/>
  <c r="B31" i="8" s="1"/>
  <c r="U468" i="8"/>
  <c r="B473" i="8"/>
  <c r="B21" i="8" s="1"/>
  <c r="AG11" i="8"/>
  <c r="Z486" i="8"/>
  <c r="B15" i="8"/>
  <c r="B216" i="8" s="1"/>
  <c r="AH11" i="8"/>
  <c r="AJ11" i="8"/>
  <c r="X12" i="8"/>
  <c r="W12" i="8" s="1"/>
  <c r="X6" i="8"/>
  <c r="W6" i="8" s="1"/>
  <c r="AK11" i="8"/>
  <c r="B454" i="8"/>
  <c r="B10" i="8" s="1"/>
  <c r="X10" i="8" s="1"/>
  <c r="W10" i="8" s="1"/>
  <c r="AH68" i="8"/>
  <c r="AH70" i="8" s="1"/>
  <c r="AH72" i="8" s="1"/>
  <c r="AH74" i="8" s="1"/>
  <c r="AB67" i="8"/>
  <c r="U136" i="8"/>
  <c r="Z447" i="8"/>
  <c r="W462" i="8"/>
  <c r="K66" i="8"/>
  <c r="AC9" i="8"/>
  <c r="X144" i="8"/>
  <c r="W144" i="8" s="1"/>
  <c r="Y9" i="8"/>
  <c r="C61" i="8"/>
  <c r="W146" i="8"/>
  <c r="W472" i="8"/>
  <c r="AK68" i="8"/>
  <c r="AK70" i="8" s="1"/>
  <c r="AK72" i="8" s="1"/>
  <c r="AK74" i="8" s="1"/>
  <c r="AB9" i="8"/>
  <c r="W453" i="8"/>
  <c r="Z20" i="8"/>
  <c r="W147" i="8"/>
  <c r="Z494" i="8"/>
  <c r="AA20" i="8"/>
  <c r="W37" i="8"/>
  <c r="E9" i="8"/>
  <c r="U472" i="8"/>
  <c r="X480" i="8"/>
  <c r="W480" i="8" s="1"/>
  <c r="W491" i="8"/>
  <c r="Z39" i="8"/>
  <c r="U126" i="8"/>
  <c r="W458" i="8"/>
  <c r="V486" i="8"/>
  <c r="U36" i="8"/>
  <c r="U445" i="8"/>
  <c r="Y447" i="8"/>
  <c r="B9" i="8"/>
  <c r="AB17" i="8"/>
  <c r="AA67" i="8"/>
  <c r="AB494" i="8"/>
  <c r="U40" i="8"/>
  <c r="Z166" i="8"/>
  <c r="AC494" i="8"/>
  <c r="Y39" i="8"/>
  <c r="W485" i="8"/>
  <c r="U494" i="8"/>
  <c r="O67" i="8"/>
  <c r="AA166" i="8"/>
  <c r="K59" i="8"/>
  <c r="V166" i="8"/>
  <c r="V466" i="8"/>
  <c r="X14" i="8"/>
  <c r="W14" i="8" s="1"/>
  <c r="W445" i="8"/>
  <c r="B486" i="8"/>
  <c r="U486" i="8" s="1"/>
  <c r="W492" i="8"/>
  <c r="V447" i="8"/>
  <c r="U56" i="8"/>
  <c r="W456" i="8"/>
  <c r="W465" i="8"/>
  <c r="X484" i="8"/>
  <c r="W484" i="8" s="1"/>
  <c r="D41" i="8"/>
  <c r="X13" i="8"/>
  <c r="W13" i="8" s="1"/>
  <c r="Y57" i="8"/>
  <c r="U58" i="8"/>
  <c r="AC447" i="8"/>
  <c r="W461" i="8"/>
  <c r="K63" i="8"/>
  <c r="N67" i="8"/>
  <c r="X135" i="8"/>
  <c r="W135" i="8" s="1"/>
  <c r="U173" i="8"/>
  <c r="U484" i="8"/>
  <c r="U160" i="8"/>
  <c r="W459" i="8"/>
  <c r="U12" i="8"/>
  <c r="AG68" i="8"/>
  <c r="AG70" i="8" s="1"/>
  <c r="AG72" i="8" s="1"/>
  <c r="AG74" i="8" s="1"/>
  <c r="AA494" i="8"/>
  <c r="W464" i="8"/>
  <c r="U148" i="8"/>
  <c r="B447" i="8"/>
  <c r="X447" i="8" s="1"/>
  <c r="U29" i="8"/>
  <c r="W40" i="8"/>
  <c r="Z67" i="8"/>
  <c r="K71" i="8"/>
  <c r="X444" i="8"/>
  <c r="W444" i="8" s="1"/>
  <c r="AC57" i="8"/>
  <c r="W457" i="8"/>
  <c r="U453" i="8"/>
  <c r="U133" i="8"/>
  <c r="U171" i="8"/>
  <c r="W488" i="8"/>
  <c r="U446" i="8"/>
  <c r="W463" i="8"/>
  <c r="AC466" i="8"/>
  <c r="U485" i="8"/>
  <c r="K60" i="8"/>
  <c r="M61" i="8"/>
  <c r="AB20" i="8"/>
  <c r="P61" i="8"/>
  <c r="AC61" i="8"/>
  <c r="AB61" i="8"/>
  <c r="U35" i="8"/>
  <c r="X35" i="8"/>
  <c r="W35" i="8" s="1"/>
  <c r="F41" i="8"/>
  <c r="AB39" i="8"/>
  <c r="AA39" i="8"/>
  <c r="X479" i="8"/>
  <c r="W479" i="8" s="1"/>
  <c r="U479" i="8"/>
  <c r="N57" i="8"/>
  <c r="AA57" i="8"/>
  <c r="Z57" i="8"/>
  <c r="Y17" i="8"/>
  <c r="U26" i="8"/>
  <c r="X16" i="8"/>
  <c r="W16" i="8" s="1"/>
  <c r="V17" i="8"/>
  <c r="Z17" i="8"/>
  <c r="X25" i="8"/>
  <c r="W25" i="8" s="1"/>
  <c r="AA17" i="8"/>
  <c r="X19" i="8"/>
  <c r="W19" i="8" s="1"/>
  <c r="U19" i="8"/>
  <c r="Q67" i="8"/>
  <c r="V67" i="8"/>
  <c r="AC67" i="8"/>
  <c r="X440" i="8"/>
  <c r="W440" i="8" s="1"/>
  <c r="U440" i="8"/>
  <c r="B20" i="8"/>
  <c r="Y20" i="8"/>
  <c r="V9" i="8"/>
  <c r="AC17" i="8"/>
  <c r="X468" i="8"/>
  <c r="W468" i="8" s="1"/>
  <c r="U476" i="8"/>
  <c r="X466" i="8"/>
  <c r="U6" i="8"/>
  <c r="U25" i="8"/>
  <c r="X26" i="8"/>
  <c r="W26" i="8" s="1"/>
  <c r="W36" i="8"/>
  <c r="K64" i="8"/>
  <c r="X64" i="8"/>
  <c r="W64" i="8" s="1"/>
  <c r="U64" i="8"/>
  <c r="W148" i="8"/>
  <c r="W460" i="8"/>
  <c r="V39" i="8"/>
  <c r="C41" i="8"/>
  <c r="X55" i="8"/>
  <c r="W55" i="8" s="1"/>
  <c r="B57" i="8"/>
  <c r="Q61" i="8"/>
  <c r="Y166" i="8"/>
  <c r="U174" i="8"/>
  <c r="Z466" i="8"/>
  <c r="Y466" i="8"/>
  <c r="Y494" i="8"/>
  <c r="X494" i="8"/>
  <c r="V494" i="8"/>
  <c r="U34" i="8"/>
  <c r="X38" i="8"/>
  <c r="W38" i="8" s="1"/>
  <c r="AC39" i="8"/>
  <c r="K55" i="8"/>
  <c r="AB57" i="8"/>
  <c r="U63" i="8"/>
  <c r="M67" i="8"/>
  <c r="AA466" i="8"/>
  <c r="AB466" i="8"/>
  <c r="E61" i="8"/>
  <c r="K65" i="8"/>
  <c r="AJ68" i="8"/>
  <c r="AJ70" i="8" s="1"/>
  <c r="AJ72" i="8" s="1"/>
  <c r="AJ74" i="8" s="1"/>
  <c r="W133" i="8"/>
  <c r="X174" i="8"/>
  <c r="G41" i="8"/>
  <c r="AB166" i="8"/>
  <c r="AA447" i="8"/>
  <c r="AA486" i="8"/>
  <c r="H41" i="8"/>
  <c r="K56" i="8"/>
  <c r="K73" i="8"/>
  <c r="AC166" i="8"/>
  <c r="W446" i="8"/>
  <c r="AB447" i="8"/>
  <c r="AC486" i="8"/>
  <c r="AB486" i="8"/>
  <c r="W490" i="8"/>
  <c r="K58" i="8"/>
  <c r="Y67" i="8"/>
  <c r="U55" i="8"/>
  <c r="C421" i="8" s="1"/>
  <c r="V57" i="8"/>
  <c r="W134" i="8"/>
  <c r="X164" i="8"/>
  <c r="W164" i="8" s="1"/>
  <c r="U466" i="8"/>
  <c r="W489" i="8"/>
  <c r="U481" i="8"/>
  <c r="X481" i="8"/>
  <c r="W481" i="8" s="1"/>
  <c r="U37" i="8"/>
  <c r="X443" i="8"/>
  <c r="W443" i="8" s="1"/>
  <c r="D19" i="1"/>
  <c r="E19" i="1"/>
  <c r="Z19" i="1" s="1"/>
  <c r="F19" i="1"/>
  <c r="G19" i="1"/>
  <c r="H19" i="1"/>
  <c r="C19" i="1"/>
  <c r="T19" i="1" s="1"/>
  <c r="B146" i="1"/>
  <c r="AG169" i="1"/>
  <c r="AH169" i="1"/>
  <c r="AJ169" i="1"/>
  <c r="AJ64" i="1" s="1"/>
  <c r="AJ65" i="1" s="1"/>
  <c r="AJ66" i="1" s="1"/>
  <c r="AK169" i="1"/>
  <c r="AK64" i="1" s="1"/>
  <c r="AK65" i="1" s="1"/>
  <c r="AK66" i="1" s="1"/>
  <c r="B145" i="1"/>
  <c r="B147" i="1" s="1"/>
  <c r="B149" i="1"/>
  <c r="X149" i="1" s="1"/>
  <c r="B150" i="1"/>
  <c r="U150" i="1" s="1"/>
  <c r="B151" i="1"/>
  <c r="U151" i="1" s="1"/>
  <c r="B152" i="1"/>
  <c r="B167" i="1"/>
  <c r="B168" i="1"/>
  <c r="U176" i="1"/>
  <c r="V176" i="1"/>
  <c r="X176" i="1"/>
  <c r="W176" i="1" s="1"/>
  <c r="Y176" i="1"/>
  <c r="Z176" i="1"/>
  <c r="AA176" i="1"/>
  <c r="AB176" i="1"/>
  <c r="AC176" i="1"/>
  <c r="U155" i="1"/>
  <c r="X156" i="1"/>
  <c r="U157" i="1"/>
  <c r="X168" i="1"/>
  <c r="AH153" i="1"/>
  <c r="AH9" i="1" s="1"/>
  <c r="AJ153" i="1"/>
  <c r="AJ9" i="1" s="1"/>
  <c r="AK153" i="1"/>
  <c r="AK9" i="1" s="1"/>
  <c r="AG153" i="1"/>
  <c r="AG9" i="1" s="1"/>
  <c r="AH147" i="1"/>
  <c r="AH7" i="1" s="1"/>
  <c r="AJ147" i="1"/>
  <c r="AJ7" i="1" s="1"/>
  <c r="AK147" i="1"/>
  <c r="AK7" i="1" s="1"/>
  <c r="AG147" i="1"/>
  <c r="AG7" i="1" s="1"/>
  <c r="Y146" i="1"/>
  <c r="Z146" i="1"/>
  <c r="AA146" i="1"/>
  <c r="AB146" i="1"/>
  <c r="AC146" i="1"/>
  <c r="Y149" i="1"/>
  <c r="Z149" i="1"/>
  <c r="AA149" i="1"/>
  <c r="AB149" i="1"/>
  <c r="AC149" i="1"/>
  <c r="Y150" i="1"/>
  <c r="Z150" i="1"/>
  <c r="AA150" i="1"/>
  <c r="AB150" i="1"/>
  <c r="AC150" i="1"/>
  <c r="Y151" i="1"/>
  <c r="Z151" i="1"/>
  <c r="AA151" i="1"/>
  <c r="AB151" i="1"/>
  <c r="AC151" i="1"/>
  <c r="Y152" i="1"/>
  <c r="Z152" i="1"/>
  <c r="AA152" i="1"/>
  <c r="AB152" i="1"/>
  <c r="AC152" i="1"/>
  <c r="Y155" i="1"/>
  <c r="Z155" i="1"/>
  <c r="AA155" i="1"/>
  <c r="AB155" i="1"/>
  <c r="AC155" i="1"/>
  <c r="Y156" i="1"/>
  <c r="Z156" i="1"/>
  <c r="AA156" i="1"/>
  <c r="AB156" i="1"/>
  <c r="AC156" i="1"/>
  <c r="Y157" i="1"/>
  <c r="Z157" i="1"/>
  <c r="AA157" i="1"/>
  <c r="AB157" i="1"/>
  <c r="AC157" i="1"/>
  <c r="X158" i="1"/>
  <c r="Y158" i="1"/>
  <c r="Z158" i="1"/>
  <c r="AA158" i="1"/>
  <c r="AB158" i="1"/>
  <c r="AC158" i="1"/>
  <c r="X159" i="1"/>
  <c r="Y159" i="1"/>
  <c r="Z159" i="1"/>
  <c r="AA159" i="1"/>
  <c r="AB159" i="1"/>
  <c r="AC159" i="1"/>
  <c r="X160" i="1"/>
  <c r="Y160" i="1"/>
  <c r="Z160" i="1"/>
  <c r="AA160" i="1"/>
  <c r="AB160" i="1"/>
  <c r="AC160" i="1"/>
  <c r="X161" i="1"/>
  <c r="Y161" i="1"/>
  <c r="Z161" i="1"/>
  <c r="AA161" i="1"/>
  <c r="AB161" i="1"/>
  <c r="AC161" i="1"/>
  <c r="X162" i="1"/>
  <c r="Y162" i="1"/>
  <c r="Z162" i="1"/>
  <c r="AA162" i="1"/>
  <c r="AB162" i="1"/>
  <c r="AC162" i="1"/>
  <c r="X163" i="1"/>
  <c r="Y163" i="1"/>
  <c r="Z163" i="1"/>
  <c r="AA163" i="1"/>
  <c r="AB163" i="1"/>
  <c r="AC163" i="1"/>
  <c r="X164" i="1"/>
  <c r="Y164" i="1"/>
  <c r="Z164" i="1"/>
  <c r="AA164" i="1"/>
  <c r="AB164" i="1"/>
  <c r="AC164" i="1"/>
  <c r="Y167" i="1"/>
  <c r="Z167" i="1"/>
  <c r="AA167" i="1"/>
  <c r="AB167" i="1"/>
  <c r="AC167" i="1"/>
  <c r="Y168" i="1"/>
  <c r="Z168" i="1"/>
  <c r="AA168" i="1"/>
  <c r="AB168" i="1"/>
  <c r="AC168" i="1"/>
  <c r="X171" i="1"/>
  <c r="Y171" i="1"/>
  <c r="Z171" i="1"/>
  <c r="AA171" i="1"/>
  <c r="AB171" i="1"/>
  <c r="AC171" i="1"/>
  <c r="X172" i="1"/>
  <c r="Y172" i="1"/>
  <c r="Z172" i="1"/>
  <c r="AA172" i="1"/>
  <c r="AB172" i="1"/>
  <c r="AC172" i="1"/>
  <c r="X173" i="1"/>
  <c r="Y173" i="1"/>
  <c r="Z173" i="1"/>
  <c r="AA173" i="1"/>
  <c r="AB173" i="1"/>
  <c r="AC173" i="1"/>
  <c r="X174" i="1"/>
  <c r="Y174" i="1"/>
  <c r="Z174" i="1"/>
  <c r="AA174" i="1"/>
  <c r="AB174" i="1"/>
  <c r="AC174" i="1"/>
  <c r="X175" i="1"/>
  <c r="Y175" i="1"/>
  <c r="Z175" i="1"/>
  <c r="AA175" i="1"/>
  <c r="AB175" i="1"/>
  <c r="AC175" i="1"/>
  <c r="Y145" i="1"/>
  <c r="Z145" i="1"/>
  <c r="AA145" i="1"/>
  <c r="AB145" i="1"/>
  <c r="AC145" i="1"/>
  <c r="V146" i="1"/>
  <c r="V149" i="1"/>
  <c r="V150" i="1"/>
  <c r="V151" i="1"/>
  <c r="V152" i="1"/>
  <c r="V155" i="1"/>
  <c r="V156" i="1"/>
  <c r="V157" i="1"/>
  <c r="V158" i="1"/>
  <c r="V159" i="1"/>
  <c r="V160" i="1"/>
  <c r="V161" i="1"/>
  <c r="V162" i="1"/>
  <c r="V163" i="1"/>
  <c r="V164" i="1"/>
  <c r="V167" i="1"/>
  <c r="V168" i="1"/>
  <c r="V171" i="1"/>
  <c r="V172" i="1"/>
  <c r="V173" i="1"/>
  <c r="V174" i="1"/>
  <c r="V175" i="1"/>
  <c r="V145" i="1"/>
  <c r="U158" i="1"/>
  <c r="U159" i="1"/>
  <c r="U160" i="1"/>
  <c r="U161" i="1"/>
  <c r="U162" i="1"/>
  <c r="U163" i="1"/>
  <c r="U164" i="1"/>
  <c r="U171" i="1"/>
  <c r="U172" i="1"/>
  <c r="U173" i="1"/>
  <c r="U174" i="1"/>
  <c r="U175" i="1"/>
  <c r="D147" i="1"/>
  <c r="U44" i="5"/>
  <c r="N46" i="5"/>
  <c r="V89" i="1"/>
  <c r="V95" i="1"/>
  <c r="V96" i="1"/>
  <c r="V98" i="1"/>
  <c r="V99" i="1"/>
  <c r="V106" i="1"/>
  <c r="V110" i="1"/>
  <c r="V112" i="1"/>
  <c r="V116" i="1"/>
  <c r="V123" i="1"/>
  <c r="V124" i="1"/>
  <c r="V125" i="1"/>
  <c r="V59" i="1"/>
  <c r="V61" i="1"/>
  <c r="V67" i="1"/>
  <c r="V68" i="1"/>
  <c r="V58" i="1"/>
  <c r="V11" i="1"/>
  <c r="V15" i="1"/>
  <c r="V16" i="1"/>
  <c r="V17" i="1"/>
  <c r="V18" i="1"/>
  <c r="V21" i="1"/>
  <c r="V22" i="1"/>
  <c r="V23" i="1"/>
  <c r="V31" i="1"/>
  <c r="V32" i="1"/>
  <c r="V36" i="1"/>
  <c r="V37" i="1"/>
  <c r="V38" i="1"/>
  <c r="V40" i="1"/>
  <c r="V44" i="1"/>
  <c r="V45" i="1"/>
  <c r="V47" i="1"/>
  <c r="V48" i="1"/>
  <c r="V50" i="1"/>
  <c r="B90" i="1"/>
  <c r="B91" i="1"/>
  <c r="B92" i="1"/>
  <c r="B93" i="1"/>
  <c r="B94" i="1"/>
  <c r="B95" i="1"/>
  <c r="U95" i="1" s="1"/>
  <c r="B96" i="1"/>
  <c r="U96" i="1" s="1"/>
  <c r="B97" i="1"/>
  <c r="X97" i="1" s="1"/>
  <c r="B98" i="1"/>
  <c r="X98" i="1" s="1"/>
  <c r="B99" i="1"/>
  <c r="U99" i="1" s="1"/>
  <c r="B100" i="1"/>
  <c r="B101" i="1"/>
  <c r="B102" i="1"/>
  <c r="B103" i="1"/>
  <c r="B104" i="1"/>
  <c r="B106" i="1"/>
  <c r="U106" i="1" s="1"/>
  <c r="B107" i="1"/>
  <c r="B108" i="1"/>
  <c r="X108" i="1" s="1"/>
  <c r="B109" i="1"/>
  <c r="X109" i="1" s="1"/>
  <c r="B110" i="1"/>
  <c r="U110" i="1" s="1"/>
  <c r="B112" i="1"/>
  <c r="X112" i="1" s="1"/>
  <c r="B113" i="1"/>
  <c r="B114" i="1"/>
  <c r="B115" i="1"/>
  <c r="B116" i="1"/>
  <c r="U116" i="1" s="1"/>
  <c r="B117" i="1"/>
  <c r="B119" i="1"/>
  <c r="B120" i="1"/>
  <c r="B121" i="1"/>
  <c r="B122" i="1"/>
  <c r="B123" i="1"/>
  <c r="U123" i="1" s="1"/>
  <c r="B124" i="1"/>
  <c r="U124" i="1" s="1"/>
  <c r="B125" i="1"/>
  <c r="U125" i="1" s="1"/>
  <c r="B126" i="1"/>
  <c r="B127" i="1"/>
  <c r="B128" i="1"/>
  <c r="B130" i="1"/>
  <c r="B132" i="1"/>
  <c r="B139" i="1"/>
  <c r="B89" i="1"/>
  <c r="U89" i="1" s="1"/>
  <c r="AH129" i="1"/>
  <c r="AJ129" i="1"/>
  <c r="AK129" i="1"/>
  <c r="AH118" i="1"/>
  <c r="AJ118" i="1"/>
  <c r="AK118" i="1"/>
  <c r="AH105" i="1"/>
  <c r="AH111" i="1" s="1"/>
  <c r="AJ105" i="1"/>
  <c r="AJ111" i="1" s="1"/>
  <c r="AK105" i="1"/>
  <c r="AK111" i="1" s="1"/>
  <c r="B80" i="1"/>
  <c r="B59" i="1"/>
  <c r="U59" i="1" s="1"/>
  <c r="B61" i="1"/>
  <c r="U61" i="1" s="1"/>
  <c r="B62" i="1"/>
  <c r="B67" i="1"/>
  <c r="X67" i="1" s="1"/>
  <c r="B68" i="1"/>
  <c r="U68" i="1" s="1"/>
  <c r="B69" i="1"/>
  <c r="B70" i="1"/>
  <c r="B75" i="1"/>
  <c r="B77" i="1"/>
  <c r="B58" i="1"/>
  <c r="U58" i="1" s="1"/>
  <c r="B6" i="1"/>
  <c r="U6" i="1" s="1"/>
  <c r="B44" i="1"/>
  <c r="U44" i="1" s="1"/>
  <c r="B8" i="1"/>
  <c r="B10" i="1"/>
  <c r="B11" i="1"/>
  <c r="U11" i="1" s="1"/>
  <c r="B12" i="1"/>
  <c r="B13" i="1"/>
  <c r="B15" i="1"/>
  <c r="X15" i="1" s="1"/>
  <c r="B16" i="1"/>
  <c r="U16" i="1" s="1"/>
  <c r="B17" i="1"/>
  <c r="U17" i="1" s="1"/>
  <c r="B18" i="1"/>
  <c r="U18" i="1" s="1"/>
  <c r="B20" i="1"/>
  <c r="B21" i="1"/>
  <c r="U21" i="1" s="1"/>
  <c r="B22" i="1"/>
  <c r="U22" i="1" s="1"/>
  <c r="B23" i="1"/>
  <c r="U23" i="1" s="1"/>
  <c r="B25" i="1"/>
  <c r="B26" i="1"/>
  <c r="B27" i="1"/>
  <c r="B31" i="1"/>
  <c r="U31" i="1" s="1"/>
  <c r="B32" i="1"/>
  <c r="U32" i="1" s="1"/>
  <c r="B33" i="1"/>
  <c r="B34" i="1"/>
  <c r="B36" i="1"/>
  <c r="U36" i="1" s="1"/>
  <c r="B37" i="1"/>
  <c r="U37" i="1" s="1"/>
  <c r="B38" i="1"/>
  <c r="U38" i="1" s="1"/>
  <c r="B39" i="1"/>
  <c r="B40" i="1"/>
  <c r="U40" i="1" s="1"/>
  <c r="B43" i="1"/>
  <c r="B45" i="1"/>
  <c r="U45" i="1" s="1"/>
  <c r="B46" i="1"/>
  <c r="B47" i="1"/>
  <c r="U47" i="1" s="1"/>
  <c r="B48" i="1"/>
  <c r="U48" i="1" s="1"/>
  <c r="B50" i="1"/>
  <c r="X50" i="1" s="1"/>
  <c r="AH49" i="1"/>
  <c r="AH51" i="1" s="1"/>
  <c r="AJ49" i="1"/>
  <c r="AJ51" i="1" s="1"/>
  <c r="AK49" i="1"/>
  <c r="AK51" i="1" s="1"/>
  <c r="AH41" i="1"/>
  <c r="AJ41" i="1"/>
  <c r="AK41" i="1"/>
  <c r="AH35" i="1"/>
  <c r="AJ35" i="1"/>
  <c r="AK35" i="1"/>
  <c r="AH19" i="1"/>
  <c r="AH28" i="1" s="1"/>
  <c r="AJ19" i="1"/>
  <c r="AJ28" i="1" s="1"/>
  <c r="AK19" i="1"/>
  <c r="AK28" i="1" s="1"/>
  <c r="C82" i="1"/>
  <c r="AH71" i="1"/>
  <c r="AJ71" i="1"/>
  <c r="AK71" i="1"/>
  <c r="AG71" i="1"/>
  <c r="AH64" i="1"/>
  <c r="AH65" i="1" s="1"/>
  <c r="AH66" i="1" s="1"/>
  <c r="AG64" i="1"/>
  <c r="AG65" i="1" s="1"/>
  <c r="AG66" i="1" s="1"/>
  <c r="AH60" i="1"/>
  <c r="AJ60" i="1"/>
  <c r="AK60" i="1"/>
  <c r="AG60" i="1"/>
  <c r="O32" i="3"/>
  <c r="G37" i="3"/>
  <c r="AG129" i="1"/>
  <c r="AG118" i="1"/>
  <c r="D129" i="1"/>
  <c r="E129" i="1"/>
  <c r="C129" i="1"/>
  <c r="Y89" i="1"/>
  <c r="Z89" i="1"/>
  <c r="AA89" i="1"/>
  <c r="AB89" i="1"/>
  <c r="AC89" i="1"/>
  <c r="Y90" i="1"/>
  <c r="Z90" i="1"/>
  <c r="AA90" i="1"/>
  <c r="AB90" i="1"/>
  <c r="Y94" i="1"/>
  <c r="Z94" i="1"/>
  <c r="AA94" i="1"/>
  <c r="AB94" i="1"/>
  <c r="Y96" i="1"/>
  <c r="Z96" i="1"/>
  <c r="AA96" i="1"/>
  <c r="AB96" i="1"/>
  <c r="AC96" i="1"/>
  <c r="Y97" i="1"/>
  <c r="Z97" i="1"/>
  <c r="AA97" i="1"/>
  <c r="AB97" i="1"/>
  <c r="AC97" i="1"/>
  <c r="Y98" i="1"/>
  <c r="Z98" i="1"/>
  <c r="AA98" i="1"/>
  <c r="AB98" i="1"/>
  <c r="AC98" i="1"/>
  <c r="Y99" i="1"/>
  <c r="Z99" i="1"/>
  <c r="AA99" i="1"/>
  <c r="AB99" i="1"/>
  <c r="AC99" i="1"/>
  <c r="Y106" i="1"/>
  <c r="Z106" i="1"/>
  <c r="AA106" i="1"/>
  <c r="AB106" i="1"/>
  <c r="AC106" i="1"/>
  <c r="Y107" i="1"/>
  <c r="Z107" i="1"/>
  <c r="AA107" i="1"/>
  <c r="AB107" i="1"/>
  <c r="AC107" i="1"/>
  <c r="Y108" i="1"/>
  <c r="Z108" i="1"/>
  <c r="AA108" i="1"/>
  <c r="AB108" i="1"/>
  <c r="AC108" i="1"/>
  <c r="Y109" i="1"/>
  <c r="Z109" i="1"/>
  <c r="AA109" i="1"/>
  <c r="AB109" i="1"/>
  <c r="AC109" i="1"/>
  <c r="Y110" i="1"/>
  <c r="Z110" i="1"/>
  <c r="AA110" i="1"/>
  <c r="AB110" i="1"/>
  <c r="AC110" i="1"/>
  <c r="Y112" i="1"/>
  <c r="Z112" i="1"/>
  <c r="AA112" i="1"/>
  <c r="AB112" i="1"/>
  <c r="AC112" i="1"/>
  <c r="Y114" i="1"/>
  <c r="Z114" i="1"/>
  <c r="AA114" i="1"/>
  <c r="AB114" i="1"/>
  <c r="Y116" i="1"/>
  <c r="Z116" i="1"/>
  <c r="AA116" i="1"/>
  <c r="AB116" i="1"/>
  <c r="AC116" i="1"/>
  <c r="Y123" i="1"/>
  <c r="Z123" i="1"/>
  <c r="AA123" i="1"/>
  <c r="AB123" i="1"/>
  <c r="AC123" i="1"/>
  <c r="Z124" i="1"/>
  <c r="AA124" i="1"/>
  <c r="AB124" i="1"/>
  <c r="AC124" i="1"/>
  <c r="Y125" i="1"/>
  <c r="Z125" i="1"/>
  <c r="AA125" i="1"/>
  <c r="AB125" i="1"/>
  <c r="AC125" i="1"/>
  <c r="AG105" i="1"/>
  <c r="AG111" i="1" s="1"/>
  <c r="X94" i="1"/>
  <c r="X107" i="1"/>
  <c r="X89" i="1"/>
  <c r="D82" i="1"/>
  <c r="E82" i="1"/>
  <c r="F82" i="1"/>
  <c r="G82" i="1"/>
  <c r="H82" i="1"/>
  <c r="F129" i="1"/>
  <c r="G129" i="1"/>
  <c r="H129" i="1"/>
  <c r="D118" i="1"/>
  <c r="E118" i="1"/>
  <c r="F118" i="1"/>
  <c r="G118" i="1"/>
  <c r="H118" i="1"/>
  <c r="V118" i="1" s="1"/>
  <c r="C118" i="1"/>
  <c r="X146" i="1"/>
  <c r="C147" i="1"/>
  <c r="E147" i="1"/>
  <c r="F147" i="1"/>
  <c r="G147" i="1"/>
  <c r="U152" i="1"/>
  <c r="C153" i="1"/>
  <c r="D153" i="1"/>
  <c r="E153" i="1"/>
  <c r="F153" i="1"/>
  <c r="G153" i="1"/>
  <c r="C165" i="1"/>
  <c r="X165" i="1" s="1"/>
  <c r="D165" i="1"/>
  <c r="E165" i="1"/>
  <c r="F165" i="1"/>
  <c r="G165" i="1"/>
  <c r="X167" i="1"/>
  <c r="C169" i="1"/>
  <c r="C64" i="1" s="1"/>
  <c r="D169" i="1"/>
  <c r="D64" i="1" s="1"/>
  <c r="D65" i="1" s="1"/>
  <c r="D66" i="1" s="1"/>
  <c r="M66" i="1" s="1"/>
  <c r="E169" i="1"/>
  <c r="E64" i="1" s="1"/>
  <c r="E65" i="1" s="1"/>
  <c r="E66" i="1" s="1"/>
  <c r="N66" i="1" s="1"/>
  <c r="F169" i="1"/>
  <c r="F64" i="1" s="1"/>
  <c r="F65" i="1" s="1"/>
  <c r="F66" i="1" s="1"/>
  <c r="G169" i="1"/>
  <c r="G64" i="1" s="1"/>
  <c r="G65" i="1" s="1"/>
  <c r="G66" i="1" s="1"/>
  <c r="P66" i="1" s="1"/>
  <c r="Y59" i="1"/>
  <c r="Z59" i="1"/>
  <c r="AA59" i="1"/>
  <c r="AB59" i="1"/>
  <c r="Y61" i="1"/>
  <c r="Z61" i="1"/>
  <c r="AA61" i="1"/>
  <c r="AB61" i="1"/>
  <c r="Y67" i="1"/>
  <c r="Z67" i="1"/>
  <c r="AA67" i="1"/>
  <c r="AB67" i="1"/>
  <c r="Y68" i="1"/>
  <c r="Z68" i="1"/>
  <c r="AA68" i="1"/>
  <c r="AB68" i="1"/>
  <c r="Y58" i="1"/>
  <c r="Z58" i="1"/>
  <c r="AA58" i="1"/>
  <c r="AB58" i="1"/>
  <c r="AC58" i="1"/>
  <c r="Q59" i="1"/>
  <c r="Q61" i="1"/>
  <c r="Q62" i="1"/>
  <c r="Q63" i="1"/>
  <c r="Q67" i="1"/>
  <c r="Q68" i="1"/>
  <c r="Q69" i="1"/>
  <c r="Q70" i="1"/>
  <c r="Q75" i="1"/>
  <c r="Q77" i="1"/>
  <c r="Q58" i="1"/>
  <c r="P59" i="1"/>
  <c r="P61" i="1"/>
  <c r="P62" i="1"/>
  <c r="P63" i="1"/>
  <c r="P67" i="1"/>
  <c r="P68" i="1"/>
  <c r="P69" i="1"/>
  <c r="P70" i="1"/>
  <c r="P75" i="1"/>
  <c r="P77" i="1"/>
  <c r="P58" i="1"/>
  <c r="O59" i="1"/>
  <c r="O61" i="1"/>
  <c r="O62" i="1"/>
  <c r="O63" i="1"/>
  <c r="O67" i="1"/>
  <c r="O68" i="1"/>
  <c r="O69" i="1"/>
  <c r="O70" i="1"/>
  <c r="O75" i="1"/>
  <c r="O77" i="1"/>
  <c r="O58" i="1"/>
  <c r="N59" i="1"/>
  <c r="N61" i="1"/>
  <c r="N62" i="1"/>
  <c r="N63" i="1"/>
  <c r="N67" i="1"/>
  <c r="N68" i="1"/>
  <c r="N69" i="1"/>
  <c r="N70" i="1"/>
  <c r="N75" i="1"/>
  <c r="N77" i="1"/>
  <c r="N58" i="1"/>
  <c r="M59" i="1"/>
  <c r="M61" i="1"/>
  <c r="M62" i="1"/>
  <c r="M63" i="1"/>
  <c r="M67" i="1"/>
  <c r="M68" i="1"/>
  <c r="M69" i="1"/>
  <c r="M70" i="1"/>
  <c r="M75" i="1"/>
  <c r="M77" i="1"/>
  <c r="M58" i="1"/>
  <c r="L59" i="1"/>
  <c r="L61" i="1"/>
  <c r="L62" i="1"/>
  <c r="L63" i="1"/>
  <c r="L67" i="1"/>
  <c r="L68" i="1"/>
  <c r="L69" i="1"/>
  <c r="L70" i="1"/>
  <c r="L75" i="1"/>
  <c r="L77" i="1"/>
  <c r="L58" i="1"/>
  <c r="A73" i="1"/>
  <c r="D177" i="1"/>
  <c r="D73" i="1" s="1"/>
  <c r="M73" i="1" s="1"/>
  <c r="E177" i="1"/>
  <c r="E73" i="1" s="1"/>
  <c r="N73" i="1" s="1"/>
  <c r="F177" i="1"/>
  <c r="F73" i="1" s="1"/>
  <c r="O73" i="1" s="1"/>
  <c r="G177" i="1"/>
  <c r="G73" i="1" s="1"/>
  <c r="P73" i="1" s="1"/>
  <c r="H177" i="1"/>
  <c r="H73" i="1" s="1"/>
  <c r="Q73" i="1" s="1"/>
  <c r="C177" i="1"/>
  <c r="C73" i="1" s="1"/>
  <c r="D71" i="1"/>
  <c r="E71" i="1"/>
  <c r="N71" i="1" s="1"/>
  <c r="F71" i="1"/>
  <c r="G71" i="1"/>
  <c r="H71" i="1"/>
  <c r="Q71" i="1" s="1"/>
  <c r="C71" i="1"/>
  <c r="A64" i="1"/>
  <c r="D60" i="1"/>
  <c r="E60" i="1"/>
  <c r="F60" i="1"/>
  <c r="O60" i="1" s="1"/>
  <c r="G60" i="1"/>
  <c r="P60" i="1" s="1"/>
  <c r="H60" i="1"/>
  <c r="Q60" i="1" s="1"/>
  <c r="C60" i="1"/>
  <c r="H169" i="1"/>
  <c r="H64" i="1" s="1"/>
  <c r="H65" i="1" s="1"/>
  <c r="Q65" i="1" s="1"/>
  <c r="Y11" i="1"/>
  <c r="Z11" i="1"/>
  <c r="AA11" i="1"/>
  <c r="AB11" i="1"/>
  <c r="AC11" i="1"/>
  <c r="Y15" i="1"/>
  <c r="Z15" i="1"/>
  <c r="AA15" i="1"/>
  <c r="AB15" i="1"/>
  <c r="AC15" i="1"/>
  <c r="Y16" i="1"/>
  <c r="Z16" i="1"/>
  <c r="AA16" i="1"/>
  <c r="AB16" i="1"/>
  <c r="AC16" i="1"/>
  <c r="Y17" i="1"/>
  <c r="Z17" i="1"/>
  <c r="AA17" i="1"/>
  <c r="AB17" i="1"/>
  <c r="AC17" i="1"/>
  <c r="Y18" i="1"/>
  <c r="Z18" i="1"/>
  <c r="AA18" i="1"/>
  <c r="AB18" i="1"/>
  <c r="AC18" i="1"/>
  <c r="Y21" i="1"/>
  <c r="Z21" i="1"/>
  <c r="AA21" i="1"/>
  <c r="AB21" i="1"/>
  <c r="AC21" i="1"/>
  <c r="Y22" i="1"/>
  <c r="Z22" i="1"/>
  <c r="AA22" i="1"/>
  <c r="AB22" i="1"/>
  <c r="AC22" i="1"/>
  <c r="Y23" i="1"/>
  <c r="Z23" i="1"/>
  <c r="AA23" i="1"/>
  <c r="AB23" i="1"/>
  <c r="AC23" i="1"/>
  <c r="Y31" i="1"/>
  <c r="Z31" i="1"/>
  <c r="AA31" i="1"/>
  <c r="AB31" i="1"/>
  <c r="AC31" i="1"/>
  <c r="Y32" i="1"/>
  <c r="Z32" i="1"/>
  <c r="AA32" i="1"/>
  <c r="AB32" i="1"/>
  <c r="AC32" i="1"/>
  <c r="Y36" i="1"/>
  <c r="Z36" i="1"/>
  <c r="AA36" i="1"/>
  <c r="AB36" i="1"/>
  <c r="AC36" i="1"/>
  <c r="Y37" i="1"/>
  <c r="Z37" i="1"/>
  <c r="AA37" i="1"/>
  <c r="AB37" i="1"/>
  <c r="AC37" i="1"/>
  <c r="Y38" i="1"/>
  <c r="Z38" i="1"/>
  <c r="AA38" i="1"/>
  <c r="AB38" i="1"/>
  <c r="AC38" i="1"/>
  <c r="Y40" i="1"/>
  <c r="Z40" i="1"/>
  <c r="AA40" i="1"/>
  <c r="AB40" i="1"/>
  <c r="AC40" i="1"/>
  <c r="Y44" i="1"/>
  <c r="Z44" i="1"/>
  <c r="AA44" i="1"/>
  <c r="AB44" i="1"/>
  <c r="AC44" i="1"/>
  <c r="Y45" i="1"/>
  <c r="Z45" i="1"/>
  <c r="AA45" i="1"/>
  <c r="AB45" i="1"/>
  <c r="AC45" i="1"/>
  <c r="Y47" i="1"/>
  <c r="Z47" i="1"/>
  <c r="AA47" i="1"/>
  <c r="AB47" i="1"/>
  <c r="AC47" i="1"/>
  <c r="Y48" i="1"/>
  <c r="Z48" i="1"/>
  <c r="AA48" i="1"/>
  <c r="AB48" i="1"/>
  <c r="AC48" i="1"/>
  <c r="Y50" i="1"/>
  <c r="Z50" i="1"/>
  <c r="AA50" i="1"/>
  <c r="AB50" i="1"/>
  <c r="AC50" i="1"/>
  <c r="Y6" i="1"/>
  <c r="Z6" i="1"/>
  <c r="AA6" i="1"/>
  <c r="AB6" i="1"/>
  <c r="AC6" i="1"/>
  <c r="X38" i="1"/>
  <c r="AG49" i="1"/>
  <c r="AG51" i="1" s="1"/>
  <c r="AG41" i="1"/>
  <c r="AG35" i="1"/>
  <c r="AG19" i="1"/>
  <c r="A7" i="1"/>
  <c r="H297" i="16" l="1"/>
  <c r="F69" i="16"/>
  <c r="F70" i="16" s="1"/>
  <c r="F72" i="16" s="1"/>
  <c r="F74" i="16" s="1"/>
  <c r="F75" i="16" s="1"/>
  <c r="D69" i="16"/>
  <c r="D70" i="16" s="1"/>
  <c r="D72" i="16" s="1"/>
  <c r="D74" i="16" s="1"/>
  <c r="D75" i="16" s="1"/>
  <c r="C62" i="16"/>
  <c r="C68" i="16" s="1"/>
  <c r="H70" i="16"/>
  <c r="H72" i="16" s="1"/>
  <c r="H74" i="16" s="1"/>
  <c r="H75" i="16" s="1"/>
  <c r="G70" i="16"/>
  <c r="G72" i="16" s="1"/>
  <c r="G74" i="16" s="1"/>
  <c r="G75" i="16" s="1"/>
  <c r="E62" i="16"/>
  <c r="E68" i="16" s="1"/>
  <c r="E69" i="16" s="1"/>
  <c r="B359" i="8"/>
  <c r="E62" i="8"/>
  <c r="C62" i="8"/>
  <c r="C293" i="16"/>
  <c r="C297" i="16" s="1"/>
  <c r="C283" i="16"/>
  <c r="C291" i="16" s="1"/>
  <c r="G293" i="16"/>
  <c r="G297" i="16" s="1"/>
  <c r="G283" i="16"/>
  <c r="G291" i="16" s="1"/>
  <c r="B283" i="16"/>
  <c r="B291" i="16" s="1"/>
  <c r="B293" i="16"/>
  <c r="B297" i="16" s="1"/>
  <c r="E293" i="16"/>
  <c r="E297" i="16" s="1"/>
  <c r="E283" i="16"/>
  <c r="E291" i="16" s="1"/>
  <c r="I353" i="8"/>
  <c r="R74" i="8"/>
  <c r="I81" i="8"/>
  <c r="I83" i="8" s="1"/>
  <c r="I352" i="8" s="1"/>
  <c r="I149" i="8"/>
  <c r="I362" i="8"/>
  <c r="I363" i="8" s="1"/>
  <c r="I77" i="8"/>
  <c r="I386" i="8" s="1"/>
  <c r="I196" i="8"/>
  <c r="I195" i="8" s="1"/>
  <c r="I335" i="8"/>
  <c r="I341" i="8" s="1"/>
  <c r="H118" i="8"/>
  <c r="P69" i="8"/>
  <c r="E118" i="8"/>
  <c r="D118" i="8"/>
  <c r="B404" i="8"/>
  <c r="E387" i="8"/>
  <c r="E391" i="8" s="1"/>
  <c r="E412" i="8"/>
  <c r="G387" i="8"/>
  <c r="G391" i="8" s="1"/>
  <c r="G412" i="8"/>
  <c r="D387" i="8"/>
  <c r="D391" i="8" s="1"/>
  <c r="D412" i="8"/>
  <c r="C387" i="8"/>
  <c r="C391" i="8" s="1"/>
  <c r="C412" i="8"/>
  <c r="F387" i="8"/>
  <c r="F391" i="8" s="1"/>
  <c r="F412" i="8"/>
  <c r="H387" i="8"/>
  <c r="H391" i="8" s="1"/>
  <c r="H412" i="8"/>
  <c r="E287" i="8"/>
  <c r="E286" i="8" s="1"/>
  <c r="G287" i="8"/>
  <c r="G286" i="8" s="1"/>
  <c r="D287" i="8"/>
  <c r="D286" i="8" s="1"/>
  <c r="F287" i="8"/>
  <c r="F286" i="8" s="1"/>
  <c r="V20" i="8"/>
  <c r="B226" i="8"/>
  <c r="T61" i="8"/>
  <c r="C287" i="8"/>
  <c r="C286" i="8" s="1"/>
  <c r="T41" i="8"/>
  <c r="C118" i="8"/>
  <c r="T69" i="8"/>
  <c r="H287" i="8"/>
  <c r="H286" i="8" s="1"/>
  <c r="AD41" i="8"/>
  <c r="H22" i="8"/>
  <c r="AD22" i="8" s="1"/>
  <c r="AD20" i="8"/>
  <c r="I179" i="8"/>
  <c r="I159" i="8"/>
  <c r="N69" i="8"/>
  <c r="L69" i="8"/>
  <c r="M69" i="8"/>
  <c r="AD105" i="1"/>
  <c r="I111" i="1"/>
  <c r="I131" i="1" s="1"/>
  <c r="I133" i="1" s="1"/>
  <c r="X58" i="1"/>
  <c r="X116" i="1"/>
  <c r="AB153" i="1"/>
  <c r="AA19" i="1"/>
  <c r="AH14" i="1"/>
  <c r="X145" i="1"/>
  <c r="Y19" i="1"/>
  <c r="B169" i="1"/>
  <c r="Y165" i="1"/>
  <c r="AJ14" i="1"/>
  <c r="AJ29" i="1" s="1"/>
  <c r="AA153" i="1"/>
  <c r="AB19" i="1"/>
  <c r="AC19" i="1"/>
  <c r="AB165" i="1"/>
  <c r="B118" i="1"/>
  <c r="X118" i="1" s="1"/>
  <c r="Q69" i="8"/>
  <c r="V69" i="8"/>
  <c r="G118" i="8"/>
  <c r="B258" i="8"/>
  <c r="B263" i="8" s="1"/>
  <c r="B283" i="8"/>
  <c r="B268" i="8"/>
  <c r="Z41" i="8"/>
  <c r="E257" i="8"/>
  <c r="E261" i="8" s="1"/>
  <c r="E267" i="8"/>
  <c r="B257" i="8"/>
  <c r="B261" i="8" s="1"/>
  <c r="B267" i="8"/>
  <c r="D257" i="8"/>
  <c r="D261" i="8" s="1"/>
  <c r="AA9" i="8"/>
  <c r="X9" i="8"/>
  <c r="B218" i="8"/>
  <c r="AG179" i="8"/>
  <c r="AG181" i="8" s="1"/>
  <c r="B219" i="8"/>
  <c r="AK179" i="8"/>
  <c r="AK183" i="8" s="1"/>
  <c r="AJ182" i="8" s="1"/>
  <c r="B28" i="8"/>
  <c r="B254" i="8" s="1"/>
  <c r="X27" i="8"/>
  <c r="W27" i="8" s="1"/>
  <c r="AJ179" i="8"/>
  <c r="AH179" i="8"/>
  <c r="AH181" i="8" s="1"/>
  <c r="AH183" i="8" s="1"/>
  <c r="AG182" i="8" s="1"/>
  <c r="B153" i="8"/>
  <c r="X31" i="8"/>
  <c r="W31" i="8" s="1"/>
  <c r="U31" i="8"/>
  <c r="B32" i="8"/>
  <c r="B17" i="8"/>
  <c r="U15" i="8"/>
  <c r="X15" i="8"/>
  <c r="W15" i="8" s="1"/>
  <c r="X21" i="8"/>
  <c r="W21" i="8" s="1"/>
  <c r="U21" i="8"/>
  <c r="L61" i="8"/>
  <c r="B61" i="8"/>
  <c r="V61" i="8"/>
  <c r="Y61" i="8"/>
  <c r="U447" i="8"/>
  <c r="X486" i="8"/>
  <c r="W486" i="8" s="1"/>
  <c r="U9" i="8"/>
  <c r="Z9" i="8"/>
  <c r="W466" i="8"/>
  <c r="X67" i="8"/>
  <c r="W67" i="8" s="1"/>
  <c r="K67" i="8"/>
  <c r="U67" i="8"/>
  <c r="U166" i="8"/>
  <c r="AD62" i="8"/>
  <c r="X57" i="8"/>
  <c r="W57" i="8" s="1"/>
  <c r="U57" i="8"/>
  <c r="K57" i="8"/>
  <c r="W494" i="8"/>
  <c r="Y41" i="8"/>
  <c r="U20" i="8"/>
  <c r="X20" i="8"/>
  <c r="W20" i="8" s="1"/>
  <c r="AB41" i="8"/>
  <c r="AA41" i="8"/>
  <c r="X166" i="8"/>
  <c r="W166" i="8" s="1"/>
  <c r="V41" i="8"/>
  <c r="W447" i="8"/>
  <c r="AC41" i="8"/>
  <c r="Z61" i="8"/>
  <c r="N61" i="8"/>
  <c r="AA61" i="8"/>
  <c r="X39" i="8"/>
  <c r="W39" i="8" s="1"/>
  <c r="B41" i="8"/>
  <c r="U39" i="8"/>
  <c r="B64" i="1"/>
  <c r="U64" i="1" s="1"/>
  <c r="B49" i="1"/>
  <c r="B51" i="1" s="1"/>
  <c r="W158" i="1"/>
  <c r="AJ42" i="1"/>
  <c r="AJ52" i="1" s="1"/>
  <c r="B129" i="1"/>
  <c r="B153" i="1"/>
  <c r="AK14" i="1"/>
  <c r="Y153" i="1"/>
  <c r="AK72" i="1"/>
  <c r="AK74" i="1" s="1"/>
  <c r="AK76" i="1" s="1"/>
  <c r="AK78" i="1" s="1"/>
  <c r="Y147" i="1"/>
  <c r="AC169" i="1"/>
  <c r="B60" i="1"/>
  <c r="K60" i="1" s="1"/>
  <c r="U112" i="1"/>
  <c r="Y169" i="1"/>
  <c r="Z165" i="1"/>
  <c r="V19" i="1"/>
  <c r="U67" i="1"/>
  <c r="B71" i="1"/>
  <c r="U71" i="1" s="1"/>
  <c r="B19" i="1"/>
  <c r="AG131" i="1"/>
  <c r="AG133" i="1" s="1"/>
  <c r="W174" i="1"/>
  <c r="W146" i="1"/>
  <c r="U98" i="1"/>
  <c r="W164" i="1"/>
  <c r="W162" i="1"/>
  <c r="W160" i="1"/>
  <c r="B35" i="1"/>
  <c r="AH42" i="1"/>
  <c r="B41" i="1"/>
  <c r="Z153" i="1"/>
  <c r="W175" i="1"/>
  <c r="W173" i="1"/>
  <c r="AK29" i="1"/>
  <c r="AH29" i="1"/>
  <c r="AB169" i="1"/>
  <c r="W168" i="1"/>
  <c r="AA169" i="1"/>
  <c r="AC177" i="1"/>
  <c r="Z169" i="1"/>
  <c r="W156" i="1"/>
  <c r="AB177" i="1"/>
  <c r="U50" i="1"/>
  <c r="W172" i="1"/>
  <c r="AA165" i="1"/>
  <c r="W163" i="1"/>
  <c r="W159" i="1"/>
  <c r="Z177" i="1"/>
  <c r="Y177" i="1"/>
  <c r="AA177" i="1"/>
  <c r="V64" i="1"/>
  <c r="X177" i="1"/>
  <c r="U15" i="1"/>
  <c r="W171" i="1"/>
  <c r="AB147" i="1"/>
  <c r="AA147" i="1"/>
  <c r="V177" i="1"/>
  <c r="V60" i="1"/>
  <c r="Z147" i="1"/>
  <c r="U177" i="1"/>
  <c r="V71" i="1"/>
  <c r="V169" i="1"/>
  <c r="X157" i="1"/>
  <c r="W157" i="1" s="1"/>
  <c r="X155" i="1"/>
  <c r="W155" i="1" s="1"/>
  <c r="U156" i="1"/>
  <c r="W161" i="1"/>
  <c r="U168" i="1"/>
  <c r="U167" i="1"/>
  <c r="W167" i="1"/>
  <c r="U149" i="1"/>
  <c r="X152" i="1"/>
  <c r="W152" i="1" s="1"/>
  <c r="X150" i="1"/>
  <c r="W150" i="1" s="1"/>
  <c r="W149" i="1"/>
  <c r="X151" i="1"/>
  <c r="W151" i="1" s="1"/>
  <c r="U146" i="1"/>
  <c r="U145" i="1"/>
  <c r="W145" i="1"/>
  <c r="AK131" i="1"/>
  <c r="AK133" i="1" s="1"/>
  <c r="AJ131" i="1"/>
  <c r="AJ133" i="1" s="1"/>
  <c r="U19" i="1"/>
  <c r="U118" i="1"/>
  <c r="B82" i="1"/>
  <c r="AK42" i="1"/>
  <c r="AK52" i="1" s="1"/>
  <c r="AH131" i="1"/>
  <c r="AH133" i="1" s="1"/>
  <c r="AH135" i="1" s="1"/>
  <c r="AG134" i="1" s="1"/>
  <c r="AH52" i="1"/>
  <c r="AJ72" i="1"/>
  <c r="AJ74" i="1" s="1"/>
  <c r="AJ76" i="1" s="1"/>
  <c r="AJ78" i="1" s="1"/>
  <c r="AH72" i="1"/>
  <c r="AH74" i="1" s="1"/>
  <c r="AH76" i="1" s="1"/>
  <c r="AH78" i="1" s="1"/>
  <c r="H66" i="1"/>
  <c r="H72" i="1" s="1"/>
  <c r="W89" i="1"/>
  <c r="AB118" i="1"/>
  <c r="X106" i="1"/>
  <c r="W106" i="1" s="1"/>
  <c r="W97" i="1"/>
  <c r="W109" i="1"/>
  <c r="AC118" i="1"/>
  <c r="W107" i="1"/>
  <c r="AA118" i="1"/>
  <c r="W116" i="1"/>
  <c r="X99" i="1"/>
  <c r="W99" i="1" s="1"/>
  <c r="W98" i="1"/>
  <c r="X123" i="1"/>
  <c r="W123" i="1" s="1"/>
  <c r="X90" i="1"/>
  <c r="X125" i="1"/>
  <c r="W125" i="1" s="1"/>
  <c r="X96" i="1"/>
  <c r="W96" i="1" s="1"/>
  <c r="X110" i="1"/>
  <c r="W110" i="1" s="1"/>
  <c r="Z118" i="1"/>
  <c r="X114" i="1"/>
  <c r="Y118" i="1"/>
  <c r="W108" i="1"/>
  <c r="W112" i="1"/>
  <c r="K69" i="1"/>
  <c r="K70" i="1"/>
  <c r="K73" i="1"/>
  <c r="AA66" i="1"/>
  <c r="Z60" i="1"/>
  <c r="K59" i="1"/>
  <c r="K62" i="1"/>
  <c r="K61" i="1"/>
  <c r="K77" i="1"/>
  <c r="K58" i="1"/>
  <c r="AB66" i="1"/>
  <c r="AA60" i="1"/>
  <c r="AB64" i="1"/>
  <c r="X59" i="1"/>
  <c r="K68" i="1"/>
  <c r="AA64" i="1"/>
  <c r="K67" i="1"/>
  <c r="K71" i="1"/>
  <c r="O66" i="1"/>
  <c r="AA71" i="1"/>
  <c r="M60" i="1"/>
  <c r="O64" i="1"/>
  <c r="P65" i="1"/>
  <c r="X61" i="1"/>
  <c r="Z71" i="1"/>
  <c r="N60" i="1"/>
  <c r="P64" i="1"/>
  <c r="M71" i="1"/>
  <c r="O65" i="1"/>
  <c r="AB60" i="1"/>
  <c r="K75" i="1"/>
  <c r="K63" i="1"/>
  <c r="L73" i="1"/>
  <c r="Z66" i="1"/>
  <c r="Z64" i="1"/>
  <c r="L60" i="1"/>
  <c r="Y60" i="1"/>
  <c r="L71" i="1"/>
  <c r="N65" i="1"/>
  <c r="P71" i="1"/>
  <c r="X68" i="1"/>
  <c r="Y71" i="1"/>
  <c r="N64" i="1"/>
  <c r="AB71" i="1"/>
  <c r="AB65" i="1"/>
  <c r="O71" i="1"/>
  <c r="AA65" i="1"/>
  <c r="M65" i="1"/>
  <c r="M64" i="1"/>
  <c r="Q64" i="1"/>
  <c r="Z65" i="1"/>
  <c r="X6" i="1"/>
  <c r="F72" i="1"/>
  <c r="E72" i="1"/>
  <c r="G72" i="1"/>
  <c r="D72" i="1"/>
  <c r="AG42" i="1"/>
  <c r="X47" i="1"/>
  <c r="X45" i="1"/>
  <c r="X40" i="1"/>
  <c r="X37" i="1"/>
  <c r="X31" i="1"/>
  <c r="X23" i="1"/>
  <c r="X21" i="1"/>
  <c r="X18" i="1"/>
  <c r="X16" i="1"/>
  <c r="X48" i="1"/>
  <c r="X44" i="1"/>
  <c r="X36" i="1"/>
  <c r="X32" i="1"/>
  <c r="X22" i="1"/>
  <c r="X17" i="1"/>
  <c r="X11" i="1"/>
  <c r="AG14" i="1"/>
  <c r="AG28" i="1"/>
  <c r="H49" i="1"/>
  <c r="G49" i="1"/>
  <c r="F49" i="1"/>
  <c r="E49" i="1"/>
  <c r="D49" i="1"/>
  <c r="C49" i="1"/>
  <c r="T49" i="1" s="1"/>
  <c r="D41" i="1"/>
  <c r="E41" i="1"/>
  <c r="F41" i="1"/>
  <c r="G41" i="1"/>
  <c r="H41" i="1"/>
  <c r="C41" i="1"/>
  <c r="T41" i="1" s="1"/>
  <c r="D35" i="1"/>
  <c r="E35" i="1"/>
  <c r="F35" i="1"/>
  <c r="G35" i="1"/>
  <c r="H35" i="1"/>
  <c r="C35" i="1"/>
  <c r="T35" i="1" s="1"/>
  <c r="A24" i="1"/>
  <c r="D24" i="1"/>
  <c r="E24" i="1"/>
  <c r="F24" i="1"/>
  <c r="G24" i="1"/>
  <c r="H165" i="1"/>
  <c r="H24" i="1" s="1"/>
  <c r="A9" i="1"/>
  <c r="D9" i="1"/>
  <c r="E9" i="1"/>
  <c r="F9" i="1"/>
  <c r="G9" i="1"/>
  <c r="H153" i="1"/>
  <c r="D7" i="1"/>
  <c r="E7" i="1"/>
  <c r="F7" i="1"/>
  <c r="G7" i="1"/>
  <c r="H147" i="1"/>
  <c r="E70" i="16" l="1"/>
  <c r="E72" i="16" s="1"/>
  <c r="E74" i="16" s="1"/>
  <c r="E75" i="16" s="1"/>
  <c r="C69" i="16"/>
  <c r="C70" i="16" s="1"/>
  <c r="C72" i="16" s="1"/>
  <c r="C74" i="16" s="1"/>
  <c r="C75" i="16" s="1"/>
  <c r="B62" i="8"/>
  <c r="I111" i="8"/>
  <c r="I112" i="8" s="1"/>
  <c r="B118" i="8"/>
  <c r="I336" i="8"/>
  <c r="I210" i="8"/>
  <c r="I337" i="8"/>
  <c r="B186" i="8"/>
  <c r="B185" i="8"/>
  <c r="I390" i="8"/>
  <c r="I405" i="8"/>
  <c r="I406" i="8" s="1"/>
  <c r="B387" i="8"/>
  <c r="B391" i="8" s="1"/>
  <c r="B412" i="8"/>
  <c r="B343" i="8"/>
  <c r="B381" i="8"/>
  <c r="B383" i="8" s="1"/>
  <c r="I85" i="8"/>
  <c r="I310" i="8" s="1"/>
  <c r="U69" i="8"/>
  <c r="K69" i="8"/>
  <c r="B68" i="8"/>
  <c r="B117" i="8" s="1"/>
  <c r="T62" i="8"/>
  <c r="I198" i="8"/>
  <c r="I397" i="8" s="1"/>
  <c r="I158" i="8"/>
  <c r="I208" i="8"/>
  <c r="I181" i="8"/>
  <c r="I183" i="8" s="1"/>
  <c r="H182" i="8" s="1"/>
  <c r="R116" i="1"/>
  <c r="R134" i="1"/>
  <c r="AD111" i="1"/>
  <c r="R117" i="1"/>
  <c r="R118" i="1"/>
  <c r="R111" i="1"/>
  <c r="R123" i="1"/>
  <c r="R124" i="1"/>
  <c r="R125" i="1"/>
  <c r="R130" i="1"/>
  <c r="R126" i="1"/>
  <c r="R128" i="1"/>
  <c r="R129" i="1"/>
  <c r="R114" i="1"/>
  <c r="R132" i="1"/>
  <c r="R112" i="1"/>
  <c r="B65" i="1"/>
  <c r="B66" i="1" s="1"/>
  <c r="B72" i="1" s="1"/>
  <c r="B74" i="1" s="1"/>
  <c r="B76" i="1" s="1"/>
  <c r="B78" i="1" s="1"/>
  <c r="K61" i="8"/>
  <c r="F360" i="8"/>
  <c r="F361" i="8" s="1"/>
  <c r="F349" i="8"/>
  <c r="H309" i="8"/>
  <c r="H349" i="8"/>
  <c r="H360" i="8"/>
  <c r="H361" i="8" s="1"/>
  <c r="G360" i="8"/>
  <c r="G361" i="8" s="1"/>
  <c r="G349" i="8"/>
  <c r="D349" i="8"/>
  <c r="D360" i="8"/>
  <c r="D361" i="8" s="1"/>
  <c r="U17" i="8"/>
  <c r="B368" i="8"/>
  <c r="U41" i="8"/>
  <c r="B287" i="8"/>
  <c r="B298" i="8"/>
  <c r="AK181" i="8"/>
  <c r="AJ183" i="8"/>
  <c r="B33" i="8"/>
  <c r="W9" i="8"/>
  <c r="AG183" i="8"/>
  <c r="AJ181" i="8"/>
  <c r="X17" i="8"/>
  <c r="W17" i="8" s="1"/>
  <c r="B22" i="8"/>
  <c r="X61" i="8"/>
  <c r="W61" i="8" s="1"/>
  <c r="U61" i="8"/>
  <c r="M62" i="8"/>
  <c r="D68" i="8"/>
  <c r="AB62" i="8"/>
  <c r="F68" i="8"/>
  <c r="O62" i="8"/>
  <c r="Q62" i="8"/>
  <c r="H68" i="8"/>
  <c r="X41" i="8"/>
  <c r="W41" i="8" s="1"/>
  <c r="P62" i="8"/>
  <c r="AC62" i="8"/>
  <c r="G68" i="8"/>
  <c r="AH53" i="1"/>
  <c r="B42" i="1"/>
  <c r="B52" i="1" s="1"/>
  <c r="AK53" i="1"/>
  <c r="V35" i="1"/>
  <c r="U35" i="1"/>
  <c r="Q72" i="1"/>
  <c r="AK135" i="1"/>
  <c r="AJ134" i="1" s="1"/>
  <c r="AJ135" i="1" s="1"/>
  <c r="W177" i="1"/>
  <c r="V49" i="1"/>
  <c r="U49" i="1"/>
  <c r="AC24" i="1"/>
  <c r="U165" i="1"/>
  <c r="AC165" i="1"/>
  <c r="W165" i="1" s="1"/>
  <c r="V165" i="1"/>
  <c r="V41" i="1"/>
  <c r="U41" i="1"/>
  <c r="H9" i="1"/>
  <c r="AC9" i="1" s="1"/>
  <c r="AC153" i="1"/>
  <c r="V153" i="1"/>
  <c r="U60" i="1"/>
  <c r="H7" i="1"/>
  <c r="AC147" i="1"/>
  <c r="V147" i="1"/>
  <c r="X169" i="1"/>
  <c r="W169" i="1" s="1"/>
  <c r="U169" i="1"/>
  <c r="X153" i="1"/>
  <c r="U153" i="1"/>
  <c r="U147" i="1"/>
  <c r="X147" i="1"/>
  <c r="AJ53" i="1"/>
  <c r="AG135" i="1"/>
  <c r="X49" i="1"/>
  <c r="AG52" i="1"/>
  <c r="W118" i="1"/>
  <c r="X64" i="1"/>
  <c r="X71" i="1"/>
  <c r="Y64" i="1"/>
  <c r="AG72" i="1"/>
  <c r="AG74" i="1" s="1"/>
  <c r="AG76" i="1" s="1"/>
  <c r="AG78" i="1" s="1"/>
  <c r="L64" i="1"/>
  <c r="X60" i="1"/>
  <c r="Q66" i="1"/>
  <c r="D74" i="1"/>
  <c r="Z72" i="1"/>
  <c r="M72" i="1"/>
  <c r="G74" i="1"/>
  <c r="P72" i="1"/>
  <c r="E74" i="1"/>
  <c r="N72" i="1"/>
  <c r="AA72" i="1"/>
  <c r="F74" i="1"/>
  <c r="O72" i="1"/>
  <c r="AB72" i="1"/>
  <c r="H74" i="1"/>
  <c r="X19" i="1"/>
  <c r="AB49" i="1"/>
  <c r="Z49" i="1"/>
  <c r="Y35" i="1"/>
  <c r="AB9" i="1"/>
  <c r="AC49" i="1"/>
  <c r="Y41" i="1"/>
  <c r="AB7" i="1"/>
  <c r="Z9" i="1"/>
  <c r="AB35" i="1"/>
  <c r="Z7" i="1"/>
  <c r="AA24" i="1"/>
  <c r="AB41" i="1"/>
  <c r="Z24" i="1"/>
  <c r="AA41" i="1"/>
  <c r="Z41" i="1"/>
  <c r="Y49" i="1"/>
  <c r="AA7" i="1"/>
  <c r="AA9" i="1"/>
  <c r="AC35" i="1"/>
  <c r="AA49" i="1"/>
  <c r="AC41" i="1"/>
  <c r="AB24" i="1"/>
  <c r="AA35" i="1"/>
  <c r="Z35" i="1"/>
  <c r="G28" i="1"/>
  <c r="F28" i="1"/>
  <c r="C9" i="1"/>
  <c r="D28" i="1"/>
  <c r="X35" i="1"/>
  <c r="D51" i="1"/>
  <c r="E51" i="1"/>
  <c r="F51" i="1"/>
  <c r="C7" i="1"/>
  <c r="G51" i="1"/>
  <c r="E28" i="1"/>
  <c r="C24" i="1"/>
  <c r="T24" i="1" s="1"/>
  <c r="H51" i="1"/>
  <c r="X41" i="1"/>
  <c r="C51" i="1"/>
  <c r="T51" i="1" s="1"/>
  <c r="AG29" i="1"/>
  <c r="D42" i="1"/>
  <c r="C42" i="1"/>
  <c r="T42" i="1" s="1"/>
  <c r="H42" i="1"/>
  <c r="G42" i="1"/>
  <c r="F42" i="1"/>
  <c r="E42" i="1"/>
  <c r="F14" i="1"/>
  <c r="D14" i="1"/>
  <c r="G14" i="1"/>
  <c r="E14" i="1"/>
  <c r="G117" i="8" l="1"/>
  <c r="G119" i="8" s="1"/>
  <c r="G115" i="8"/>
  <c r="B119" i="8"/>
  <c r="B82" i="8"/>
  <c r="B155" i="8"/>
  <c r="K186" i="8" s="1"/>
  <c r="I87" i="8"/>
  <c r="I395" i="8" s="1"/>
  <c r="I333" i="8"/>
  <c r="I370" i="8"/>
  <c r="I392" i="8" s="1"/>
  <c r="I350" i="8"/>
  <c r="I394" i="8"/>
  <c r="Y62" i="8"/>
  <c r="AD68" i="8"/>
  <c r="I197" i="8"/>
  <c r="I326" i="8"/>
  <c r="I323" i="8"/>
  <c r="I329" i="8"/>
  <c r="I322" i="8"/>
  <c r="I330" i="8"/>
  <c r="I273" i="8"/>
  <c r="I331" i="8"/>
  <c r="I320" i="8"/>
  <c r="I325" i="8"/>
  <c r="I321" i="8"/>
  <c r="I200" i="8"/>
  <c r="I211" i="8" s="1"/>
  <c r="I398" i="8" s="1"/>
  <c r="C68" i="8"/>
  <c r="L68" i="8" s="1"/>
  <c r="C360" i="8"/>
  <c r="C361" i="8" s="1"/>
  <c r="V62" i="8"/>
  <c r="I135" i="1"/>
  <c r="R131" i="1"/>
  <c r="B9" i="1"/>
  <c r="T9" i="1"/>
  <c r="B7" i="1"/>
  <c r="T7" i="1"/>
  <c r="C349" i="8"/>
  <c r="L62" i="8"/>
  <c r="G107" i="8"/>
  <c r="G108" i="8" s="1"/>
  <c r="F115" i="8"/>
  <c r="F117" i="8"/>
  <c r="F119" i="8" s="1"/>
  <c r="H115" i="8"/>
  <c r="H117" i="8"/>
  <c r="H119" i="8" s="1"/>
  <c r="H107" i="8" s="1"/>
  <c r="H108" i="8" s="1"/>
  <c r="D115" i="8"/>
  <c r="D117" i="8"/>
  <c r="D119" i="8" s="1"/>
  <c r="D107" i="8" s="1"/>
  <c r="D108" i="8" s="1"/>
  <c r="H351" i="8"/>
  <c r="H365" i="8"/>
  <c r="F351" i="8"/>
  <c r="F365" i="8"/>
  <c r="G351" i="8"/>
  <c r="G365" i="8"/>
  <c r="D351" i="8"/>
  <c r="D365" i="8"/>
  <c r="E360" i="8"/>
  <c r="E361" i="8" s="1"/>
  <c r="E349" i="8"/>
  <c r="B300" i="8"/>
  <c r="B286" i="8"/>
  <c r="D70" i="8"/>
  <c r="M68" i="8"/>
  <c r="E68" i="8"/>
  <c r="N62" i="8"/>
  <c r="AA62" i="8"/>
  <c r="Z62" i="8"/>
  <c r="AB68" i="8"/>
  <c r="F70" i="8"/>
  <c r="O68" i="8"/>
  <c r="AC68" i="8"/>
  <c r="G70" i="8"/>
  <c r="P68" i="8"/>
  <c r="Q68" i="8"/>
  <c r="H70" i="8"/>
  <c r="AD70" i="8" s="1"/>
  <c r="W147" i="1"/>
  <c r="W153" i="1"/>
  <c r="B14" i="1"/>
  <c r="U7" i="1"/>
  <c r="V7" i="1"/>
  <c r="V24" i="1"/>
  <c r="U9" i="1"/>
  <c r="V9" i="1"/>
  <c r="U51" i="1"/>
  <c r="V51" i="1"/>
  <c r="U65" i="1"/>
  <c r="V65" i="1"/>
  <c r="U42" i="1"/>
  <c r="V42" i="1"/>
  <c r="AC7" i="1"/>
  <c r="H14" i="1"/>
  <c r="AC14" i="1" s="1"/>
  <c r="H28" i="1"/>
  <c r="AC28" i="1" s="1"/>
  <c r="Y24" i="1"/>
  <c r="B24" i="1"/>
  <c r="C66" i="1"/>
  <c r="L65" i="1"/>
  <c r="Y65" i="1"/>
  <c r="K64" i="1"/>
  <c r="K65" i="1"/>
  <c r="F76" i="1"/>
  <c r="F88" i="1" s="1"/>
  <c r="AB74" i="1"/>
  <c r="O74" i="1"/>
  <c r="E76" i="1"/>
  <c r="E88" i="1" s="1"/>
  <c r="AA74" i="1"/>
  <c r="N74" i="1"/>
  <c r="Y7" i="1"/>
  <c r="X7" i="1"/>
  <c r="G76" i="1"/>
  <c r="G88" i="1" s="1"/>
  <c r="P74" i="1"/>
  <c r="H76" i="1"/>
  <c r="Q74" i="1"/>
  <c r="D76" i="1"/>
  <c r="D88" i="1" s="1"/>
  <c r="Z74" i="1"/>
  <c r="M74" i="1"/>
  <c r="AB42" i="1"/>
  <c r="AB28" i="1"/>
  <c r="Z14" i="1"/>
  <c r="AC42" i="1"/>
  <c r="Z42" i="1"/>
  <c r="AA51" i="1"/>
  <c r="AA14" i="1"/>
  <c r="Z51" i="1"/>
  <c r="AA28" i="1"/>
  <c r="C14" i="1"/>
  <c r="T14" i="1" s="1"/>
  <c r="Z28" i="1"/>
  <c r="Y51" i="1"/>
  <c r="AB14" i="1"/>
  <c r="AA42" i="1"/>
  <c r="Y9" i="1"/>
  <c r="X9" i="1"/>
  <c r="AC51" i="1"/>
  <c r="Y42" i="1"/>
  <c r="AB51" i="1"/>
  <c r="F29" i="1"/>
  <c r="G29" i="1"/>
  <c r="E52" i="1"/>
  <c r="X51" i="1"/>
  <c r="F52" i="1"/>
  <c r="E29" i="1"/>
  <c r="D29" i="1"/>
  <c r="G52" i="1"/>
  <c r="H52" i="1"/>
  <c r="D52" i="1"/>
  <c r="C28" i="1"/>
  <c r="T28" i="1" s="1"/>
  <c r="C52" i="1"/>
  <c r="T52" i="1" s="1"/>
  <c r="X42" i="1"/>
  <c r="AG53" i="1"/>
  <c r="F107" i="8" l="1"/>
  <c r="F108" i="8" s="1"/>
  <c r="I311" i="8"/>
  <c r="I342" i="8" s="1"/>
  <c r="I334" i="8"/>
  <c r="I371" i="8"/>
  <c r="V68" i="8"/>
  <c r="Y68" i="8"/>
  <c r="C115" i="8"/>
  <c r="C351" i="8"/>
  <c r="C70" i="8"/>
  <c r="V70" i="8" s="1"/>
  <c r="T68" i="8"/>
  <c r="C365" i="8"/>
  <c r="C117" i="8"/>
  <c r="C119" i="8" s="1"/>
  <c r="C107" i="8" s="1"/>
  <c r="I212" i="8"/>
  <c r="I339" i="8"/>
  <c r="I340" i="8"/>
  <c r="I207" i="8"/>
  <c r="V66" i="1"/>
  <c r="C72" i="1"/>
  <c r="T72" i="1" s="1"/>
  <c r="T66" i="1"/>
  <c r="R135" i="1"/>
  <c r="H134" i="1"/>
  <c r="AD134" i="1" s="1"/>
  <c r="H29" i="1"/>
  <c r="Q6" i="1" s="1"/>
  <c r="V72" i="1"/>
  <c r="Y66" i="1"/>
  <c r="E115" i="8"/>
  <c r="E117" i="8"/>
  <c r="E119" i="8" s="1"/>
  <c r="E107" i="8" s="1"/>
  <c r="E108" i="8" s="1"/>
  <c r="E351" i="8"/>
  <c r="E365" i="8"/>
  <c r="B349" i="8"/>
  <c r="B360" i="8"/>
  <c r="B361" i="8" s="1"/>
  <c r="B304" i="8"/>
  <c r="B303" i="8"/>
  <c r="B302" i="8"/>
  <c r="U62" i="8"/>
  <c r="X62" i="8"/>
  <c r="W62" i="8" s="1"/>
  <c r="K62" i="8"/>
  <c r="D72" i="8"/>
  <c r="M70" i="8"/>
  <c r="AC70" i="8"/>
  <c r="P70" i="8"/>
  <c r="G72" i="8"/>
  <c r="F72" i="8"/>
  <c r="AB70" i="8"/>
  <c r="O70" i="8"/>
  <c r="Q70" i="8"/>
  <c r="H72" i="8"/>
  <c r="N68" i="8"/>
  <c r="AA68" i="8"/>
  <c r="E70" i="8"/>
  <c r="Z68" i="8"/>
  <c r="X24" i="1"/>
  <c r="B28" i="1"/>
  <c r="U28" i="1" s="1"/>
  <c r="G53" i="1"/>
  <c r="H88" i="1"/>
  <c r="AC88" i="1" s="1"/>
  <c r="N14" i="1"/>
  <c r="N161" i="1"/>
  <c r="N155" i="1"/>
  <c r="N146" i="1"/>
  <c r="N152" i="1"/>
  <c r="N150" i="1"/>
  <c r="N167" i="1"/>
  <c r="N156" i="1"/>
  <c r="N158" i="1"/>
  <c r="N160" i="1"/>
  <c r="N162" i="1"/>
  <c r="N164" i="1"/>
  <c r="N145" i="1"/>
  <c r="N151" i="1"/>
  <c r="N168" i="1"/>
  <c r="N163" i="1"/>
  <c r="N149" i="1"/>
  <c r="N157" i="1"/>
  <c r="N159" i="1"/>
  <c r="N165" i="1"/>
  <c r="N169" i="1"/>
  <c r="N147" i="1"/>
  <c r="N153" i="1"/>
  <c r="V28" i="1"/>
  <c r="U24" i="1"/>
  <c r="V14" i="1"/>
  <c r="Q28" i="1"/>
  <c r="Q168" i="1"/>
  <c r="Q149" i="1"/>
  <c r="Q157" i="1"/>
  <c r="Q159" i="1"/>
  <c r="Q161" i="1"/>
  <c r="Q163" i="1"/>
  <c r="Q155" i="1"/>
  <c r="Q152" i="1"/>
  <c r="Q167" i="1"/>
  <c r="Q150" i="1"/>
  <c r="Q156" i="1"/>
  <c r="Q158" i="1"/>
  <c r="Q160" i="1"/>
  <c r="Q162" i="1"/>
  <c r="Q164" i="1"/>
  <c r="Q146" i="1"/>
  <c r="Q151" i="1"/>
  <c r="Q169" i="1"/>
  <c r="Q165" i="1"/>
  <c r="Q153" i="1"/>
  <c r="Q147" i="1"/>
  <c r="P51" i="1"/>
  <c r="P149" i="1"/>
  <c r="P157" i="1"/>
  <c r="P159" i="1"/>
  <c r="P161" i="1"/>
  <c r="P163" i="1"/>
  <c r="P158" i="1"/>
  <c r="P164" i="1"/>
  <c r="P155" i="1"/>
  <c r="P160" i="1"/>
  <c r="P152" i="1"/>
  <c r="P156" i="1"/>
  <c r="P162" i="1"/>
  <c r="P150" i="1"/>
  <c r="P167" i="1"/>
  <c r="P145" i="1"/>
  <c r="P168" i="1"/>
  <c r="P146" i="1"/>
  <c r="P151" i="1"/>
  <c r="P165" i="1"/>
  <c r="P153" i="1"/>
  <c r="P169" i="1"/>
  <c r="P147" i="1"/>
  <c r="O149" i="1"/>
  <c r="O157" i="1"/>
  <c r="O159" i="1"/>
  <c r="O161" i="1"/>
  <c r="O163" i="1"/>
  <c r="O155" i="1"/>
  <c r="O152" i="1"/>
  <c r="O150" i="1"/>
  <c r="O145" i="1"/>
  <c r="O167" i="1"/>
  <c r="O153" i="1"/>
  <c r="O156" i="1"/>
  <c r="O158" i="1"/>
  <c r="O160" i="1"/>
  <c r="O162" i="1"/>
  <c r="O164" i="1"/>
  <c r="O146" i="1"/>
  <c r="O151" i="1"/>
  <c r="O168" i="1"/>
  <c r="O165" i="1"/>
  <c r="O147" i="1"/>
  <c r="O169" i="1"/>
  <c r="V52" i="1"/>
  <c r="U52" i="1"/>
  <c r="H53" i="1"/>
  <c r="M152" i="1"/>
  <c r="M165" i="1"/>
  <c r="M160" i="1"/>
  <c r="M155" i="1"/>
  <c r="M168" i="1"/>
  <c r="M149" i="1"/>
  <c r="M162" i="1"/>
  <c r="M169" i="1"/>
  <c r="M163" i="1"/>
  <c r="M157" i="1"/>
  <c r="M146" i="1"/>
  <c r="M151" i="1"/>
  <c r="M164" i="1"/>
  <c r="M159" i="1"/>
  <c r="M153" i="1"/>
  <c r="M167" i="1"/>
  <c r="M161" i="1"/>
  <c r="M145" i="1"/>
  <c r="M150" i="1"/>
  <c r="M156" i="1"/>
  <c r="M158" i="1"/>
  <c r="M147" i="1"/>
  <c r="Y14" i="1"/>
  <c r="U14" i="1"/>
  <c r="Y28" i="1"/>
  <c r="L66" i="1"/>
  <c r="U66" i="1"/>
  <c r="L72" i="1"/>
  <c r="U72" i="1"/>
  <c r="X65" i="1"/>
  <c r="W65" i="1" s="1"/>
  <c r="X66" i="1"/>
  <c r="K66" i="1"/>
  <c r="C74" i="1"/>
  <c r="Y72" i="1"/>
  <c r="AB88" i="1"/>
  <c r="F105" i="1"/>
  <c r="D105" i="1"/>
  <c r="Z88" i="1"/>
  <c r="AA88" i="1"/>
  <c r="E105" i="1"/>
  <c r="G105" i="1"/>
  <c r="G111" i="1" s="1"/>
  <c r="G131" i="1" s="1"/>
  <c r="D78" i="1"/>
  <c r="M76" i="1"/>
  <c r="Z76" i="1"/>
  <c r="E78" i="1"/>
  <c r="N76" i="1"/>
  <c r="AA76" i="1"/>
  <c r="G78" i="1"/>
  <c r="P76" i="1"/>
  <c r="H78" i="1"/>
  <c r="Q76" i="1"/>
  <c r="F78" i="1"/>
  <c r="O76" i="1"/>
  <c r="AB76" i="1"/>
  <c r="F53" i="1"/>
  <c r="Q42" i="1"/>
  <c r="Q51" i="1"/>
  <c r="Q14" i="1"/>
  <c r="N28" i="1"/>
  <c r="N42" i="1"/>
  <c r="N51" i="1"/>
  <c r="AA52" i="1"/>
  <c r="O14" i="1"/>
  <c r="AB29" i="1"/>
  <c r="AC52" i="1"/>
  <c r="M28" i="1"/>
  <c r="Z29" i="1"/>
  <c r="Z52" i="1"/>
  <c r="C29" i="1"/>
  <c r="AC29" i="1"/>
  <c r="AA29" i="1"/>
  <c r="O42" i="1"/>
  <c r="Y52" i="1"/>
  <c r="O28" i="1"/>
  <c r="O52" i="1"/>
  <c r="AB52" i="1"/>
  <c r="E53" i="1"/>
  <c r="N52" i="1"/>
  <c r="N19" i="1"/>
  <c r="N32" i="1"/>
  <c r="N44" i="1"/>
  <c r="N8" i="1"/>
  <c r="N20" i="1"/>
  <c r="N33" i="1"/>
  <c r="N45" i="1"/>
  <c r="N6" i="1"/>
  <c r="N21" i="1"/>
  <c r="N34" i="1"/>
  <c r="N46" i="1"/>
  <c r="N18" i="1"/>
  <c r="N10" i="1"/>
  <c r="N22" i="1"/>
  <c r="N47" i="1"/>
  <c r="N16" i="1"/>
  <c r="N11" i="1"/>
  <c r="N23" i="1"/>
  <c r="N36" i="1"/>
  <c r="N48" i="1"/>
  <c r="N31" i="1"/>
  <c r="N12" i="1"/>
  <c r="N37" i="1"/>
  <c r="N13" i="1"/>
  <c r="N25" i="1"/>
  <c r="N38" i="1"/>
  <c r="N50" i="1"/>
  <c r="N17" i="1"/>
  <c r="N26" i="1"/>
  <c r="N39" i="1"/>
  <c r="N29" i="1"/>
  <c r="N43" i="1"/>
  <c r="N15" i="1"/>
  <c r="N27" i="1"/>
  <c r="N40" i="1"/>
  <c r="N35" i="1"/>
  <c r="N41" i="1"/>
  <c r="N49" i="1"/>
  <c r="N24" i="1"/>
  <c r="N9" i="1"/>
  <c r="N7" i="1"/>
  <c r="Q52" i="1"/>
  <c r="P14" i="1"/>
  <c r="D53" i="1"/>
  <c r="P42" i="1"/>
  <c r="X28" i="1"/>
  <c r="M52" i="1"/>
  <c r="M21" i="1"/>
  <c r="M34" i="1"/>
  <c r="M46" i="1"/>
  <c r="M20" i="1"/>
  <c r="M10" i="1"/>
  <c r="M22" i="1"/>
  <c r="M47" i="1"/>
  <c r="M8" i="1"/>
  <c r="M45" i="1"/>
  <c r="M11" i="1"/>
  <c r="M23" i="1"/>
  <c r="M36" i="1"/>
  <c r="M48" i="1"/>
  <c r="M43" i="1"/>
  <c r="M12" i="1"/>
  <c r="M37" i="1"/>
  <c r="M44" i="1"/>
  <c r="M13" i="1"/>
  <c r="M25" i="1"/>
  <c r="M38" i="1"/>
  <c r="M50" i="1"/>
  <c r="M31" i="1"/>
  <c r="M26" i="1"/>
  <c r="M39" i="1"/>
  <c r="M19" i="1"/>
  <c r="M15" i="1"/>
  <c r="M27" i="1"/>
  <c r="M40" i="1"/>
  <c r="M16" i="1"/>
  <c r="M6" i="1"/>
  <c r="M32" i="1"/>
  <c r="M33" i="1"/>
  <c r="M17" i="1"/>
  <c r="M29" i="1"/>
  <c r="M18" i="1"/>
  <c r="M24" i="1"/>
  <c r="M35" i="1"/>
  <c r="M41" i="1"/>
  <c r="M7" i="1"/>
  <c r="M9" i="1"/>
  <c r="M49" i="1"/>
  <c r="O17" i="1"/>
  <c r="O29" i="1"/>
  <c r="O18" i="1"/>
  <c r="O31" i="1"/>
  <c r="O43" i="1"/>
  <c r="O15" i="1"/>
  <c r="O19" i="1"/>
  <c r="O32" i="1"/>
  <c r="O44" i="1"/>
  <c r="O39" i="1"/>
  <c r="O8" i="1"/>
  <c r="O20" i="1"/>
  <c r="O33" i="1"/>
  <c r="O45" i="1"/>
  <c r="O27" i="1"/>
  <c r="O6" i="1"/>
  <c r="O21" i="1"/>
  <c r="O34" i="1"/>
  <c r="O46" i="1"/>
  <c r="O26" i="1"/>
  <c r="O10" i="1"/>
  <c r="O22" i="1"/>
  <c r="O47" i="1"/>
  <c r="O11" i="1"/>
  <c r="O23" i="1"/>
  <c r="O36" i="1"/>
  <c r="O48" i="1"/>
  <c r="O12" i="1"/>
  <c r="O37" i="1"/>
  <c r="O40" i="1"/>
  <c r="O16" i="1"/>
  <c r="O13" i="1"/>
  <c r="O25" i="1"/>
  <c r="O38" i="1"/>
  <c r="O50" i="1"/>
  <c r="O7" i="1"/>
  <c r="O41" i="1"/>
  <c r="O24" i="1"/>
  <c r="O35" i="1"/>
  <c r="O9" i="1"/>
  <c r="O49" i="1"/>
  <c r="Q13" i="1"/>
  <c r="Q25" i="1"/>
  <c r="Q38" i="1"/>
  <c r="Q50" i="1"/>
  <c r="Q26" i="1"/>
  <c r="Q39" i="1"/>
  <c r="Q47" i="1"/>
  <c r="Q36" i="1"/>
  <c r="Q15" i="1"/>
  <c r="Q27" i="1"/>
  <c r="Q40" i="1"/>
  <c r="Q10" i="1"/>
  <c r="Q16" i="1"/>
  <c r="Q12" i="1"/>
  <c r="Q17" i="1"/>
  <c r="Q29" i="1"/>
  <c r="Q22" i="1"/>
  <c r="Q48" i="1"/>
  <c r="Q18" i="1"/>
  <c r="Q31" i="1"/>
  <c r="Q43" i="1"/>
  <c r="Q37" i="1"/>
  <c r="Q19" i="1"/>
  <c r="Q32" i="1"/>
  <c r="Q44" i="1"/>
  <c r="Q23" i="1"/>
  <c r="Q8" i="1"/>
  <c r="Q20" i="1"/>
  <c r="Q33" i="1"/>
  <c r="Q45" i="1"/>
  <c r="Q11" i="1"/>
  <c r="Q21" i="1"/>
  <c r="Q34" i="1"/>
  <c r="Q46" i="1"/>
  <c r="Q9" i="1"/>
  <c r="Q49" i="1"/>
  <c r="Q35" i="1"/>
  <c r="Q41" i="1"/>
  <c r="Q7" i="1"/>
  <c r="Q24" i="1"/>
  <c r="P15" i="1"/>
  <c r="P27" i="1"/>
  <c r="P40" i="1"/>
  <c r="P16" i="1"/>
  <c r="P6" i="1"/>
  <c r="P38" i="1"/>
  <c r="P17" i="1"/>
  <c r="P29" i="1"/>
  <c r="P12" i="1"/>
  <c r="P37" i="1"/>
  <c r="P18" i="1"/>
  <c r="P31" i="1"/>
  <c r="P43" i="1"/>
  <c r="P25" i="1"/>
  <c r="P39" i="1"/>
  <c r="P19" i="1"/>
  <c r="P32" i="1"/>
  <c r="P44" i="1"/>
  <c r="P8" i="1"/>
  <c r="P20" i="1"/>
  <c r="P33" i="1"/>
  <c r="P45" i="1"/>
  <c r="P13" i="1"/>
  <c r="P21" i="1"/>
  <c r="P34" i="1"/>
  <c r="P46" i="1"/>
  <c r="P10" i="1"/>
  <c r="P22" i="1"/>
  <c r="P47" i="1"/>
  <c r="P50" i="1"/>
  <c r="P26" i="1"/>
  <c r="P11" i="1"/>
  <c r="P23" i="1"/>
  <c r="P36" i="1"/>
  <c r="P48" i="1"/>
  <c r="P35" i="1"/>
  <c r="P24" i="1"/>
  <c r="P9" i="1"/>
  <c r="P49" i="1"/>
  <c r="P7" i="1"/>
  <c r="P41" i="1"/>
  <c r="M42" i="1"/>
  <c r="P52" i="1"/>
  <c r="P28" i="1"/>
  <c r="M14" i="1"/>
  <c r="O51" i="1"/>
  <c r="M51" i="1"/>
  <c r="X52" i="1"/>
  <c r="F223" i="8" l="1"/>
  <c r="F229" i="8" s="1"/>
  <c r="D223" i="8"/>
  <c r="D229" i="8" s="1"/>
  <c r="I213" i="8"/>
  <c r="I400" i="8" s="1"/>
  <c r="I399" i="8"/>
  <c r="L70" i="8"/>
  <c r="Y70" i="8"/>
  <c r="AD72" i="8"/>
  <c r="H223" i="8"/>
  <c r="G74" i="8"/>
  <c r="G223" i="8"/>
  <c r="C72" i="8"/>
  <c r="T70" i="8"/>
  <c r="W66" i="1"/>
  <c r="V74" i="1"/>
  <c r="C76" i="1"/>
  <c r="T74" i="1"/>
  <c r="V29" i="1"/>
  <c r="T29" i="1"/>
  <c r="B29" i="1"/>
  <c r="B365" i="8"/>
  <c r="B115" i="8"/>
  <c r="B351" i="8"/>
  <c r="X68" i="8"/>
  <c r="W68" i="8" s="1"/>
  <c r="K68" i="8"/>
  <c r="B70" i="8"/>
  <c r="U68" i="8"/>
  <c r="D125" i="8"/>
  <c r="D74" i="8"/>
  <c r="M72" i="8"/>
  <c r="P72" i="8"/>
  <c r="G125" i="8"/>
  <c r="AC72" i="8"/>
  <c r="Q72" i="8"/>
  <c r="H125" i="8"/>
  <c r="H74" i="8"/>
  <c r="O72" i="8"/>
  <c r="F74" i="8"/>
  <c r="F125" i="8"/>
  <c r="AB72" i="8"/>
  <c r="AA70" i="8"/>
  <c r="N70" i="8"/>
  <c r="E72" i="8"/>
  <c r="Z70" i="8"/>
  <c r="L152" i="1"/>
  <c r="L151" i="1"/>
  <c r="L150" i="1"/>
  <c r="L167" i="1"/>
  <c r="L156" i="1"/>
  <c r="L158" i="1"/>
  <c r="L160" i="1"/>
  <c r="L162" i="1"/>
  <c r="L164" i="1"/>
  <c r="L146" i="1"/>
  <c r="L168" i="1"/>
  <c r="L145" i="1"/>
  <c r="L149" i="1"/>
  <c r="L157" i="1"/>
  <c r="L159" i="1"/>
  <c r="L161" i="1"/>
  <c r="L163" i="1"/>
  <c r="L155" i="1"/>
  <c r="L147" i="1"/>
  <c r="L153" i="1"/>
  <c r="L169" i="1"/>
  <c r="L165" i="1"/>
  <c r="H105" i="1"/>
  <c r="AC105" i="1" s="1"/>
  <c r="L33" i="1"/>
  <c r="V76" i="1"/>
  <c r="U74" i="1"/>
  <c r="Y74" i="1"/>
  <c r="L74" i="1"/>
  <c r="K72" i="1"/>
  <c r="X72" i="1"/>
  <c r="W72" i="1" s="1"/>
  <c r="L24" i="1"/>
  <c r="Z105" i="1"/>
  <c r="D111" i="1"/>
  <c r="D131" i="1" s="1"/>
  <c r="D133" i="1" s="1"/>
  <c r="E111" i="1"/>
  <c r="E131" i="1" s="1"/>
  <c r="E133" i="1" s="1"/>
  <c r="AA105" i="1"/>
  <c r="AB105" i="1"/>
  <c r="F111" i="1"/>
  <c r="F131" i="1" s="1"/>
  <c r="F133" i="1" s="1"/>
  <c r="C53" i="1"/>
  <c r="AB78" i="1"/>
  <c r="O78" i="1"/>
  <c r="F81" i="1"/>
  <c r="AA78" i="1"/>
  <c r="E81" i="1"/>
  <c r="N78" i="1"/>
  <c r="Q78" i="1"/>
  <c r="H81" i="1"/>
  <c r="P78" i="1"/>
  <c r="G81" i="1"/>
  <c r="Z78" i="1"/>
  <c r="M78" i="1"/>
  <c r="D81" i="1"/>
  <c r="L49" i="1"/>
  <c r="L41" i="1"/>
  <c r="L47" i="1"/>
  <c r="L32" i="1"/>
  <c r="L45" i="1"/>
  <c r="L18" i="1"/>
  <c r="L20" i="1"/>
  <c r="X29" i="1"/>
  <c r="L17" i="1"/>
  <c r="L34" i="1"/>
  <c r="L40" i="1"/>
  <c r="L39" i="1"/>
  <c r="L50" i="1"/>
  <c r="L35" i="1"/>
  <c r="L38" i="1"/>
  <c r="L25" i="1"/>
  <c r="L44" i="1"/>
  <c r="L19" i="1"/>
  <c r="L13" i="1"/>
  <c r="L46" i="1"/>
  <c r="L37" i="1"/>
  <c r="L23" i="1"/>
  <c r="L21" i="1"/>
  <c r="L12" i="1"/>
  <c r="L29" i="1"/>
  <c r="L7" i="1"/>
  <c r="L6" i="1"/>
  <c r="L16" i="1"/>
  <c r="X14" i="1"/>
  <c r="L11" i="1"/>
  <c r="L27" i="1"/>
  <c r="L43" i="1"/>
  <c r="L15" i="1"/>
  <c r="L31" i="1"/>
  <c r="L10" i="1"/>
  <c r="L26" i="1"/>
  <c r="L22" i="1"/>
  <c r="L51" i="1"/>
  <c r="Y29" i="1"/>
  <c r="L42" i="1"/>
  <c r="L14" i="1"/>
  <c r="L9" i="1"/>
  <c r="L52" i="1"/>
  <c r="L48" i="1"/>
  <c r="L8" i="1"/>
  <c r="L36" i="1"/>
  <c r="L28" i="1"/>
  <c r="C223" i="8" l="1"/>
  <c r="C229" i="8" s="1"/>
  <c r="E223" i="8"/>
  <c r="Y72" i="8"/>
  <c r="G229" i="8"/>
  <c r="V72" i="8"/>
  <c r="E229" i="8"/>
  <c r="H229" i="8"/>
  <c r="G93" i="8"/>
  <c r="G109" i="8" s="1"/>
  <c r="G113" i="8" s="1"/>
  <c r="H357" i="8"/>
  <c r="H93" i="8"/>
  <c r="H109" i="8" s="1"/>
  <c r="H113" i="8" s="1"/>
  <c r="AD74" i="8"/>
  <c r="D93" i="8"/>
  <c r="D109" i="8" s="1"/>
  <c r="D113" i="8" s="1"/>
  <c r="F93" i="8"/>
  <c r="F109" i="8" s="1"/>
  <c r="F113" i="8" s="1"/>
  <c r="C125" i="8"/>
  <c r="Y125" i="8" s="1"/>
  <c r="T72" i="8"/>
  <c r="C74" i="8"/>
  <c r="Y74" i="8" s="1"/>
  <c r="L72" i="8"/>
  <c r="C88" i="1"/>
  <c r="T88" i="1" s="1"/>
  <c r="T76" i="1"/>
  <c r="C78" i="1"/>
  <c r="Y78" i="1" s="1"/>
  <c r="L76" i="1"/>
  <c r="F81" i="8"/>
  <c r="F357" i="8"/>
  <c r="F353" i="8"/>
  <c r="F362" i="8"/>
  <c r="F363" i="8" s="1"/>
  <c r="H81" i="8"/>
  <c r="H362" i="8"/>
  <c r="H363" i="8" s="1"/>
  <c r="H353" i="8"/>
  <c r="D81" i="8"/>
  <c r="D357" i="8"/>
  <c r="D353" i="8"/>
  <c r="D362" i="8"/>
  <c r="D363" i="8" s="1"/>
  <c r="G81" i="8"/>
  <c r="G362" i="8"/>
  <c r="G363" i="8" s="1"/>
  <c r="G357" i="8"/>
  <c r="G353" i="8"/>
  <c r="X70" i="8"/>
  <c r="W70" i="8" s="1"/>
  <c r="K70" i="8"/>
  <c r="B72" i="8"/>
  <c r="U70" i="8"/>
  <c r="D77" i="8"/>
  <c r="M74" i="8"/>
  <c r="D142" i="8"/>
  <c r="D396" i="8" s="1"/>
  <c r="O74" i="8"/>
  <c r="AB74" i="8"/>
  <c r="F77" i="8"/>
  <c r="F142" i="8"/>
  <c r="F396" i="8" s="1"/>
  <c r="AB125" i="8"/>
  <c r="Q74" i="8"/>
  <c r="H77" i="8"/>
  <c r="N72" i="8"/>
  <c r="E74" i="8"/>
  <c r="E125" i="8"/>
  <c r="AA72" i="8"/>
  <c r="Z72" i="8"/>
  <c r="G142" i="8"/>
  <c r="G396" i="8" s="1"/>
  <c r="AC125" i="8"/>
  <c r="P74" i="8"/>
  <c r="AC74" i="8"/>
  <c r="G77" i="8"/>
  <c r="H142" i="8"/>
  <c r="H396" i="8" s="1"/>
  <c r="Y76" i="1"/>
  <c r="K158" i="1"/>
  <c r="K160" i="1"/>
  <c r="K162" i="1"/>
  <c r="K164" i="1"/>
  <c r="K157" i="1"/>
  <c r="K159" i="1"/>
  <c r="K161" i="1"/>
  <c r="K163" i="1"/>
  <c r="K165" i="1"/>
  <c r="K155" i="1"/>
  <c r="K156" i="1"/>
  <c r="K151" i="1"/>
  <c r="K149" i="1"/>
  <c r="K168" i="1"/>
  <c r="K146" i="1"/>
  <c r="K167" i="1"/>
  <c r="K145" i="1"/>
  <c r="K152" i="1"/>
  <c r="K150" i="1"/>
  <c r="K147" i="1"/>
  <c r="K169" i="1"/>
  <c r="K153" i="1"/>
  <c r="U29" i="1"/>
  <c r="H111" i="1"/>
  <c r="X74" i="1"/>
  <c r="W74" i="1" s="1"/>
  <c r="K74" i="1"/>
  <c r="K78" i="1"/>
  <c r="C81" i="1"/>
  <c r="V88" i="1"/>
  <c r="L78" i="1"/>
  <c r="M126" i="1"/>
  <c r="M116" i="1"/>
  <c r="M128" i="1"/>
  <c r="M117" i="1"/>
  <c r="M123" i="1"/>
  <c r="M125" i="1"/>
  <c r="Z111" i="1"/>
  <c r="M112" i="1"/>
  <c r="M130" i="1"/>
  <c r="M132" i="1"/>
  <c r="M124" i="1"/>
  <c r="M114" i="1"/>
  <c r="M111" i="1"/>
  <c r="M118" i="1"/>
  <c r="M129" i="1"/>
  <c r="N124" i="1"/>
  <c r="N125" i="1"/>
  <c r="N128" i="1"/>
  <c r="N126" i="1"/>
  <c r="N130" i="1"/>
  <c r="N132" i="1"/>
  <c r="AA111" i="1"/>
  <c r="N112" i="1"/>
  <c r="N118" i="1"/>
  <c r="N114" i="1"/>
  <c r="N116" i="1"/>
  <c r="N117" i="1"/>
  <c r="N111" i="1"/>
  <c r="N123" i="1"/>
  <c r="N129" i="1"/>
  <c r="K24" i="1"/>
  <c r="O116" i="1"/>
  <c r="O124" i="1"/>
  <c r="O130" i="1"/>
  <c r="O128" i="1"/>
  <c r="O117" i="1"/>
  <c r="O125" i="1"/>
  <c r="O132" i="1"/>
  <c r="O111" i="1"/>
  <c r="O112" i="1"/>
  <c r="O126" i="1"/>
  <c r="AB111" i="1"/>
  <c r="O114" i="1"/>
  <c r="O123" i="1"/>
  <c r="O129" i="1"/>
  <c r="O118" i="1"/>
  <c r="P114" i="1"/>
  <c r="P116" i="1"/>
  <c r="P124" i="1"/>
  <c r="P130" i="1"/>
  <c r="P128" i="1"/>
  <c r="P117" i="1"/>
  <c r="P125" i="1"/>
  <c r="P132" i="1"/>
  <c r="P111" i="1"/>
  <c r="P112" i="1"/>
  <c r="P126" i="1"/>
  <c r="P129" i="1"/>
  <c r="P123" i="1"/>
  <c r="P118" i="1"/>
  <c r="K14" i="1"/>
  <c r="K41" i="1"/>
  <c r="K35" i="1"/>
  <c r="K13" i="1"/>
  <c r="K46" i="1"/>
  <c r="K31" i="1"/>
  <c r="K22" i="1"/>
  <c r="K23" i="1"/>
  <c r="K48" i="1"/>
  <c r="K25" i="1"/>
  <c r="K8" i="1"/>
  <c r="K40" i="1"/>
  <c r="K11" i="1"/>
  <c r="K20" i="1"/>
  <c r="K6" i="1"/>
  <c r="K49" i="1"/>
  <c r="K18" i="1"/>
  <c r="K28" i="1"/>
  <c r="K43" i="1"/>
  <c r="K16" i="1"/>
  <c r="K51" i="1"/>
  <c r="K27" i="1"/>
  <c r="K34" i="1"/>
  <c r="K15" i="1"/>
  <c r="K47" i="1"/>
  <c r="K52" i="1"/>
  <c r="K32" i="1"/>
  <c r="K37" i="1"/>
  <c r="K42" i="1"/>
  <c r="K7" i="1"/>
  <c r="K33" i="1"/>
  <c r="K9" i="1"/>
  <c r="K19" i="1"/>
  <c r="B53" i="1"/>
  <c r="K45" i="1"/>
  <c r="K29" i="1"/>
  <c r="K21" i="1"/>
  <c r="K38" i="1"/>
  <c r="K10" i="1"/>
  <c r="K26" i="1"/>
  <c r="K17" i="1"/>
  <c r="K12" i="1"/>
  <c r="K50" i="1"/>
  <c r="K44" i="1"/>
  <c r="K39" i="1"/>
  <c r="K36" i="1"/>
  <c r="B223" i="8" l="1"/>
  <c r="B229" i="8" s="1"/>
  <c r="D111" i="8"/>
  <c r="D112" i="8" s="1"/>
  <c r="D386" i="8"/>
  <c r="H111" i="8"/>
  <c r="H112" i="8" s="1"/>
  <c r="H386" i="8"/>
  <c r="F111" i="8"/>
  <c r="F112" i="8" s="1"/>
  <c r="F386" i="8"/>
  <c r="G111" i="8"/>
  <c r="G112" i="8" s="1"/>
  <c r="G386" i="8"/>
  <c r="D83" i="8"/>
  <c r="D352" i="8" s="1"/>
  <c r="H83" i="8"/>
  <c r="H352" i="8" s="1"/>
  <c r="F83" i="8"/>
  <c r="F352" i="8" s="1"/>
  <c r="G83" i="8"/>
  <c r="G352" i="8" s="1"/>
  <c r="C142" i="8"/>
  <c r="E93" i="8"/>
  <c r="E109" i="8" s="1"/>
  <c r="E113" i="8" s="1"/>
  <c r="C81" i="8"/>
  <c r="C357" i="8"/>
  <c r="C353" i="8"/>
  <c r="C362" i="8"/>
  <c r="C363" i="8" s="1"/>
  <c r="C93" i="8"/>
  <c r="C109" i="8" s="1"/>
  <c r="C113" i="8" s="1"/>
  <c r="T74" i="8"/>
  <c r="L74" i="8"/>
  <c r="C77" i="8"/>
  <c r="V125" i="8"/>
  <c r="V74" i="8"/>
  <c r="B74" i="8"/>
  <c r="B93" i="8" s="1"/>
  <c r="B109" i="8" s="1"/>
  <c r="B125" i="8"/>
  <c r="V78" i="1"/>
  <c r="T78" i="1"/>
  <c r="G149" i="8"/>
  <c r="G335" i="8"/>
  <c r="E81" i="8"/>
  <c r="E357" i="8"/>
  <c r="E353" i="8"/>
  <c r="E362" i="8"/>
  <c r="E363" i="8" s="1"/>
  <c r="D149" i="8"/>
  <c r="D335" i="8"/>
  <c r="H149" i="8"/>
  <c r="H335" i="8"/>
  <c r="F149" i="8"/>
  <c r="F335" i="8"/>
  <c r="H196" i="8"/>
  <c r="H195" i="8" s="1"/>
  <c r="D196" i="8"/>
  <c r="D195" i="8" s="1"/>
  <c r="F196" i="8"/>
  <c r="F210" i="8" s="1"/>
  <c r="G196" i="8"/>
  <c r="G195" i="8" s="1"/>
  <c r="X72" i="8"/>
  <c r="W72" i="8" s="1"/>
  <c r="K72" i="8"/>
  <c r="U72" i="8"/>
  <c r="E77" i="8"/>
  <c r="N74" i="8"/>
  <c r="AA74" i="8"/>
  <c r="Z74" i="8"/>
  <c r="AB142" i="8"/>
  <c r="AC142" i="8"/>
  <c r="E142" i="8"/>
  <c r="E396" i="8" s="1"/>
  <c r="AA125" i="8"/>
  <c r="Z125" i="8"/>
  <c r="H131" i="1"/>
  <c r="H133" i="1" s="1"/>
  <c r="H135" i="1" s="1"/>
  <c r="AD135" i="1" s="1"/>
  <c r="Q132" i="1"/>
  <c r="Q112" i="1"/>
  <c r="Q128" i="1"/>
  <c r="Q126" i="1"/>
  <c r="Q114" i="1"/>
  <c r="Q123" i="1"/>
  <c r="Q117" i="1"/>
  <c r="Q116" i="1"/>
  <c r="Q134" i="1"/>
  <c r="Q124" i="1"/>
  <c r="Q129" i="1"/>
  <c r="Q130" i="1"/>
  <c r="Q118" i="1"/>
  <c r="Q125" i="1"/>
  <c r="AC111" i="1"/>
  <c r="B81" i="1"/>
  <c r="U78" i="1"/>
  <c r="U76" i="1"/>
  <c r="X76" i="1"/>
  <c r="W76" i="1" s="1"/>
  <c r="K76" i="1"/>
  <c r="Y88" i="1"/>
  <c r="C105" i="1"/>
  <c r="T105" i="1" s="1"/>
  <c r="X78" i="1"/>
  <c r="W78" i="1" s="1"/>
  <c r="H85" i="8" l="1"/>
  <c r="H394" i="8" s="1"/>
  <c r="G390" i="8"/>
  <c r="G405" i="8"/>
  <c r="G406" i="8" s="1"/>
  <c r="E111" i="8"/>
  <c r="E112" i="8" s="1"/>
  <c r="E386" i="8"/>
  <c r="F390" i="8"/>
  <c r="F405" i="8"/>
  <c r="F406" i="8" s="1"/>
  <c r="D85" i="8"/>
  <c r="D394" i="8" s="1"/>
  <c r="H405" i="8"/>
  <c r="H406" i="8" s="1"/>
  <c r="H390" i="8"/>
  <c r="D390" i="8"/>
  <c r="D405" i="8"/>
  <c r="D406" i="8" s="1"/>
  <c r="Y142" i="8"/>
  <c r="C396" i="8"/>
  <c r="G85" i="8"/>
  <c r="G394" i="8" s="1"/>
  <c r="C111" i="8"/>
  <c r="C112" i="8" s="1"/>
  <c r="C386" i="8"/>
  <c r="C83" i="8"/>
  <c r="C352" i="8" s="1"/>
  <c r="E83" i="8"/>
  <c r="E352" i="8" s="1"/>
  <c r="F85" i="8"/>
  <c r="V142" i="8"/>
  <c r="D424" i="8" s="1"/>
  <c r="D179" i="8"/>
  <c r="D232" i="8"/>
  <c r="G179" i="8"/>
  <c r="G181" i="8" s="1"/>
  <c r="G232" i="8"/>
  <c r="F179" i="8"/>
  <c r="F181" i="8" s="1"/>
  <c r="F232" i="8"/>
  <c r="H179" i="8"/>
  <c r="H232" i="8"/>
  <c r="C196" i="8"/>
  <c r="C149" i="8"/>
  <c r="C232" i="8" s="1"/>
  <c r="C335" i="8"/>
  <c r="D336" i="8"/>
  <c r="D341" i="8"/>
  <c r="D337" i="8"/>
  <c r="E149" i="8"/>
  <c r="E335" i="8"/>
  <c r="G336" i="8"/>
  <c r="G341" i="8"/>
  <c r="G337" i="8"/>
  <c r="H159" i="8"/>
  <c r="H158" i="8" s="1"/>
  <c r="G159" i="8"/>
  <c r="B81" i="8"/>
  <c r="B362" i="8"/>
  <c r="B363" i="8" s="1"/>
  <c r="B357" i="8"/>
  <c r="B353" i="8"/>
  <c r="F336" i="8"/>
  <c r="F341" i="8"/>
  <c r="F337" i="8"/>
  <c r="F159" i="8"/>
  <c r="D159" i="8"/>
  <c r="H336" i="8"/>
  <c r="H341" i="8"/>
  <c r="H337" i="8"/>
  <c r="H210" i="8"/>
  <c r="D210" i="8"/>
  <c r="F195" i="8"/>
  <c r="E196" i="8"/>
  <c r="E195" i="8" s="1"/>
  <c r="G210" i="8"/>
  <c r="X74" i="8"/>
  <c r="W74" i="8" s="1"/>
  <c r="K74" i="8"/>
  <c r="B77" i="8"/>
  <c r="U74" i="8"/>
  <c r="X125" i="8"/>
  <c r="W125" i="8" s="1"/>
  <c r="B142" i="8"/>
  <c r="B396" i="8" s="1"/>
  <c r="U125" i="8"/>
  <c r="AA142" i="8"/>
  <c r="Z142" i="8"/>
  <c r="U88" i="1"/>
  <c r="B105" i="1"/>
  <c r="B111" i="1" s="1"/>
  <c r="B131" i="1" s="1"/>
  <c r="B133" i="1" s="1"/>
  <c r="V105" i="1"/>
  <c r="G134" i="1"/>
  <c r="Q135" i="1"/>
  <c r="Y105" i="1"/>
  <c r="C111" i="1"/>
  <c r="T111" i="1" s="1"/>
  <c r="X88" i="1"/>
  <c r="W88" i="1" s="1"/>
  <c r="G309" i="8" l="1"/>
  <c r="G87" i="8"/>
  <c r="H338" i="8"/>
  <c r="H333" i="8"/>
  <c r="H370" i="8"/>
  <c r="H392" i="8" s="1"/>
  <c r="H87" i="8"/>
  <c r="H311" i="8" s="1"/>
  <c r="H342" i="8" s="1"/>
  <c r="H236" i="8"/>
  <c r="H350" i="8"/>
  <c r="H310" i="8"/>
  <c r="D338" i="8"/>
  <c r="D309" i="8"/>
  <c r="G310" i="8"/>
  <c r="C85" i="8"/>
  <c r="C394" i="8" s="1"/>
  <c r="G338" i="8"/>
  <c r="D333" i="8"/>
  <c r="G333" i="8"/>
  <c r="G236" i="8"/>
  <c r="D236" i="8"/>
  <c r="D87" i="8"/>
  <c r="D371" i="8" s="1"/>
  <c r="D370" i="8"/>
  <c r="D392" i="8" s="1"/>
  <c r="G370" i="8"/>
  <c r="G392" i="8" s="1"/>
  <c r="G350" i="8"/>
  <c r="D350" i="8"/>
  <c r="E85" i="8"/>
  <c r="E394" i="8" s="1"/>
  <c r="D310" i="8"/>
  <c r="F333" i="8"/>
  <c r="F394" i="8"/>
  <c r="H407" i="8"/>
  <c r="H410" i="8" s="1"/>
  <c r="D407" i="8"/>
  <c r="D410" i="8" s="1"/>
  <c r="F407" i="8"/>
  <c r="F410" i="8" s="1"/>
  <c r="C390" i="8"/>
  <c r="C405" i="8"/>
  <c r="C406" i="8" s="1"/>
  <c r="E390" i="8"/>
  <c r="E405" i="8"/>
  <c r="E406" i="8" s="1"/>
  <c r="G407" i="8"/>
  <c r="G410" i="8" s="1"/>
  <c r="B111" i="8"/>
  <c r="B386" i="8"/>
  <c r="G241" i="8"/>
  <c r="G395" i="8"/>
  <c r="F309" i="8"/>
  <c r="F87" i="8"/>
  <c r="F371" i="8" s="1"/>
  <c r="F310" i="8"/>
  <c r="F236" i="8"/>
  <c r="F350" i="8"/>
  <c r="F370" i="8"/>
  <c r="F392" i="8" s="1"/>
  <c r="F338" i="8"/>
  <c r="B83" i="8"/>
  <c r="B85" i="8" s="1"/>
  <c r="B394" i="8" s="1"/>
  <c r="C234" i="8"/>
  <c r="C233" i="8"/>
  <c r="D234" i="8"/>
  <c r="D233" i="8"/>
  <c r="E179" i="8"/>
  <c r="E232" i="8"/>
  <c r="F233" i="8"/>
  <c r="F234" i="8"/>
  <c r="H233" i="8"/>
  <c r="H234" i="8"/>
  <c r="G233" i="8"/>
  <c r="G234" i="8"/>
  <c r="C179" i="8"/>
  <c r="C159" i="8"/>
  <c r="C210" i="8"/>
  <c r="C195" i="8"/>
  <c r="C341" i="8"/>
  <c r="C336" i="8"/>
  <c r="C337" i="8"/>
  <c r="C310" i="8"/>
  <c r="C309" i="8"/>
  <c r="U105" i="1"/>
  <c r="B113" i="8"/>
  <c r="G198" i="8"/>
  <c r="G158" i="8"/>
  <c r="G311" i="8"/>
  <c r="G342" i="8" s="1"/>
  <c r="G371" i="8"/>
  <c r="G334" i="8"/>
  <c r="D198" i="8"/>
  <c r="D158" i="8"/>
  <c r="E336" i="8"/>
  <c r="E341" i="8"/>
  <c r="E337" i="8"/>
  <c r="E159" i="8"/>
  <c r="H208" i="8"/>
  <c r="H198" i="8"/>
  <c r="F198" i="8"/>
  <c r="F158" i="8"/>
  <c r="B149" i="8"/>
  <c r="B232" i="8" s="1"/>
  <c r="B335" i="8"/>
  <c r="E210" i="8"/>
  <c r="G208" i="8"/>
  <c r="D208" i="8"/>
  <c r="F208" i="8"/>
  <c r="B196" i="8"/>
  <c r="X142" i="8"/>
  <c r="W142" i="8" s="1"/>
  <c r="U142" i="8"/>
  <c r="C424" i="8" s="1"/>
  <c r="D181" i="8"/>
  <c r="H181" i="8"/>
  <c r="U111" i="1"/>
  <c r="V111" i="1"/>
  <c r="AC134" i="1"/>
  <c r="G135" i="1"/>
  <c r="P134" i="1"/>
  <c r="X105" i="1"/>
  <c r="W105" i="1" s="1"/>
  <c r="C131" i="1"/>
  <c r="L124" i="1"/>
  <c r="L129" i="1"/>
  <c r="L126" i="1"/>
  <c r="L128" i="1"/>
  <c r="L130" i="1"/>
  <c r="L132" i="1"/>
  <c r="L116" i="1"/>
  <c r="L112" i="1"/>
  <c r="L117" i="1"/>
  <c r="L123" i="1"/>
  <c r="L114" i="1"/>
  <c r="L111" i="1"/>
  <c r="Y111" i="1"/>
  <c r="L118" i="1"/>
  <c r="L125" i="1"/>
  <c r="M131" i="1"/>
  <c r="N131" i="1"/>
  <c r="Q131" i="1"/>
  <c r="H334" i="8" l="1"/>
  <c r="H241" i="8"/>
  <c r="H371" i="8"/>
  <c r="C87" i="8"/>
  <c r="C241" i="8" s="1"/>
  <c r="C236" i="8"/>
  <c r="C338" i="8"/>
  <c r="H395" i="8"/>
  <c r="E310" i="8"/>
  <c r="D311" i="8"/>
  <c r="D342" i="8" s="1"/>
  <c r="D395" i="8"/>
  <c r="D241" i="8"/>
  <c r="E309" i="8"/>
  <c r="E370" i="8"/>
  <c r="E392" i="8" s="1"/>
  <c r="E87" i="8"/>
  <c r="E241" i="8" s="1"/>
  <c r="E338" i="8"/>
  <c r="F334" i="8"/>
  <c r="C370" i="8"/>
  <c r="C392" i="8" s="1"/>
  <c r="E236" i="8"/>
  <c r="E333" i="8"/>
  <c r="F311" i="8"/>
  <c r="F342" i="8" s="1"/>
  <c r="D334" i="8"/>
  <c r="C333" i="8"/>
  <c r="E350" i="8"/>
  <c r="C350" i="8"/>
  <c r="C407" i="8"/>
  <c r="C410" i="8" s="1"/>
  <c r="F241" i="8"/>
  <c r="F395" i="8"/>
  <c r="F273" i="8"/>
  <c r="F397" i="8"/>
  <c r="G322" i="8"/>
  <c r="G397" i="8"/>
  <c r="E407" i="8"/>
  <c r="E410" i="8" s="1"/>
  <c r="D322" i="8"/>
  <c r="D397" i="8"/>
  <c r="H322" i="8"/>
  <c r="H397" i="8"/>
  <c r="B390" i="8"/>
  <c r="B405" i="8"/>
  <c r="B406" i="8" s="1"/>
  <c r="B112" i="8"/>
  <c r="B352" i="8"/>
  <c r="B350" i="8"/>
  <c r="B236" i="8"/>
  <c r="E233" i="8"/>
  <c r="E234" i="8"/>
  <c r="B234" i="8"/>
  <c r="B233" i="8"/>
  <c r="C311" i="8"/>
  <c r="C342" i="8" s="1"/>
  <c r="C198" i="8"/>
  <c r="C397" i="8" s="1"/>
  <c r="C158" i="8"/>
  <c r="C181" i="8"/>
  <c r="L181" i="8" s="1"/>
  <c r="C208" i="8"/>
  <c r="O159" i="8"/>
  <c r="B179" i="8"/>
  <c r="K179" i="8" s="1"/>
  <c r="P179" i="8"/>
  <c r="G321" i="8"/>
  <c r="M159" i="8"/>
  <c r="G320" i="8"/>
  <c r="D320" i="8"/>
  <c r="G200" i="8"/>
  <c r="G211" i="8" s="1"/>
  <c r="D273" i="8"/>
  <c r="G273" i="8"/>
  <c r="G197" i="8"/>
  <c r="Q159" i="8"/>
  <c r="M181" i="8"/>
  <c r="O181" i="8"/>
  <c r="P181" i="8"/>
  <c r="D200" i="8"/>
  <c r="D211" i="8" s="1"/>
  <c r="D321" i="8"/>
  <c r="N179" i="8"/>
  <c r="O179" i="8"/>
  <c r="F321" i="8"/>
  <c r="F200" i="8"/>
  <c r="F211" i="8" s="1"/>
  <c r="H197" i="8"/>
  <c r="H273" i="8"/>
  <c r="H200" i="8"/>
  <c r="H211" i="8" s="1"/>
  <c r="F320" i="8"/>
  <c r="F322" i="8"/>
  <c r="H321" i="8"/>
  <c r="H320" i="8"/>
  <c r="B370" i="8"/>
  <c r="B392" i="8" s="1"/>
  <c r="B338" i="8"/>
  <c r="B333" i="8"/>
  <c r="B87" i="8"/>
  <c r="B309" i="8"/>
  <c r="E198" i="8"/>
  <c r="N159" i="8"/>
  <c r="E158" i="8"/>
  <c r="D328" i="8"/>
  <c r="D326" i="8"/>
  <c r="D331" i="8"/>
  <c r="D329" i="8"/>
  <c r="D325" i="8"/>
  <c r="D330" i="8"/>
  <c r="D323" i="8"/>
  <c r="B341" i="8"/>
  <c r="B337" i="8"/>
  <c r="P164" i="8"/>
  <c r="L172" i="8"/>
  <c r="Q173" i="8"/>
  <c r="O160" i="8"/>
  <c r="L162" i="8"/>
  <c r="Q164" i="8"/>
  <c r="M172" i="8"/>
  <c r="M162" i="8"/>
  <c r="N172" i="8"/>
  <c r="L174" i="8"/>
  <c r="B159" i="8"/>
  <c r="M164" i="8"/>
  <c r="Q182" i="8"/>
  <c r="P160" i="8"/>
  <c r="N162" i="8"/>
  <c r="L165" i="8"/>
  <c r="O172" i="8"/>
  <c r="M174" i="8"/>
  <c r="Q171" i="8"/>
  <c r="L178" i="8"/>
  <c r="O162" i="8"/>
  <c r="M165" i="8"/>
  <c r="P172" i="8"/>
  <c r="N174" i="8"/>
  <c r="M178" i="8"/>
  <c r="P162" i="8"/>
  <c r="N165" i="8"/>
  <c r="L171" i="8"/>
  <c r="Q172" i="8"/>
  <c r="O174" i="8"/>
  <c r="Q178" i="8"/>
  <c r="N164" i="8"/>
  <c r="N178" i="8"/>
  <c r="L160" i="8"/>
  <c r="Q162" i="8"/>
  <c r="O165" i="8"/>
  <c r="M171" i="8"/>
  <c r="P174" i="8"/>
  <c r="O178" i="8"/>
  <c r="M160" i="8"/>
  <c r="P165" i="8"/>
  <c r="N171" i="8"/>
  <c r="L173" i="8"/>
  <c r="Q174" i="8"/>
  <c r="L177" i="8"/>
  <c r="O173" i="8"/>
  <c r="P178" i="8"/>
  <c r="N160" i="8"/>
  <c r="L164" i="8"/>
  <c r="Q165" i="8"/>
  <c r="O171" i="8"/>
  <c r="M173" i="8"/>
  <c r="P171" i="8"/>
  <c r="Q160" i="8"/>
  <c r="O164" i="8"/>
  <c r="P173" i="8"/>
  <c r="N173" i="8"/>
  <c r="M177" i="8"/>
  <c r="Q177" i="8"/>
  <c r="N177" i="8"/>
  <c r="O177" i="8"/>
  <c r="P177" i="8"/>
  <c r="N166" i="8"/>
  <c r="K162" i="8"/>
  <c r="K171" i="8"/>
  <c r="O166" i="8"/>
  <c r="M166" i="8"/>
  <c r="K174" i="8"/>
  <c r="K165" i="8"/>
  <c r="K173" i="8"/>
  <c r="P166" i="8"/>
  <c r="K172" i="8"/>
  <c r="Q166" i="8"/>
  <c r="L166" i="8"/>
  <c r="K160" i="8"/>
  <c r="K178" i="8"/>
  <c r="K164" i="8"/>
  <c r="K177" i="8"/>
  <c r="K166" i="8"/>
  <c r="L159" i="8"/>
  <c r="L179" i="8"/>
  <c r="F325" i="8"/>
  <c r="F330" i="8"/>
  <c r="F328" i="8"/>
  <c r="F326" i="8"/>
  <c r="F331" i="8"/>
  <c r="F329" i="8"/>
  <c r="F323" i="8"/>
  <c r="P159" i="8"/>
  <c r="M179" i="8"/>
  <c r="D197" i="8"/>
  <c r="Q179" i="8"/>
  <c r="E181" i="8"/>
  <c r="N181" i="8" s="1"/>
  <c r="H183" i="8"/>
  <c r="Q181" i="8"/>
  <c r="F197" i="8"/>
  <c r="H325" i="8"/>
  <c r="H329" i="8"/>
  <c r="H330" i="8"/>
  <c r="H328" i="8"/>
  <c r="H326" i="8"/>
  <c r="H331" i="8"/>
  <c r="H323" i="8"/>
  <c r="G329" i="8"/>
  <c r="G325" i="8"/>
  <c r="G330" i="8"/>
  <c r="G328" i="8"/>
  <c r="G326" i="8"/>
  <c r="G331" i="8"/>
  <c r="G323" i="8"/>
  <c r="E208" i="8"/>
  <c r="B195" i="8"/>
  <c r="B210" i="8"/>
  <c r="F134" i="1"/>
  <c r="P135" i="1"/>
  <c r="AC135" i="1"/>
  <c r="K128" i="1"/>
  <c r="K129" i="1"/>
  <c r="K130" i="1"/>
  <c r="X111" i="1"/>
  <c r="W111" i="1" s="1"/>
  <c r="K116" i="1"/>
  <c r="K126" i="1"/>
  <c r="K117" i="1"/>
  <c r="K123" i="1"/>
  <c r="K114" i="1"/>
  <c r="K118" i="1"/>
  <c r="K112" i="1"/>
  <c r="K132" i="1"/>
  <c r="K111" i="1"/>
  <c r="K124" i="1"/>
  <c r="K125" i="1"/>
  <c r="C133" i="1"/>
  <c r="L131" i="1"/>
  <c r="P131" i="1"/>
  <c r="O131" i="1"/>
  <c r="C334" i="8" l="1"/>
  <c r="C395" i="8"/>
  <c r="C371" i="8"/>
  <c r="E334" i="8"/>
  <c r="E371" i="8"/>
  <c r="E311" i="8"/>
  <c r="E342" i="8" s="1"/>
  <c r="E395" i="8"/>
  <c r="B407" i="8"/>
  <c r="B410" i="8" s="1"/>
  <c r="H340" i="8"/>
  <c r="H398" i="8"/>
  <c r="F339" i="8"/>
  <c r="F398" i="8"/>
  <c r="B241" i="8"/>
  <c r="B395" i="8"/>
  <c r="G339" i="8"/>
  <c r="G398" i="8"/>
  <c r="E320" i="8"/>
  <c r="E397" i="8"/>
  <c r="D340" i="8"/>
  <c r="D398" i="8"/>
  <c r="C322" i="8"/>
  <c r="C197" i="8"/>
  <c r="C326" i="8"/>
  <c r="C330" i="8"/>
  <c r="C321" i="8"/>
  <c r="C323" i="8"/>
  <c r="C320" i="8"/>
  <c r="C328" i="8"/>
  <c r="C325" i="8"/>
  <c r="C324" i="8"/>
  <c r="C329" i="8"/>
  <c r="C273" i="8"/>
  <c r="C331" i="8"/>
  <c r="C200" i="8"/>
  <c r="C211" i="8" s="1"/>
  <c r="C398" i="8" s="1"/>
  <c r="G207" i="8"/>
  <c r="G340" i="8"/>
  <c r="G212" i="8"/>
  <c r="D207" i="8"/>
  <c r="F207" i="8"/>
  <c r="D339" i="8"/>
  <c r="D212" i="8"/>
  <c r="H212" i="8"/>
  <c r="F212" i="8"/>
  <c r="H207" i="8"/>
  <c r="E322" i="8"/>
  <c r="H339" i="8"/>
  <c r="F340" i="8"/>
  <c r="E273" i="8"/>
  <c r="E200" i="8"/>
  <c r="E211" i="8" s="1"/>
  <c r="E330" i="8"/>
  <c r="E328" i="8"/>
  <c r="E326" i="8"/>
  <c r="E331" i="8"/>
  <c r="E329" i="8"/>
  <c r="E325" i="8"/>
  <c r="E323" i="8"/>
  <c r="B198" i="8"/>
  <c r="B397" i="8" s="1"/>
  <c r="K159" i="8"/>
  <c r="B311" i="8"/>
  <c r="B342" i="8" s="1"/>
  <c r="B371" i="8"/>
  <c r="B334" i="8"/>
  <c r="G182" i="8"/>
  <c r="Q183" i="8"/>
  <c r="E197" i="8"/>
  <c r="E321" i="8"/>
  <c r="B208" i="8"/>
  <c r="B181" i="8"/>
  <c r="K181" i="8" s="1"/>
  <c r="F135" i="1"/>
  <c r="E134" i="1" s="1"/>
  <c r="O134" i="1"/>
  <c r="AB134" i="1"/>
  <c r="K131" i="1"/>
  <c r="D213" i="8" l="1"/>
  <c r="D400" i="8" s="1"/>
  <c r="D399" i="8"/>
  <c r="F213" i="8"/>
  <c r="F400" i="8" s="1"/>
  <c r="F399" i="8"/>
  <c r="E340" i="8"/>
  <c r="E398" i="8"/>
  <c r="G213" i="8"/>
  <c r="G400" i="8" s="1"/>
  <c r="G399" i="8"/>
  <c r="H213" i="8"/>
  <c r="H400" i="8" s="1"/>
  <c r="H399" i="8"/>
  <c r="C340" i="8"/>
  <c r="C339" i="8"/>
  <c r="C212" i="8"/>
  <c r="C207" i="8"/>
  <c r="P182" i="8"/>
  <c r="G183" i="8"/>
  <c r="F182" i="8" s="1"/>
  <c r="E207" i="8"/>
  <c r="E339" i="8"/>
  <c r="E212" i="8"/>
  <c r="AC182" i="8"/>
  <c r="B197" i="8"/>
  <c r="B325" i="8"/>
  <c r="B330" i="8"/>
  <c r="B320" i="8"/>
  <c r="B328" i="8"/>
  <c r="B326" i="8"/>
  <c r="B329" i="8"/>
  <c r="B200" i="8"/>
  <c r="B211" i="8" s="1"/>
  <c r="B398" i="8" s="1"/>
  <c r="B273" i="8"/>
  <c r="B322" i="8"/>
  <c r="B321" i="8"/>
  <c r="B323" i="8"/>
  <c r="B324" i="8"/>
  <c r="O135" i="1"/>
  <c r="AB135" i="1"/>
  <c r="E213" i="8" l="1"/>
  <c r="E400" i="8" s="1"/>
  <c r="E399" i="8"/>
  <c r="C213" i="8"/>
  <c r="C400" i="8" s="1"/>
  <c r="C399" i="8"/>
  <c r="P183" i="8"/>
  <c r="AC183" i="8"/>
  <c r="O182" i="8"/>
  <c r="B340" i="8"/>
  <c r="B339" i="8"/>
  <c r="B207" i="8"/>
  <c r="E135" i="1"/>
  <c r="N134" i="1"/>
  <c r="AA134" i="1"/>
  <c r="F183" i="8" l="1"/>
  <c r="E182" i="8" s="1"/>
  <c r="N182" i="8" s="1"/>
  <c r="AB182" i="8"/>
  <c r="D134" i="1"/>
  <c r="N135" i="1"/>
  <c r="AA135" i="1"/>
  <c r="AB183" i="8" l="1"/>
  <c r="O183" i="8"/>
  <c r="AA182" i="8"/>
  <c r="E183" i="8"/>
  <c r="N183" i="8" s="1"/>
  <c r="D135" i="1"/>
  <c r="Z134" i="1"/>
  <c r="M134" i="1"/>
  <c r="D182" i="8" l="1"/>
  <c r="M182" i="8" s="1"/>
  <c r="AA183" i="8"/>
  <c r="C134" i="1"/>
  <c r="T134" i="1" s="1"/>
  <c r="Z135" i="1"/>
  <c r="M135" i="1"/>
  <c r="Z182" i="8" l="1"/>
  <c r="D183" i="8"/>
  <c r="M183" i="8" s="1"/>
  <c r="V134" i="1"/>
  <c r="C135" i="1"/>
  <c r="T135" i="1" s="1"/>
  <c r="Y134" i="1"/>
  <c r="L134" i="1"/>
  <c r="C182" i="8" l="1"/>
  <c r="L182" i="8" s="1"/>
  <c r="Z183" i="8"/>
  <c r="B134" i="1"/>
  <c r="B135" i="1" s="1"/>
  <c r="V135" i="1"/>
  <c r="Y135" i="1"/>
  <c r="L135" i="1"/>
  <c r="V182" i="8" l="1"/>
  <c r="Y182" i="8"/>
  <c r="C183" i="8"/>
  <c r="L183" i="8" s="1"/>
  <c r="U135" i="1"/>
  <c r="X135" i="1"/>
  <c r="W135" i="1" s="1"/>
  <c r="K135" i="1"/>
  <c r="U134" i="1"/>
  <c r="X134" i="1"/>
  <c r="W134" i="1" s="1"/>
  <c r="K134" i="1"/>
  <c r="Y183" i="8" l="1"/>
  <c r="B182" i="8"/>
  <c r="K182" i="8" s="1"/>
  <c r="V183" i="8"/>
  <c r="X182" i="8" l="1"/>
  <c r="W182" i="8" s="1"/>
  <c r="U182" i="8"/>
  <c r="B183" i="8"/>
  <c r="K183" i="8" s="1"/>
  <c r="X183" i="8" l="1"/>
  <c r="W183" i="8" s="1"/>
  <c r="U183" i="8"/>
  <c r="AA22" i="8" l="1"/>
  <c r="AB22" i="8"/>
  <c r="U22" i="8"/>
  <c r="V22" i="8"/>
  <c r="Y22" i="8"/>
  <c r="Z22" i="8"/>
  <c r="AC22" i="8"/>
  <c r="X22" i="8"/>
  <c r="W22" i="8" l="1"/>
  <c r="AG23" i="8" l="1"/>
  <c r="AJ23" i="8"/>
  <c r="AK23" i="8"/>
  <c r="AH23" i="8"/>
  <c r="AB28" i="8"/>
  <c r="X28" i="8"/>
  <c r="Y28" i="8"/>
  <c r="V28" i="8"/>
  <c r="U28" i="8"/>
  <c r="Z28" i="8"/>
  <c r="AA28" i="8"/>
  <c r="AC28" i="8"/>
  <c r="W28" i="8" l="1"/>
  <c r="AG33" i="8"/>
  <c r="AG42" i="8" s="1"/>
  <c r="AG43" i="8" s="1"/>
  <c r="AH33" i="8"/>
  <c r="AH42" i="8" s="1"/>
  <c r="AH43" i="8" s="1"/>
  <c r="AJ33" i="8"/>
  <c r="AJ42" i="8" s="1"/>
  <c r="AJ43" i="8" s="1"/>
  <c r="AK33" i="8"/>
  <c r="AK42" i="8" s="1"/>
  <c r="AK43" i="8" s="1"/>
  <c r="B42" i="8" l="1"/>
  <c r="X32" i="8" l="1"/>
  <c r="AB32" i="8"/>
  <c r="F33" i="8"/>
  <c r="C33" i="8"/>
  <c r="T33" i="8" s="1"/>
  <c r="Z32" i="8"/>
  <c r="D33" i="8"/>
  <c r="H33" i="8"/>
  <c r="AD33" i="8" s="1"/>
  <c r="G33" i="8"/>
  <c r="V32" i="8"/>
  <c r="U32" i="8"/>
  <c r="AC32" i="8"/>
  <c r="AA32" i="8"/>
  <c r="E33" i="8"/>
  <c r="Y32" i="8"/>
  <c r="E42" i="8" l="1"/>
  <c r="F42" i="8"/>
  <c r="G42" i="8"/>
  <c r="D42" i="8"/>
  <c r="Y33" i="8"/>
  <c r="X33" i="8"/>
  <c r="AB33" i="8"/>
  <c r="W32" i="8"/>
  <c r="Z33" i="8"/>
  <c r="C42" i="8"/>
  <c r="H42" i="8"/>
  <c r="V33" i="8"/>
  <c r="AC33" i="8"/>
  <c r="U33" i="8"/>
  <c r="AA33" i="8"/>
  <c r="AD42" i="8" l="1"/>
  <c r="AA42" i="8"/>
  <c r="T42" i="8"/>
  <c r="AB42" i="8"/>
  <c r="Z42" i="8"/>
  <c r="W33" i="8"/>
  <c r="Y42" i="8"/>
  <c r="X42" i="8"/>
  <c r="U42" i="8"/>
  <c r="V42" i="8"/>
  <c r="AC42" i="8"/>
  <c r="W42" i="8" l="1"/>
  <c r="B441" i="8" l="1"/>
  <c r="I441" i="8"/>
  <c r="I8" i="8" s="1"/>
  <c r="G441" i="8"/>
  <c r="G8" i="8" s="1"/>
  <c r="H441" i="8"/>
  <c r="E441" i="8"/>
  <c r="C441" i="8"/>
  <c r="C8" i="8" s="1"/>
  <c r="F441" i="8"/>
  <c r="F8" i="8" s="1"/>
  <c r="F11" i="8" s="1"/>
  <c r="D441" i="8"/>
  <c r="D8" i="8" s="1"/>
  <c r="V441" i="8" l="1"/>
  <c r="C266" i="8"/>
  <c r="C319" i="8"/>
  <c r="C253" i="8"/>
  <c r="Y441" i="8"/>
  <c r="G319" i="8"/>
  <c r="G253" i="8"/>
  <c r="G266" i="8"/>
  <c r="G11" i="8"/>
  <c r="D319" i="8"/>
  <c r="Z8" i="8"/>
  <c r="D266" i="8"/>
  <c r="D11" i="8"/>
  <c r="D253" i="8"/>
  <c r="I253" i="8"/>
  <c r="I319" i="8"/>
  <c r="I11" i="8"/>
  <c r="I266" i="8"/>
  <c r="T8" i="8"/>
  <c r="F251" i="8"/>
  <c r="F252" i="8"/>
  <c r="F250" i="8"/>
  <c r="F23" i="8"/>
  <c r="F256" i="8"/>
  <c r="F260" i="8" s="1"/>
  <c r="F262" i="8" s="1"/>
  <c r="F264" i="8" s="1"/>
  <c r="F319" i="8"/>
  <c r="F266" i="8"/>
  <c r="AB8" i="8"/>
  <c r="F224" i="8"/>
  <c r="F253" i="8"/>
  <c r="C256" i="8"/>
  <c r="C260" i="8" s="1"/>
  <c r="C262" i="8" s="1"/>
  <c r="C264" i="8" s="1"/>
  <c r="Z441" i="8"/>
  <c r="E8" i="8"/>
  <c r="D224" i="8" s="1"/>
  <c r="AC441" i="8"/>
  <c r="AB441" i="8"/>
  <c r="Y8" i="8"/>
  <c r="C224" i="8"/>
  <c r="B8" i="8"/>
  <c r="B319" i="8" s="1"/>
  <c r="U441" i="8"/>
  <c r="H8" i="8"/>
  <c r="AC8" i="8" s="1"/>
  <c r="C11" i="8"/>
  <c r="X441" i="8"/>
  <c r="AA441" i="8"/>
  <c r="O11" i="8" l="1"/>
  <c r="F413" i="8"/>
  <c r="O8" i="8"/>
  <c r="D239" i="8"/>
  <c r="D244" i="8"/>
  <c r="D238" i="8"/>
  <c r="D243" i="8"/>
  <c r="D228" i="8"/>
  <c r="G252" i="8"/>
  <c r="G23" i="8"/>
  <c r="AB23" i="8" s="1"/>
  <c r="G250" i="8"/>
  <c r="G251" i="8"/>
  <c r="I251" i="8"/>
  <c r="I250" i="8"/>
  <c r="I367" i="8" s="1"/>
  <c r="I23" i="8"/>
  <c r="I252" i="8"/>
  <c r="T11" i="8"/>
  <c r="O439" i="8"/>
  <c r="F288" i="8"/>
  <c r="O461" i="8"/>
  <c r="O475" i="8"/>
  <c r="O17" i="8"/>
  <c r="O479" i="8"/>
  <c r="O486" i="8"/>
  <c r="O445" i="8"/>
  <c r="O36" i="8"/>
  <c r="O26" i="8"/>
  <c r="O485" i="8"/>
  <c r="O459" i="8"/>
  <c r="O471" i="8"/>
  <c r="O34" i="8"/>
  <c r="O465" i="8"/>
  <c r="O447" i="8"/>
  <c r="O19" i="8"/>
  <c r="O458" i="8"/>
  <c r="O463" i="8"/>
  <c r="O460" i="8"/>
  <c r="O20" i="8"/>
  <c r="O38" i="8"/>
  <c r="O16" i="8"/>
  <c r="O31" i="8"/>
  <c r="O472" i="8"/>
  <c r="O440" i="8"/>
  <c r="O468" i="8"/>
  <c r="O449" i="8"/>
  <c r="O25" i="8"/>
  <c r="O469" i="8"/>
  <c r="O456" i="8"/>
  <c r="O39" i="8"/>
  <c r="O22" i="8"/>
  <c r="O484" i="8"/>
  <c r="O6" i="8"/>
  <c r="O450" i="8"/>
  <c r="O457" i="8"/>
  <c r="O446" i="8"/>
  <c r="O15" i="8"/>
  <c r="O41" i="8"/>
  <c r="O453" i="8"/>
  <c r="O42" i="8"/>
  <c r="O27" i="8"/>
  <c r="O40" i="8"/>
  <c r="O481" i="8"/>
  <c r="O23" i="8"/>
  <c r="F43" i="8"/>
  <c r="O443" i="8"/>
  <c r="O466" i="8"/>
  <c r="O452" i="8"/>
  <c r="O14" i="8"/>
  <c r="O33" i="8"/>
  <c r="O32" i="8"/>
  <c r="O9" i="8"/>
  <c r="O30" i="8"/>
  <c r="O21" i="8"/>
  <c r="O13" i="8"/>
  <c r="O37" i="8"/>
  <c r="O451" i="8"/>
  <c r="O480" i="8"/>
  <c r="O476" i="8"/>
  <c r="O462" i="8"/>
  <c r="O18" i="8"/>
  <c r="O12" i="8"/>
  <c r="O35" i="8"/>
  <c r="O28" i="8"/>
  <c r="O464" i="8"/>
  <c r="O10" i="8"/>
  <c r="O470" i="8"/>
  <c r="O444" i="8"/>
  <c r="O29" i="8"/>
  <c r="O441" i="8"/>
  <c r="C243" i="8"/>
  <c r="C244" i="8"/>
  <c r="C239" i="8"/>
  <c r="C238" i="8"/>
  <c r="C228" i="8"/>
  <c r="D256" i="8"/>
  <c r="D260" i="8" s="1"/>
  <c r="D262" i="8" s="1"/>
  <c r="D264" i="8" s="1"/>
  <c r="C250" i="8"/>
  <c r="C23" i="8"/>
  <c r="C413" i="8" s="1"/>
  <c r="Y11" i="8"/>
  <c r="C252" i="8"/>
  <c r="C251" i="8"/>
  <c r="H256" i="8"/>
  <c r="H260" i="8" s="1"/>
  <c r="H262" i="8" s="1"/>
  <c r="H264" i="8" s="1"/>
  <c r="U8" i="8"/>
  <c r="H253" i="8"/>
  <c r="V8" i="8"/>
  <c r="H266" i="8"/>
  <c r="H319" i="8"/>
  <c r="H11" i="8"/>
  <c r="AC11" i="8" s="1"/>
  <c r="H224" i="8"/>
  <c r="AD8" i="8"/>
  <c r="F243" i="8"/>
  <c r="F244" i="8"/>
  <c r="F238" i="8"/>
  <c r="F239" i="8"/>
  <c r="F228" i="8"/>
  <c r="E11" i="8"/>
  <c r="Z11" i="8" s="1"/>
  <c r="E319" i="8"/>
  <c r="E224" i="8"/>
  <c r="AA8" i="8"/>
  <c r="E266" i="8"/>
  <c r="E253" i="8"/>
  <c r="E256" i="8"/>
  <c r="E260" i="8" s="1"/>
  <c r="E262" i="8" s="1"/>
  <c r="E264" i="8" s="1"/>
  <c r="G224" i="8"/>
  <c r="B224" i="8"/>
  <c r="B11" i="8"/>
  <c r="B253" i="8"/>
  <c r="B266" i="8"/>
  <c r="X8" i="8"/>
  <c r="B256" i="8"/>
  <c r="B260" i="8" s="1"/>
  <c r="B262" i="8" s="1"/>
  <c r="B264" i="8" s="1"/>
  <c r="W441" i="8"/>
  <c r="AB11" i="8"/>
  <c r="D251" i="8"/>
  <c r="D250" i="8"/>
  <c r="D252" i="8"/>
  <c r="D23" i="8"/>
  <c r="G256" i="8"/>
  <c r="G260" i="8" s="1"/>
  <c r="G262" i="8" s="1"/>
  <c r="G264" i="8" s="1"/>
  <c r="F354" i="8" l="1"/>
  <c r="G413" i="8"/>
  <c r="M11" i="8"/>
  <c r="D413" i="8"/>
  <c r="R11" i="8"/>
  <c r="I413" i="8"/>
  <c r="F327" i="8"/>
  <c r="P11" i="8"/>
  <c r="W8" i="8"/>
  <c r="L439" i="8"/>
  <c r="L32" i="8"/>
  <c r="L21" i="8"/>
  <c r="C354" i="8"/>
  <c r="L480" i="8"/>
  <c r="L6" i="8"/>
  <c r="L466" i="8"/>
  <c r="L28" i="8"/>
  <c r="C327" i="8"/>
  <c r="L30" i="8"/>
  <c r="L20" i="8"/>
  <c r="L26" i="8"/>
  <c r="L453" i="8"/>
  <c r="L27" i="8"/>
  <c r="L22" i="8"/>
  <c r="C288" i="8"/>
  <c r="L462" i="8"/>
  <c r="L16" i="8"/>
  <c r="L17" i="8"/>
  <c r="L13" i="8"/>
  <c r="L18" i="8"/>
  <c r="L456" i="8"/>
  <c r="L484" i="8"/>
  <c r="L41" i="8"/>
  <c r="L465" i="8"/>
  <c r="L37" i="8"/>
  <c r="L446" i="8"/>
  <c r="L38" i="8"/>
  <c r="L29" i="8"/>
  <c r="L444" i="8"/>
  <c r="L23" i="8"/>
  <c r="L19" i="8"/>
  <c r="L476" i="8"/>
  <c r="L452" i="8"/>
  <c r="L445" i="8"/>
  <c r="L461" i="8"/>
  <c r="L450" i="8"/>
  <c r="L15" i="8"/>
  <c r="L31" i="8"/>
  <c r="L469" i="8"/>
  <c r="L34" i="8"/>
  <c r="L443" i="8"/>
  <c r="L485" i="8"/>
  <c r="L440" i="8"/>
  <c r="L471" i="8"/>
  <c r="L463" i="8"/>
  <c r="L459" i="8"/>
  <c r="L9" i="8"/>
  <c r="L481" i="8"/>
  <c r="L479" i="8"/>
  <c r="C355" i="8"/>
  <c r="C408" i="8" s="1"/>
  <c r="L458" i="8"/>
  <c r="L447" i="8"/>
  <c r="L470" i="8"/>
  <c r="L475" i="8"/>
  <c r="L14" i="8"/>
  <c r="L457" i="8"/>
  <c r="L486" i="8"/>
  <c r="L42" i="8"/>
  <c r="L449" i="8"/>
  <c r="L10" i="8"/>
  <c r="L468" i="8"/>
  <c r="L33" i="8"/>
  <c r="L35" i="8"/>
  <c r="L451" i="8"/>
  <c r="L36" i="8"/>
  <c r="L472" i="8"/>
  <c r="L40" i="8"/>
  <c r="Y23" i="8"/>
  <c r="C43" i="8"/>
  <c r="L39" i="8"/>
  <c r="L25" i="8"/>
  <c r="L12" i="8"/>
  <c r="L460" i="8"/>
  <c r="L464" i="8"/>
  <c r="L8" i="8"/>
  <c r="L441" i="8"/>
  <c r="F284" i="8"/>
  <c r="F295" i="8"/>
  <c r="F294" i="8"/>
  <c r="F291" i="8"/>
  <c r="F293" i="8"/>
  <c r="P439" i="8"/>
  <c r="P33" i="8"/>
  <c r="P456" i="8"/>
  <c r="P25" i="8"/>
  <c r="P23" i="8"/>
  <c r="P27" i="8"/>
  <c r="P10" i="8"/>
  <c r="P32" i="8"/>
  <c r="P447" i="8"/>
  <c r="P453" i="8"/>
  <c r="P20" i="8"/>
  <c r="P13" i="8"/>
  <c r="P41" i="8"/>
  <c r="P21" i="8"/>
  <c r="P28" i="8"/>
  <c r="P12" i="8"/>
  <c r="P463" i="8"/>
  <c r="P480" i="8"/>
  <c r="P35" i="8"/>
  <c r="P452" i="8"/>
  <c r="P471" i="8"/>
  <c r="P476" i="8"/>
  <c r="P462" i="8"/>
  <c r="P18" i="8"/>
  <c r="P31" i="8"/>
  <c r="P9" i="8"/>
  <c r="P440" i="8"/>
  <c r="P40" i="8"/>
  <c r="P39" i="8"/>
  <c r="P19" i="8"/>
  <c r="P485" i="8"/>
  <c r="P458" i="8"/>
  <c r="P466" i="8"/>
  <c r="P470" i="8"/>
  <c r="P486" i="8"/>
  <c r="P461" i="8"/>
  <c r="P34" i="8"/>
  <c r="P15" i="8"/>
  <c r="P449" i="8"/>
  <c r="P475" i="8"/>
  <c r="P465" i="8"/>
  <c r="P26" i="8"/>
  <c r="P22" i="8"/>
  <c r="P37" i="8"/>
  <c r="P484" i="8"/>
  <c r="P459" i="8"/>
  <c r="P464" i="8"/>
  <c r="P451" i="8"/>
  <c r="P6" i="8"/>
  <c r="P450" i="8"/>
  <c r="P29" i="8"/>
  <c r="P30" i="8"/>
  <c r="P445" i="8"/>
  <c r="P460" i="8"/>
  <c r="P42" i="8"/>
  <c r="P446" i="8"/>
  <c r="P481" i="8"/>
  <c r="P469" i="8"/>
  <c r="P472" i="8"/>
  <c r="P36" i="8"/>
  <c r="G43" i="8"/>
  <c r="P38" i="8"/>
  <c r="P17" i="8"/>
  <c r="P443" i="8"/>
  <c r="P479" i="8"/>
  <c r="G288" i="8"/>
  <c r="P468" i="8"/>
  <c r="P441" i="8"/>
  <c r="P14" i="8"/>
  <c r="P457" i="8"/>
  <c r="P444" i="8"/>
  <c r="P16" i="8"/>
  <c r="P8" i="8"/>
  <c r="H239" i="8"/>
  <c r="H244" i="8"/>
  <c r="H243" i="8"/>
  <c r="H238" i="8"/>
  <c r="H228" i="8"/>
  <c r="L11" i="8"/>
  <c r="E239" i="8"/>
  <c r="E238" i="8"/>
  <c r="E243" i="8"/>
  <c r="E228" i="8"/>
  <c r="E244" i="8"/>
  <c r="V11" i="8"/>
  <c r="H251" i="8"/>
  <c r="H250" i="8"/>
  <c r="H367" i="8" s="1"/>
  <c r="H252" i="8"/>
  <c r="H23" i="8"/>
  <c r="H413" i="8" s="1"/>
  <c r="AD11" i="8"/>
  <c r="U11" i="8"/>
  <c r="C367" i="8"/>
  <c r="B239" i="8"/>
  <c r="B244" i="8"/>
  <c r="B243" i="8"/>
  <c r="B228" i="8"/>
  <c r="B238" i="8"/>
  <c r="F367" i="8"/>
  <c r="B250" i="8"/>
  <c r="B367" i="8" s="1"/>
  <c r="B23" i="8"/>
  <c r="B252" i="8"/>
  <c r="B251" i="8"/>
  <c r="X11" i="8"/>
  <c r="F355" i="8"/>
  <c r="F408" i="8" s="1"/>
  <c r="R10" i="8"/>
  <c r="R14" i="8"/>
  <c r="R34" i="8"/>
  <c r="T23" i="8"/>
  <c r="R35" i="8"/>
  <c r="R37" i="8"/>
  <c r="R19" i="8"/>
  <c r="R12" i="8"/>
  <c r="R16" i="8"/>
  <c r="R33" i="8"/>
  <c r="R38" i="8"/>
  <c r="R40" i="8"/>
  <c r="I43" i="8"/>
  <c r="R18" i="8"/>
  <c r="R9" i="8"/>
  <c r="R20" i="8"/>
  <c r="R39" i="8"/>
  <c r="I288" i="8"/>
  <c r="R13" i="8"/>
  <c r="R29" i="8"/>
  <c r="R25" i="8"/>
  <c r="R26" i="8"/>
  <c r="R27" i="8"/>
  <c r="R22" i="8"/>
  <c r="R15" i="8"/>
  <c r="R28" i="8"/>
  <c r="R17" i="8"/>
  <c r="R23" i="8"/>
  <c r="R31" i="8"/>
  <c r="R30" i="8"/>
  <c r="R6" i="8"/>
  <c r="R21" i="8"/>
  <c r="R41" i="8"/>
  <c r="R32" i="8"/>
  <c r="R36" i="8"/>
  <c r="R42" i="8"/>
  <c r="R8" i="8"/>
  <c r="G238" i="8"/>
  <c r="G239" i="8"/>
  <c r="G243" i="8"/>
  <c r="G228" i="8"/>
  <c r="G244" i="8"/>
  <c r="M439" i="8"/>
  <c r="M28" i="8"/>
  <c r="M22" i="8"/>
  <c r="M457" i="8"/>
  <c r="M23" i="8"/>
  <c r="M468" i="8"/>
  <c r="M452" i="8"/>
  <c r="M469" i="8"/>
  <c r="M475" i="8"/>
  <c r="M472" i="8"/>
  <c r="M25" i="8"/>
  <c r="M466" i="8"/>
  <c r="M19" i="8"/>
  <c r="M31" i="8"/>
  <c r="M38" i="8"/>
  <c r="M461" i="8"/>
  <c r="M6" i="8"/>
  <c r="M9" i="8"/>
  <c r="M27" i="8"/>
  <c r="M18" i="8"/>
  <c r="M35" i="8"/>
  <c r="M37" i="8"/>
  <c r="M36" i="8"/>
  <c r="M42" i="8"/>
  <c r="M476" i="8"/>
  <c r="M486" i="8"/>
  <c r="M34" i="8"/>
  <c r="M14" i="8"/>
  <c r="M15" i="8"/>
  <c r="M481" i="8"/>
  <c r="M13" i="8"/>
  <c r="D288" i="8"/>
  <c r="M463" i="8"/>
  <c r="M451" i="8"/>
  <c r="M39" i="8"/>
  <c r="M470" i="8"/>
  <c r="M445" i="8"/>
  <c r="M450" i="8"/>
  <c r="M459" i="8"/>
  <c r="M444" i="8"/>
  <c r="M480" i="8"/>
  <c r="M30" i="8"/>
  <c r="M21" i="8"/>
  <c r="M40" i="8"/>
  <c r="M447" i="8"/>
  <c r="M465" i="8"/>
  <c r="M462" i="8"/>
  <c r="M16" i="8"/>
  <c r="M443" i="8"/>
  <c r="M471" i="8"/>
  <c r="M485" i="8"/>
  <c r="M484" i="8"/>
  <c r="M26" i="8"/>
  <c r="D43" i="8"/>
  <c r="M456" i="8"/>
  <c r="M41" i="8"/>
  <c r="M453" i="8"/>
  <c r="M458" i="8"/>
  <c r="M449" i="8"/>
  <c r="M32" i="8"/>
  <c r="M440" i="8"/>
  <c r="M479" i="8"/>
  <c r="M10" i="8"/>
  <c r="M464" i="8"/>
  <c r="M12" i="8"/>
  <c r="M20" i="8"/>
  <c r="M29" i="8"/>
  <c r="M446" i="8"/>
  <c r="M17" i="8"/>
  <c r="M460" i="8"/>
  <c r="M33" i="8"/>
  <c r="M441" i="8"/>
  <c r="M8" i="8"/>
  <c r="E23" i="8"/>
  <c r="AA11" i="8"/>
  <c r="E252" i="8"/>
  <c r="E251" i="8"/>
  <c r="E250" i="8"/>
  <c r="E367" i="8" s="1"/>
  <c r="O43" i="8"/>
  <c r="K11" i="8" l="1"/>
  <c r="B413" i="8"/>
  <c r="D354" i="8"/>
  <c r="E413" i="8"/>
  <c r="D327" i="8"/>
  <c r="P43" i="8"/>
  <c r="N11" i="8"/>
  <c r="M43" i="8"/>
  <c r="G284" i="8"/>
  <c r="G294" i="8"/>
  <c r="G295" i="8"/>
  <c r="G291" i="8"/>
  <c r="G293" i="8"/>
  <c r="Q439" i="8"/>
  <c r="Q16" i="8"/>
  <c r="Q461" i="8"/>
  <c r="Q447" i="8"/>
  <c r="Q484" i="8"/>
  <c r="Q35" i="8"/>
  <c r="Q444" i="8"/>
  <c r="Q25" i="8"/>
  <c r="Q459" i="8"/>
  <c r="Q469" i="8"/>
  <c r="Q445" i="8"/>
  <c r="Q14" i="8"/>
  <c r="Q457" i="8"/>
  <c r="Q485" i="8"/>
  <c r="Q453" i="8"/>
  <c r="Q23" i="8"/>
  <c r="Q10" i="8"/>
  <c r="Q30" i="8"/>
  <c r="Q21" i="8"/>
  <c r="Q19" i="8"/>
  <c r="Q29" i="8"/>
  <c r="Q486" i="8"/>
  <c r="Q6" i="8"/>
  <c r="Q443" i="8"/>
  <c r="Q460" i="8"/>
  <c r="Q41" i="8"/>
  <c r="Q26" i="8"/>
  <c r="Q22" i="8"/>
  <c r="AD23" i="8"/>
  <c r="Q470" i="8"/>
  <c r="Q37" i="8"/>
  <c r="Q479" i="8"/>
  <c r="H327" i="8"/>
  <c r="Q18" i="8"/>
  <c r="H43" i="8"/>
  <c r="Q440" i="8"/>
  <c r="Q17" i="8"/>
  <c r="Q466" i="8"/>
  <c r="Q20" i="8"/>
  <c r="Q40" i="8"/>
  <c r="Q28" i="8"/>
  <c r="H355" i="8"/>
  <c r="H408" i="8" s="1"/>
  <c r="Q33" i="8"/>
  <c r="Q465" i="8"/>
  <c r="Q456" i="8"/>
  <c r="Q451" i="8"/>
  <c r="V23" i="8"/>
  <c r="Q481" i="8"/>
  <c r="Q468" i="8"/>
  <c r="Q450" i="8"/>
  <c r="Q34" i="8"/>
  <c r="H288" i="8"/>
  <c r="Q32" i="8"/>
  <c r="Q9" i="8"/>
  <c r="U23" i="8"/>
  <c r="Q476" i="8"/>
  <c r="Q27" i="8"/>
  <c r="Q449" i="8"/>
  <c r="Q480" i="8"/>
  <c r="Q462" i="8"/>
  <c r="Q471" i="8"/>
  <c r="Q12" i="8"/>
  <c r="Q15" i="8"/>
  <c r="Q42" i="8"/>
  <c r="Q446" i="8"/>
  <c r="Q475" i="8"/>
  <c r="Q31" i="8"/>
  <c r="Q38" i="8"/>
  <c r="Q13" i="8"/>
  <c r="Q452" i="8"/>
  <c r="Q463" i="8"/>
  <c r="Q458" i="8"/>
  <c r="Q472" i="8"/>
  <c r="H354" i="8"/>
  <c r="Q39" i="8"/>
  <c r="Q464" i="8"/>
  <c r="Q36" i="8"/>
  <c r="Q441" i="8"/>
  <c r="Q8" i="8"/>
  <c r="F292" i="8"/>
  <c r="F296" i="8" s="1"/>
  <c r="F282" i="8"/>
  <c r="F290" i="8" s="1"/>
  <c r="G327" i="8"/>
  <c r="C294" i="8"/>
  <c r="C284" i="8"/>
  <c r="C295" i="8"/>
  <c r="C293" i="8"/>
  <c r="C291" i="8"/>
  <c r="C307" i="8"/>
  <c r="C356" i="8" s="1"/>
  <c r="I295" i="8"/>
  <c r="I294" i="8"/>
  <c r="I291" i="8"/>
  <c r="I293" i="8"/>
  <c r="I284" i="8"/>
  <c r="G355" i="8"/>
  <c r="G408" i="8" s="1"/>
  <c r="N439" i="8"/>
  <c r="N20" i="8"/>
  <c r="N15" i="8"/>
  <c r="N17" i="8"/>
  <c r="N463" i="8"/>
  <c r="N465" i="8"/>
  <c r="N485" i="8"/>
  <c r="N25" i="8"/>
  <c r="N440" i="8"/>
  <c r="AA23" i="8"/>
  <c r="N37" i="8"/>
  <c r="N475" i="8"/>
  <c r="N40" i="8"/>
  <c r="N26" i="8"/>
  <c r="N36" i="8"/>
  <c r="N39" i="8"/>
  <c r="N486" i="8"/>
  <c r="N444" i="8"/>
  <c r="N479" i="8"/>
  <c r="N445" i="8"/>
  <c r="N480" i="8"/>
  <c r="E355" i="8"/>
  <c r="E408" i="8" s="1"/>
  <c r="E288" i="8"/>
  <c r="D307" i="8" s="1"/>
  <c r="D356" i="8" s="1"/>
  <c r="N42" i="8"/>
  <c r="N468" i="8"/>
  <c r="N461" i="8"/>
  <c r="N470" i="8"/>
  <c r="E327" i="8"/>
  <c r="N22" i="8"/>
  <c r="N460" i="8"/>
  <c r="N33" i="8"/>
  <c r="N459" i="8"/>
  <c r="N464" i="8"/>
  <c r="N35" i="8"/>
  <c r="N447" i="8"/>
  <c r="N453" i="8"/>
  <c r="N13" i="8"/>
  <c r="E43" i="8"/>
  <c r="N443" i="8"/>
  <c r="N466" i="8"/>
  <c r="N27" i="8"/>
  <c r="N456" i="8"/>
  <c r="E354" i="8"/>
  <c r="N32" i="8"/>
  <c r="N10" i="8"/>
  <c r="N6" i="8"/>
  <c r="N14" i="8"/>
  <c r="N16" i="8"/>
  <c r="N23" i="8"/>
  <c r="N450" i="8"/>
  <c r="N28" i="8"/>
  <c r="N31" i="8"/>
  <c r="N30" i="8"/>
  <c r="N446" i="8"/>
  <c r="N484" i="8"/>
  <c r="N41" i="8"/>
  <c r="N462" i="8"/>
  <c r="N21" i="8"/>
  <c r="N18" i="8"/>
  <c r="N471" i="8"/>
  <c r="N449" i="8"/>
  <c r="N472" i="8"/>
  <c r="N451" i="8"/>
  <c r="N457" i="8"/>
  <c r="N469" i="8"/>
  <c r="N34" i="8"/>
  <c r="N12" i="8"/>
  <c r="N458" i="8"/>
  <c r="N476" i="8"/>
  <c r="N19" i="8"/>
  <c r="N452" i="8"/>
  <c r="N481" i="8"/>
  <c r="N29" i="8"/>
  <c r="N9" i="8"/>
  <c r="N38" i="8"/>
  <c r="N441" i="8"/>
  <c r="N8" i="8"/>
  <c r="R43" i="8"/>
  <c r="G354" i="8"/>
  <c r="K439" i="8"/>
  <c r="K458" i="8"/>
  <c r="K453" i="8"/>
  <c r="K457" i="8"/>
  <c r="K475" i="8"/>
  <c r="K9" i="8"/>
  <c r="K10" i="8"/>
  <c r="K35" i="8"/>
  <c r="K39" i="8"/>
  <c r="K14" i="8"/>
  <c r="K463" i="8"/>
  <c r="K484" i="8"/>
  <c r="K15" i="8"/>
  <c r="K445" i="8"/>
  <c r="B288" i="8"/>
  <c r="K476" i="8"/>
  <c r="K460" i="8"/>
  <c r="K22" i="8"/>
  <c r="K36" i="8"/>
  <c r="K456" i="8"/>
  <c r="K31" i="8"/>
  <c r="K466" i="8"/>
  <c r="K16" i="8"/>
  <c r="K447" i="8"/>
  <c r="K464" i="8"/>
  <c r="K443" i="8"/>
  <c r="K27" i="8"/>
  <c r="K459" i="8"/>
  <c r="K42" i="8"/>
  <c r="K13" i="8"/>
  <c r="K19" i="8"/>
  <c r="K451" i="8"/>
  <c r="K40" i="8"/>
  <c r="K471" i="8"/>
  <c r="K21" i="8"/>
  <c r="K446" i="8"/>
  <c r="K41" i="8"/>
  <c r="B43" i="8"/>
  <c r="K481" i="8"/>
  <c r="K470" i="8"/>
  <c r="K485" i="8"/>
  <c r="K38" i="8"/>
  <c r="K18" i="8"/>
  <c r="K28" i="8"/>
  <c r="K462" i="8"/>
  <c r="X23" i="8"/>
  <c r="K32" i="8"/>
  <c r="K449" i="8"/>
  <c r="K465" i="8"/>
  <c r="K469" i="8"/>
  <c r="K473" i="8"/>
  <c r="K33" i="8"/>
  <c r="K479" i="8"/>
  <c r="K17" i="8"/>
  <c r="I368" i="8" s="1"/>
  <c r="K486" i="8"/>
  <c r="K480" i="8"/>
  <c r="K29" i="8"/>
  <c r="B327" i="8"/>
  <c r="K472" i="8"/>
  <c r="K468" i="8"/>
  <c r="K452" i="8"/>
  <c r="K461" i="8"/>
  <c r="K26" i="8"/>
  <c r="K34" i="8"/>
  <c r="K450" i="8"/>
  <c r="K444" i="8"/>
  <c r="K20" i="8"/>
  <c r="K25" i="8"/>
  <c r="K23" i="8"/>
  <c r="I327" i="8" s="1"/>
  <c r="K440" i="8"/>
  <c r="B355" i="8"/>
  <c r="B408" i="8" s="1"/>
  <c r="K6" i="8"/>
  <c r="B354" i="8"/>
  <c r="K30" i="8"/>
  <c r="K12" i="8"/>
  <c r="K37" i="8"/>
  <c r="K441" i="8"/>
  <c r="K8" i="8"/>
  <c r="D355" i="8"/>
  <c r="D408" i="8" s="1"/>
  <c r="AC23" i="8"/>
  <c r="W11" i="8"/>
  <c r="G367" i="8"/>
  <c r="D294" i="8"/>
  <c r="D291" i="8"/>
  <c r="D295" i="8"/>
  <c r="D284" i="8"/>
  <c r="D293" i="8"/>
  <c r="Z23" i="8"/>
  <c r="Q11" i="8"/>
  <c r="F307" i="8"/>
  <c r="F356" i="8" s="1"/>
  <c r="L43" i="8"/>
  <c r="D367" i="8"/>
  <c r="W23" i="8" l="1"/>
  <c r="N43" i="8"/>
  <c r="I328" i="8"/>
  <c r="I338" i="8"/>
  <c r="C292" i="8"/>
  <c r="C296" i="8" s="1"/>
  <c r="C282" i="8"/>
  <c r="C290" i="8" s="1"/>
  <c r="Q43" i="8"/>
  <c r="H284" i="8"/>
  <c r="H294" i="8"/>
  <c r="H293" i="8"/>
  <c r="H291" i="8"/>
  <c r="H295" i="8"/>
  <c r="H307" i="8"/>
  <c r="H356" i="8" s="1"/>
  <c r="K43" i="8"/>
  <c r="E293" i="8"/>
  <c r="E307" i="8"/>
  <c r="E356" i="8" s="1"/>
  <c r="E294" i="8"/>
  <c r="E284" i="8"/>
  <c r="E295" i="8"/>
  <c r="E291" i="8"/>
  <c r="I292" i="8"/>
  <c r="I296" i="8" s="1"/>
  <c r="I282" i="8"/>
  <c r="I290" i="8" s="1"/>
  <c r="G307" i="8"/>
  <c r="G356" i="8" s="1"/>
  <c r="D292" i="8"/>
  <c r="D296" i="8" s="1"/>
  <c r="D282" i="8"/>
  <c r="D290" i="8" s="1"/>
  <c r="B291" i="8"/>
  <c r="B307" i="8"/>
  <c r="B356" i="8" s="1"/>
  <c r="B284" i="8"/>
  <c r="B294" i="8"/>
  <c r="B293" i="8"/>
  <c r="B295" i="8"/>
  <c r="G282" i="8"/>
  <c r="G290" i="8" s="1"/>
  <c r="G292" i="8"/>
  <c r="G296" i="8" s="1"/>
  <c r="H282" i="8" l="1"/>
  <c r="H290" i="8" s="1"/>
  <c r="H292" i="8"/>
  <c r="H296" i="8" s="1"/>
  <c r="E292" i="8"/>
  <c r="E296" i="8" s="1"/>
  <c r="E282" i="8"/>
  <c r="E290" i="8" s="1"/>
  <c r="B292" i="8"/>
  <c r="B296" i="8" s="1"/>
  <c r="B282" i="8"/>
  <c r="B290" i="8" s="1"/>
  <c r="B212" i="8" l="1"/>
  <c r="B399" i="8" s="1"/>
  <c r="B336" i="8"/>
  <c r="B154" i="8"/>
  <c r="B310" i="8" l="1"/>
  <c r="K185" i="8"/>
  <c r="B158" i="8"/>
  <c r="B213" i="8"/>
  <c r="B400" i="8" s="1"/>
  <c r="B271" i="16"/>
  <c r="B275" i="16" s="1"/>
  <c r="F271" i="16"/>
  <c r="F275" i="16" s="1"/>
  <c r="B152" i="16"/>
  <c r="B257" i="16"/>
  <c r="B261" i="16" s="1"/>
  <c r="X58" i="16"/>
  <c r="G257" i="16"/>
  <c r="G261" i="16" s="1"/>
  <c r="C82" i="16"/>
  <c r="C84" i="16" s="1"/>
  <c r="D257" i="16"/>
  <c r="D261" i="16" s="1"/>
  <c r="H257" i="16"/>
  <c r="H261" i="16" s="1"/>
  <c r="H272" i="16"/>
  <c r="H259" i="16" s="1"/>
  <c r="H264" i="16" s="1"/>
  <c r="D153" i="16"/>
  <c r="E271" i="16"/>
  <c r="E275" i="16" s="1"/>
  <c r="X57" i="16"/>
  <c r="E82" i="16"/>
  <c r="E84" i="16" s="1"/>
  <c r="E353" i="16" s="1"/>
  <c r="F82" i="16"/>
  <c r="F84" i="16" s="1"/>
  <c r="H82" i="16"/>
  <c r="G152" i="16"/>
  <c r="C257" i="16"/>
  <c r="C261" i="16" s="1"/>
  <c r="F257" i="16"/>
  <c r="F261" i="16" s="1"/>
  <c r="H271" i="16"/>
  <c r="H275" i="16" s="1"/>
  <c r="E152" i="16"/>
  <c r="D78" i="16"/>
  <c r="X63" i="16"/>
  <c r="C152" i="16"/>
  <c r="D152" i="16"/>
  <c r="D272" i="16"/>
  <c r="D259" i="16" s="1"/>
  <c r="D264" i="16" s="1"/>
  <c r="G271" i="16"/>
  <c r="G275" i="16" s="1"/>
  <c r="X67" i="16"/>
  <c r="I152" i="16"/>
  <c r="G82" i="16"/>
  <c r="G84" i="16" s="1"/>
  <c r="I271" i="16"/>
  <c r="I275" i="16" s="1"/>
  <c r="D224" i="16"/>
  <c r="X56" i="16"/>
  <c r="G126" i="16"/>
  <c r="G143" i="16" s="1"/>
  <c r="D271" i="16"/>
  <c r="D275" i="16" s="1"/>
  <c r="E257" i="16"/>
  <c r="E261" i="16" s="1"/>
  <c r="E272" i="16"/>
  <c r="E269" i="16" s="1"/>
  <c r="D82" i="16"/>
  <c r="D84" i="16" s="1"/>
  <c r="I153" i="16"/>
  <c r="I273" i="16" s="1"/>
  <c r="H152" i="16"/>
  <c r="C272" i="16"/>
  <c r="C276" i="16" s="1"/>
  <c r="I82" i="16"/>
  <c r="F152" i="16"/>
  <c r="H126" i="16"/>
  <c r="X55" i="16"/>
  <c r="G85" i="16"/>
  <c r="G227" i="16" s="1"/>
  <c r="C85" i="16"/>
  <c r="C227" i="16" s="1"/>
  <c r="F78" i="16"/>
  <c r="F387" i="16" s="1"/>
  <c r="F391" i="16" s="1"/>
  <c r="H78" i="16"/>
  <c r="H387" i="16" s="1"/>
  <c r="H360" i="16"/>
  <c r="D85" i="16"/>
  <c r="D227" i="16" s="1"/>
  <c r="F126" i="16"/>
  <c r="F143" i="16" s="1"/>
  <c r="F197" i="16" s="1"/>
  <c r="I126" i="16"/>
  <c r="C271" i="16"/>
  <c r="C275" i="16" s="1"/>
  <c r="G78" i="16"/>
  <c r="G387" i="16" s="1"/>
  <c r="H258" i="16"/>
  <c r="H262" i="16" s="1"/>
  <c r="G360" i="16"/>
  <c r="V55" i="16"/>
  <c r="D424" i="16" s="1"/>
  <c r="H424" i="16" s="1"/>
  <c r="C258" i="16"/>
  <c r="C262" i="16" s="1"/>
  <c r="D126" i="16"/>
  <c r="F272" i="16"/>
  <c r="F276" i="16" s="1"/>
  <c r="G272" i="16"/>
  <c r="G259" i="16" s="1"/>
  <c r="G264" i="16" s="1"/>
  <c r="B272" i="16"/>
  <c r="B276" i="16" s="1"/>
  <c r="C78" i="16"/>
  <c r="C387" i="16" s="1"/>
  <c r="C406" i="16" s="1"/>
  <c r="C407" i="16" s="1"/>
  <c r="I78" i="16"/>
  <c r="I387" i="16" s="1"/>
  <c r="C153" i="16"/>
  <c r="D360" i="16"/>
  <c r="I272" i="16"/>
  <c r="I269" i="16" s="1"/>
  <c r="E78" i="16"/>
  <c r="C126" i="16"/>
  <c r="F360" i="16"/>
  <c r="E153" i="16"/>
  <c r="E273" i="16" s="1"/>
  <c r="D258" i="16"/>
  <c r="D262" i="16" s="1"/>
  <c r="T55" i="16"/>
  <c r="B424" i="16" s="1"/>
  <c r="F424" i="16" s="1"/>
  <c r="E126" i="16"/>
  <c r="B267" i="16"/>
  <c r="B394" i="16"/>
  <c r="B368" i="16"/>
  <c r="B355" i="16"/>
  <c r="K55" i="16"/>
  <c r="B369" i="16"/>
  <c r="B195" i="16"/>
  <c r="O59" i="16"/>
  <c r="C228" i="16"/>
  <c r="Y58" i="16"/>
  <c r="L58" i="16"/>
  <c r="P73" i="16"/>
  <c r="D267" i="16"/>
  <c r="D355" i="16"/>
  <c r="D369" i="16"/>
  <c r="D368" i="16"/>
  <c r="M55" i="16"/>
  <c r="Z55" i="16"/>
  <c r="D195" i="16"/>
  <c r="D394" i="16"/>
  <c r="V56" i="16"/>
  <c r="U56" i="16"/>
  <c r="H268" i="16"/>
  <c r="H320" i="16"/>
  <c r="AD56" i="16"/>
  <c r="Q56" i="16"/>
  <c r="H153" i="16"/>
  <c r="H273" i="16" s="1"/>
  <c r="D228" i="16"/>
  <c r="Z58" i="16"/>
  <c r="M58" i="16"/>
  <c r="Q59" i="16"/>
  <c r="M61" i="16"/>
  <c r="Z61" i="16"/>
  <c r="M63" i="16"/>
  <c r="Z63" i="16"/>
  <c r="AD64" i="16"/>
  <c r="V64" i="16"/>
  <c r="H85" i="16"/>
  <c r="U64" i="16"/>
  <c r="Q64" i="16"/>
  <c r="M66" i="16"/>
  <c r="AD67" i="16"/>
  <c r="Q67" i="16"/>
  <c r="U67" i="16"/>
  <c r="V67" i="16"/>
  <c r="M69" i="16"/>
  <c r="D366" i="16"/>
  <c r="V70" i="16"/>
  <c r="Q70" i="16"/>
  <c r="AD70" i="16"/>
  <c r="Z72" i="16"/>
  <c r="M72" i="16"/>
  <c r="Q73" i="16"/>
  <c r="F320" i="16"/>
  <c r="F268" i="16"/>
  <c r="F258" i="16"/>
  <c r="F262" i="16" s="1"/>
  <c r="F153" i="16"/>
  <c r="F273" i="16" s="1"/>
  <c r="O56" i="16"/>
  <c r="AB56" i="16"/>
  <c r="L72" i="16"/>
  <c r="C224" i="16"/>
  <c r="Y72" i="16"/>
  <c r="N55" i="16"/>
  <c r="AA55" i="16"/>
  <c r="E195" i="16"/>
  <c r="E267" i="16"/>
  <c r="E394" i="16"/>
  <c r="E369" i="16"/>
  <c r="E368" i="16"/>
  <c r="E355" i="16"/>
  <c r="T56" i="16"/>
  <c r="R56" i="16"/>
  <c r="I268" i="16"/>
  <c r="I320" i="16"/>
  <c r="E224" i="16"/>
  <c r="E228" i="16"/>
  <c r="AA58" i="16"/>
  <c r="N58" i="16"/>
  <c r="R59" i="16"/>
  <c r="N61" i="16"/>
  <c r="AA61" i="16"/>
  <c r="N63" i="16"/>
  <c r="AA63" i="16"/>
  <c r="I85" i="16"/>
  <c r="T85" i="16" s="1"/>
  <c r="R64" i="16"/>
  <c r="T64" i="16"/>
  <c r="N66" i="16"/>
  <c r="T67" i="16"/>
  <c r="R67" i="16"/>
  <c r="N69" i="16"/>
  <c r="E366" i="16"/>
  <c r="T70" i="16"/>
  <c r="R70" i="16"/>
  <c r="AA72" i="16"/>
  <c r="N72" i="16"/>
  <c r="R73" i="16"/>
  <c r="F85" i="16"/>
  <c r="F227" i="16" s="1"/>
  <c r="O64" i="16"/>
  <c r="AB64" i="16"/>
  <c r="AC70" i="16"/>
  <c r="P70" i="16"/>
  <c r="AB55" i="16"/>
  <c r="F195" i="16"/>
  <c r="O55" i="16"/>
  <c r="F394" i="16"/>
  <c r="F267" i="16"/>
  <c r="F369" i="16"/>
  <c r="F368" i="16"/>
  <c r="F355" i="16"/>
  <c r="B360" i="16"/>
  <c r="K57" i="16"/>
  <c r="O58" i="16"/>
  <c r="AB58" i="16"/>
  <c r="F224" i="16"/>
  <c r="F228" i="16"/>
  <c r="K60" i="16"/>
  <c r="AB61" i="16"/>
  <c r="O61" i="16"/>
  <c r="O63" i="16"/>
  <c r="AB63" i="16"/>
  <c r="K65" i="16"/>
  <c r="O66" i="16"/>
  <c r="O69" i="16"/>
  <c r="F366" i="16"/>
  <c r="K71" i="16"/>
  <c r="AB72" i="16"/>
  <c r="O72" i="16"/>
  <c r="K63" i="16"/>
  <c r="L69" i="16"/>
  <c r="C366" i="16"/>
  <c r="G369" i="16"/>
  <c r="G355" i="16"/>
  <c r="AC55" i="16"/>
  <c r="G195" i="16"/>
  <c r="P55" i="16"/>
  <c r="G368" i="16"/>
  <c r="G267" i="16"/>
  <c r="G394" i="16"/>
  <c r="L57" i="16"/>
  <c r="Y57" i="16"/>
  <c r="AC58" i="16"/>
  <c r="P58" i="16"/>
  <c r="G224" i="16"/>
  <c r="G228" i="16"/>
  <c r="L60" i="16"/>
  <c r="AC61" i="16"/>
  <c r="P61" i="16"/>
  <c r="Y62" i="16"/>
  <c r="L62" i="16"/>
  <c r="C360" i="16"/>
  <c r="C361" i="16"/>
  <c r="C350" i="16"/>
  <c r="AC63" i="16"/>
  <c r="P63" i="16"/>
  <c r="L65" i="16"/>
  <c r="P66" i="16"/>
  <c r="Y68" i="16"/>
  <c r="C352" i="16"/>
  <c r="L68" i="16"/>
  <c r="P69" i="16"/>
  <c r="G366" i="16"/>
  <c r="L71" i="16"/>
  <c r="AC72" i="16"/>
  <c r="P72" i="16"/>
  <c r="C363" i="16"/>
  <c r="C354" i="16"/>
  <c r="C356" i="16"/>
  <c r="C358" i="16"/>
  <c r="L74" i="16"/>
  <c r="Y74" i="16"/>
  <c r="AB67" i="16"/>
  <c r="O67" i="16"/>
  <c r="L61" i="16"/>
  <c r="Y61" i="16"/>
  <c r="L66" i="16"/>
  <c r="H355" i="16"/>
  <c r="H369" i="16"/>
  <c r="H368" i="16"/>
  <c r="H195" i="16"/>
  <c r="Q55" i="16"/>
  <c r="AD55" i="16"/>
  <c r="H267" i="16"/>
  <c r="U55" i="16"/>
  <c r="C424" i="16" s="1"/>
  <c r="H394" i="16"/>
  <c r="M57" i="16"/>
  <c r="Z57" i="16"/>
  <c r="H224" i="16"/>
  <c r="H228" i="16"/>
  <c r="Q58" i="16"/>
  <c r="U58" i="16"/>
  <c r="AD58" i="16"/>
  <c r="V58" i="16"/>
  <c r="M60" i="16"/>
  <c r="AD61" i="16"/>
  <c r="Q61" i="16"/>
  <c r="V61" i="16"/>
  <c r="U61" i="16"/>
  <c r="M62" i="16"/>
  <c r="D361" i="16"/>
  <c r="Z62" i="16"/>
  <c r="D350" i="16"/>
  <c r="V63" i="16"/>
  <c r="Q63" i="16"/>
  <c r="AD63" i="16"/>
  <c r="U63" i="16"/>
  <c r="M65" i="16"/>
  <c r="Q66" i="16"/>
  <c r="Z68" i="16"/>
  <c r="M68" i="16"/>
  <c r="D352" i="16"/>
  <c r="Q69" i="16"/>
  <c r="V69" i="16"/>
  <c r="H366" i="16"/>
  <c r="M71" i="16"/>
  <c r="V72" i="16"/>
  <c r="AD72" i="16"/>
  <c r="Q72" i="16"/>
  <c r="Z74" i="16"/>
  <c r="M74" i="16"/>
  <c r="D356" i="16"/>
  <c r="D358" i="16"/>
  <c r="D363" i="16"/>
  <c r="D354" i="16"/>
  <c r="AC67" i="16"/>
  <c r="P67" i="16"/>
  <c r="I195" i="16"/>
  <c r="I368" i="16"/>
  <c r="I369" i="16"/>
  <c r="I394" i="16"/>
  <c r="I267" i="16"/>
  <c r="R55" i="16"/>
  <c r="E360" i="16"/>
  <c r="AA57" i="16"/>
  <c r="N57" i="16"/>
  <c r="T58" i="16"/>
  <c r="R58" i="16"/>
  <c r="N60" i="16"/>
  <c r="R61" i="16"/>
  <c r="T61" i="16"/>
  <c r="N62" i="16"/>
  <c r="AA62" i="16"/>
  <c r="E361" i="16"/>
  <c r="E350" i="16"/>
  <c r="T63" i="16"/>
  <c r="R63" i="16"/>
  <c r="N65" i="16"/>
  <c r="R66" i="16"/>
  <c r="E352" i="16"/>
  <c r="AA68" i="16"/>
  <c r="N68" i="16"/>
  <c r="R69" i="16"/>
  <c r="T69" i="16"/>
  <c r="I366" i="16"/>
  <c r="N71" i="16"/>
  <c r="R72" i="16"/>
  <c r="T72" i="16"/>
  <c r="E363" i="16"/>
  <c r="E354" i="16"/>
  <c r="AA74" i="16"/>
  <c r="N74" i="16"/>
  <c r="E356" i="16"/>
  <c r="E358" i="16"/>
  <c r="B228" i="16"/>
  <c r="K58" i="16"/>
  <c r="X61" i="16"/>
  <c r="K61" i="16"/>
  <c r="AB70" i="16"/>
  <c r="O70" i="16"/>
  <c r="C267" i="16"/>
  <c r="C355" i="16"/>
  <c r="C368" i="16"/>
  <c r="L55" i="16"/>
  <c r="Y55" i="16"/>
  <c r="C369" i="16"/>
  <c r="C195" i="16"/>
  <c r="C394" i="16"/>
  <c r="G153" i="16"/>
  <c r="G273" i="16" s="1"/>
  <c r="P56" i="16"/>
  <c r="G320" i="16"/>
  <c r="AC56" i="16"/>
  <c r="G268" i="16"/>
  <c r="G258" i="16"/>
  <c r="G262" i="16" s="1"/>
  <c r="P64" i="16"/>
  <c r="AC64" i="16"/>
  <c r="B258" i="16"/>
  <c r="B262" i="16" s="1"/>
  <c r="B268" i="16"/>
  <c r="B153" i="16"/>
  <c r="B273" i="16" s="1"/>
  <c r="K56" i="16"/>
  <c r="O57" i="16"/>
  <c r="AB57" i="16"/>
  <c r="O60" i="16"/>
  <c r="AB62" i="16"/>
  <c r="F361" i="16"/>
  <c r="F350" i="16"/>
  <c r="O62" i="16"/>
  <c r="K64" i="16"/>
  <c r="B85" i="16"/>
  <c r="B227" i="16" s="1"/>
  <c r="O65" i="16"/>
  <c r="K67" i="16"/>
  <c r="F352" i="16"/>
  <c r="AB68" i="16"/>
  <c r="O68" i="16"/>
  <c r="O71" i="16"/>
  <c r="K73" i="16"/>
  <c r="O74" i="16"/>
  <c r="AB74" i="16"/>
  <c r="F358" i="16"/>
  <c r="F363" i="16"/>
  <c r="F356" i="16"/>
  <c r="F354" i="16"/>
  <c r="K66" i="16"/>
  <c r="P59" i="16"/>
  <c r="Y63" i="16"/>
  <c r="L63" i="16"/>
  <c r="C268" i="16"/>
  <c r="C320" i="16"/>
  <c r="L56" i="16"/>
  <c r="Y56" i="16"/>
  <c r="P57" i="16"/>
  <c r="AC57" i="16"/>
  <c r="L59" i="16"/>
  <c r="P60" i="16"/>
  <c r="G361" i="16"/>
  <c r="G350" i="16"/>
  <c r="AC62" i="16"/>
  <c r="P62" i="16"/>
  <c r="L64" i="16"/>
  <c r="Y64" i="16"/>
  <c r="P65" i="16"/>
  <c r="L67" i="16"/>
  <c r="Y67" i="16"/>
  <c r="G352" i="16"/>
  <c r="P68" i="16"/>
  <c r="AC68" i="16"/>
  <c r="L70" i="16"/>
  <c r="Y70" i="16"/>
  <c r="P71" i="16"/>
  <c r="L73" i="16"/>
  <c r="G358" i="16"/>
  <c r="G363" i="16"/>
  <c r="G354" i="16"/>
  <c r="G356" i="16"/>
  <c r="P74" i="16"/>
  <c r="AC74" i="16"/>
  <c r="O73" i="16"/>
  <c r="M56" i="16"/>
  <c r="Z56" i="16"/>
  <c r="D320" i="16"/>
  <c r="D268" i="16"/>
  <c r="V57" i="16"/>
  <c r="U57" i="16"/>
  <c r="AD57" i="16"/>
  <c r="Q57" i="16"/>
  <c r="M59" i="16"/>
  <c r="Q60" i="16"/>
  <c r="H310" i="16"/>
  <c r="V62" i="16"/>
  <c r="AD62" i="16"/>
  <c r="Q62" i="16"/>
  <c r="H361" i="16"/>
  <c r="H350" i="16"/>
  <c r="M64" i="16"/>
  <c r="Z64" i="16"/>
  <c r="Q65" i="16"/>
  <c r="Z67" i="16"/>
  <c r="M67" i="16"/>
  <c r="AD68" i="16"/>
  <c r="Q68" i="16"/>
  <c r="V68" i="16"/>
  <c r="H352" i="16"/>
  <c r="Z70" i="16"/>
  <c r="M70" i="16"/>
  <c r="Q71" i="16"/>
  <c r="M73" i="16"/>
  <c r="H356" i="16"/>
  <c r="H358" i="16"/>
  <c r="H363" i="16"/>
  <c r="V74" i="16"/>
  <c r="H354" i="16"/>
  <c r="AD74" i="16"/>
  <c r="Q74" i="16"/>
  <c r="N56" i="16"/>
  <c r="E320" i="16"/>
  <c r="AA56" i="16"/>
  <c r="E258" i="16"/>
  <c r="E262" i="16" s="1"/>
  <c r="E263" i="16" s="1"/>
  <c r="E268" i="16"/>
  <c r="R57" i="16"/>
  <c r="T57" i="16"/>
  <c r="N59" i="16"/>
  <c r="R60" i="16"/>
  <c r="R62" i="16"/>
  <c r="T62" i="16"/>
  <c r="I350" i="16"/>
  <c r="I310" i="16"/>
  <c r="I360" i="16"/>
  <c r="I361" i="16"/>
  <c r="N64" i="16"/>
  <c r="X64" i="16"/>
  <c r="AA64" i="16"/>
  <c r="E85" i="16"/>
  <c r="E227" i="16" s="1"/>
  <c r="R65" i="16"/>
  <c r="N67" i="16"/>
  <c r="AA67" i="16"/>
  <c r="I352" i="16"/>
  <c r="T68" i="16"/>
  <c r="R68" i="16"/>
  <c r="AA70" i="16"/>
  <c r="N70" i="16"/>
  <c r="R71" i="16"/>
  <c r="N73" i="16"/>
  <c r="T74" i="16"/>
  <c r="R74" i="16"/>
  <c r="I354" i="16"/>
  <c r="I363" i="16"/>
  <c r="G424" i="16" l="1"/>
  <c r="V228" i="16"/>
  <c r="U228" i="16"/>
  <c r="V224" i="16"/>
  <c r="H227" i="16"/>
  <c r="V85" i="16"/>
  <c r="U85" i="16"/>
  <c r="V126" i="16"/>
  <c r="H84" i="16"/>
  <c r="H86" i="16" s="1"/>
  <c r="V82" i="16"/>
  <c r="I84" i="16"/>
  <c r="T84" i="16" s="1"/>
  <c r="T82" i="16"/>
  <c r="I143" i="16"/>
  <c r="I150" i="16" s="1"/>
  <c r="T126" i="16"/>
  <c r="H276" i="16"/>
  <c r="D362" i="16"/>
  <c r="D364" i="16" s="1"/>
  <c r="C154" i="16"/>
  <c r="L186" i="16" s="1"/>
  <c r="B259" i="16"/>
  <c r="B264" i="16" s="1"/>
  <c r="H362" i="16"/>
  <c r="H364" i="16" s="1"/>
  <c r="G230" i="16"/>
  <c r="F230" i="16"/>
  <c r="W61" i="16"/>
  <c r="Y126" i="16"/>
  <c r="W58" i="16"/>
  <c r="I362" i="16"/>
  <c r="I364" i="16" s="1"/>
  <c r="F229" i="16"/>
  <c r="B263" i="16"/>
  <c r="E230" i="16"/>
  <c r="C143" i="16"/>
  <c r="C397" i="16" s="1"/>
  <c r="W55" i="16"/>
  <c r="D353" i="16"/>
  <c r="D86" i="16"/>
  <c r="D334" i="16" s="1"/>
  <c r="F196" i="16"/>
  <c r="F211" i="16"/>
  <c r="G263" i="16"/>
  <c r="G265" i="16" s="1"/>
  <c r="E362" i="16"/>
  <c r="E364" i="16" s="1"/>
  <c r="E387" i="16"/>
  <c r="E406" i="16" s="1"/>
  <c r="E407" i="16" s="1"/>
  <c r="E259" i="16"/>
  <c r="E264" i="16" s="1"/>
  <c r="E265" i="16" s="1"/>
  <c r="W57" i="16"/>
  <c r="E276" i="16"/>
  <c r="E86" i="16"/>
  <c r="E310" i="16" s="1"/>
  <c r="G362" i="16"/>
  <c r="G364" i="16" s="1"/>
  <c r="C362" i="16"/>
  <c r="C364" i="16" s="1"/>
  <c r="H154" i="16"/>
  <c r="D387" i="16"/>
  <c r="D406" i="16" s="1"/>
  <c r="D407" i="16" s="1"/>
  <c r="D409" i="16" s="1"/>
  <c r="I276" i="16"/>
  <c r="G269" i="16"/>
  <c r="D230" i="16"/>
  <c r="C230" i="16"/>
  <c r="C263" i="16"/>
  <c r="G154" i="16"/>
  <c r="P187" i="16" s="1"/>
  <c r="AB126" i="16"/>
  <c r="H269" i="16"/>
  <c r="I154" i="16"/>
  <c r="R187" i="16" s="1"/>
  <c r="D263" i="16"/>
  <c r="D265" i="16" s="1"/>
  <c r="W64" i="16"/>
  <c r="E229" i="16"/>
  <c r="B154" i="16"/>
  <c r="F362" i="16"/>
  <c r="F364" i="16" s="1"/>
  <c r="C273" i="16"/>
  <c r="F154" i="16"/>
  <c r="O186" i="16" s="1"/>
  <c r="W67" i="16"/>
  <c r="E154" i="16"/>
  <c r="E143" i="16"/>
  <c r="AA126" i="16"/>
  <c r="C408" i="16"/>
  <c r="C409" i="16"/>
  <c r="H143" i="16"/>
  <c r="D154" i="16"/>
  <c r="D273" i="16"/>
  <c r="D269" i="16"/>
  <c r="D276" i="16"/>
  <c r="H391" i="16"/>
  <c r="H406" i="16"/>
  <c r="H407" i="16" s="1"/>
  <c r="F353" i="16"/>
  <c r="F86" i="16"/>
  <c r="C229" i="16"/>
  <c r="F259" i="16"/>
  <c r="F264" i="16" s="1"/>
  <c r="F269" i="16"/>
  <c r="G397" i="16"/>
  <c r="G197" i="16"/>
  <c r="C391" i="16"/>
  <c r="G150" i="16"/>
  <c r="G353" i="16"/>
  <c r="G86" i="16"/>
  <c r="G229" i="16"/>
  <c r="Z126" i="16"/>
  <c r="AC126" i="16"/>
  <c r="L187" i="16"/>
  <c r="F263" i="16"/>
  <c r="C86" i="16"/>
  <c r="C353" i="16"/>
  <c r="F406" i="16"/>
  <c r="F407" i="16" s="1"/>
  <c r="H263" i="16"/>
  <c r="H265" i="16" s="1"/>
  <c r="F397" i="16"/>
  <c r="F150" i="16"/>
  <c r="AB143" i="16"/>
  <c r="F336" i="16"/>
  <c r="W63" i="16"/>
  <c r="G391" i="16"/>
  <c r="G406" i="16"/>
  <c r="G407" i="16" s="1"/>
  <c r="H230" i="16"/>
  <c r="V230" i="16" s="1"/>
  <c r="I391" i="16"/>
  <c r="I406" i="16"/>
  <c r="I407" i="16" s="1"/>
  <c r="W56" i="16"/>
  <c r="D229" i="16"/>
  <c r="G336" i="16"/>
  <c r="H229" i="16"/>
  <c r="D143" i="16"/>
  <c r="C259" i="16"/>
  <c r="C264" i="16" s="1"/>
  <c r="C269" i="16"/>
  <c r="G276" i="16"/>
  <c r="B269" i="16"/>
  <c r="V227" i="16" l="1"/>
  <c r="U227" i="16"/>
  <c r="V229" i="16"/>
  <c r="I397" i="16"/>
  <c r="R186" i="16"/>
  <c r="I353" i="16"/>
  <c r="H353" i="16"/>
  <c r="V84" i="16"/>
  <c r="I86" i="16"/>
  <c r="I339" i="16" s="1"/>
  <c r="H351" i="16"/>
  <c r="V86" i="16"/>
  <c r="D425" i="16" s="1"/>
  <c r="H425" i="16" s="1"/>
  <c r="I197" i="16"/>
  <c r="I211" i="16" s="1"/>
  <c r="I336" i="16"/>
  <c r="T143" i="16"/>
  <c r="B427" i="16" s="1"/>
  <c r="F427" i="16" s="1"/>
  <c r="B265" i="16"/>
  <c r="D408" i="16"/>
  <c r="D391" i="16"/>
  <c r="O187" i="16"/>
  <c r="C197" i="16"/>
  <c r="C196" i="16" s="1"/>
  <c r="Y143" i="16"/>
  <c r="E351" i="16"/>
  <c r="E88" i="16"/>
  <c r="E242" i="16" s="1"/>
  <c r="E244" i="16" s="1"/>
  <c r="E391" i="16"/>
  <c r="C336" i="16"/>
  <c r="C342" i="16" s="1"/>
  <c r="P186" i="16"/>
  <c r="D351" i="16"/>
  <c r="D395" i="16"/>
  <c r="E339" i="16"/>
  <c r="D311" i="16"/>
  <c r="C150" i="16"/>
  <c r="C160" i="16" s="1"/>
  <c r="E311" i="16"/>
  <c r="C265" i="16"/>
  <c r="D237" i="16"/>
  <c r="D239" i="16" s="1"/>
  <c r="D371" i="16"/>
  <c r="D393" i="16" s="1"/>
  <c r="E371" i="16"/>
  <c r="E393" i="16" s="1"/>
  <c r="D88" i="16"/>
  <c r="D396" i="16" s="1"/>
  <c r="E237" i="16"/>
  <c r="E240" i="16" s="1"/>
  <c r="E395" i="16"/>
  <c r="E334" i="16"/>
  <c r="Q187" i="16"/>
  <c r="Q186" i="16"/>
  <c r="F265" i="16"/>
  <c r="N187" i="16"/>
  <c r="N186" i="16"/>
  <c r="D339" i="16"/>
  <c r="D310" i="16"/>
  <c r="F342" i="16"/>
  <c r="F338" i="16"/>
  <c r="F337" i="16"/>
  <c r="G371" i="16"/>
  <c r="G393" i="16" s="1"/>
  <c r="G311" i="16"/>
  <c r="G237" i="16"/>
  <c r="G88" i="16"/>
  <c r="G334" i="16"/>
  <c r="G395" i="16"/>
  <c r="G339" i="16"/>
  <c r="G310" i="16"/>
  <c r="G233" i="16"/>
  <c r="G180" i="16"/>
  <c r="G160" i="16"/>
  <c r="I180" i="16"/>
  <c r="I160" i="16"/>
  <c r="E197" i="16"/>
  <c r="E150" i="16"/>
  <c r="AA143" i="16"/>
  <c r="E336" i="16"/>
  <c r="E397" i="16"/>
  <c r="G409" i="16"/>
  <c r="G408" i="16"/>
  <c r="G411" i="16" s="1"/>
  <c r="C411" i="16"/>
  <c r="F237" i="16"/>
  <c r="F371" i="16"/>
  <c r="F393" i="16" s="1"/>
  <c r="F339" i="16"/>
  <c r="F395" i="16"/>
  <c r="F88" i="16"/>
  <c r="F311" i="16"/>
  <c r="F334" i="16"/>
  <c r="F310" i="16"/>
  <c r="C237" i="16"/>
  <c r="C334" i="16"/>
  <c r="C310" i="16"/>
  <c r="C88" i="16"/>
  <c r="C395" i="16"/>
  <c r="C339" i="16"/>
  <c r="C311" i="16"/>
  <c r="C371" i="16"/>
  <c r="C393" i="16" s="1"/>
  <c r="G351" i="16"/>
  <c r="H311" i="16"/>
  <c r="H371" i="16"/>
  <c r="H393" i="16" s="1"/>
  <c r="H237" i="16"/>
  <c r="H334" i="16"/>
  <c r="H395" i="16"/>
  <c r="H339" i="16"/>
  <c r="H88" i="16"/>
  <c r="G337" i="16"/>
  <c r="G338" i="16"/>
  <c r="G342" i="16"/>
  <c r="F351" i="16"/>
  <c r="M186" i="16"/>
  <c r="M187" i="16"/>
  <c r="G196" i="16"/>
  <c r="G211" i="16"/>
  <c r="F233" i="16"/>
  <c r="F180" i="16"/>
  <c r="F160" i="16"/>
  <c r="F409" i="16"/>
  <c r="F408" i="16"/>
  <c r="F411" i="16" s="1"/>
  <c r="E408" i="16"/>
  <c r="E409" i="16"/>
  <c r="H408" i="16"/>
  <c r="H411" i="16" s="1"/>
  <c r="H409" i="16"/>
  <c r="H336" i="16"/>
  <c r="V143" i="16"/>
  <c r="D427" i="16" s="1"/>
  <c r="H427" i="16" s="1"/>
  <c r="H197" i="16"/>
  <c r="H150" i="16"/>
  <c r="H397" i="16"/>
  <c r="AC143" i="16"/>
  <c r="Z143" i="16"/>
  <c r="D150" i="16"/>
  <c r="D197" i="16"/>
  <c r="D397" i="16"/>
  <c r="D336" i="16"/>
  <c r="C351" i="16"/>
  <c r="I334" i="16" l="1"/>
  <c r="C211" i="16"/>
  <c r="T211" i="16" s="1"/>
  <c r="I196" i="16"/>
  <c r="I395" i="16"/>
  <c r="I311" i="16"/>
  <c r="V237" i="16"/>
  <c r="I371" i="16"/>
  <c r="I393" i="16" s="1"/>
  <c r="I88" i="16"/>
  <c r="T88" i="16" s="1"/>
  <c r="B426" i="16" s="1"/>
  <c r="F426" i="16" s="1"/>
  <c r="D411" i="16"/>
  <c r="I351" i="16"/>
  <c r="T86" i="16"/>
  <c r="B425" i="16" s="1"/>
  <c r="F425" i="16" s="1"/>
  <c r="V88" i="16"/>
  <c r="D426" i="16" s="1"/>
  <c r="H426" i="16" s="1"/>
  <c r="V150" i="16"/>
  <c r="D428" i="16" s="1"/>
  <c r="H428" i="16" s="1"/>
  <c r="I342" i="16"/>
  <c r="I337" i="16"/>
  <c r="I338" i="16"/>
  <c r="T150" i="16"/>
  <c r="B428" i="16" s="1"/>
  <c r="F428" i="16" s="1"/>
  <c r="D335" i="16"/>
  <c r="D312" i="16"/>
  <c r="D343" i="16" s="1"/>
  <c r="E411" i="16"/>
  <c r="E312" i="16"/>
  <c r="E343" i="16" s="1"/>
  <c r="E396" i="16"/>
  <c r="E335" i="16"/>
  <c r="E372" i="16"/>
  <c r="C337" i="16"/>
  <c r="E245" i="16"/>
  <c r="E239" i="16"/>
  <c r="D242" i="16"/>
  <c r="D244" i="16" s="1"/>
  <c r="C338" i="16"/>
  <c r="C180" i="16"/>
  <c r="C182" i="16" s="1"/>
  <c r="D372" i="16"/>
  <c r="C233" i="16"/>
  <c r="C234" i="16" s="1"/>
  <c r="D240" i="16"/>
  <c r="D245" i="16"/>
  <c r="P189" i="16"/>
  <c r="B187" i="16" s="1"/>
  <c r="B156" i="16" s="1"/>
  <c r="K187" i="16" s="1"/>
  <c r="P188" i="16"/>
  <c r="B186" i="16" s="1"/>
  <c r="B155" i="16" s="1"/>
  <c r="K186" i="16" s="1"/>
  <c r="F199" i="16"/>
  <c r="F159" i="16"/>
  <c r="F209" i="16"/>
  <c r="F182" i="16"/>
  <c r="H211" i="16"/>
  <c r="H196" i="16"/>
  <c r="F234" i="16"/>
  <c r="F235" i="16"/>
  <c r="E180" i="16"/>
  <c r="E160" i="16"/>
  <c r="E233" i="16"/>
  <c r="G312" i="16"/>
  <c r="G343" i="16" s="1"/>
  <c r="G335" i="16"/>
  <c r="G372" i="16"/>
  <c r="G396" i="16"/>
  <c r="G242" i="16"/>
  <c r="G244" i="16" s="1"/>
  <c r="F312" i="16"/>
  <c r="F343" i="16" s="1"/>
  <c r="F372" i="16"/>
  <c r="F335" i="16"/>
  <c r="F242" i="16"/>
  <c r="F244" i="16" s="1"/>
  <c r="F396" i="16"/>
  <c r="E196" i="16"/>
  <c r="E211" i="16"/>
  <c r="G239" i="16"/>
  <c r="G245" i="16"/>
  <c r="G240" i="16"/>
  <c r="E338" i="16"/>
  <c r="E342" i="16"/>
  <c r="E337" i="16"/>
  <c r="H245" i="16"/>
  <c r="H239" i="16"/>
  <c r="H240" i="16"/>
  <c r="V240" i="16" s="1"/>
  <c r="I199" i="16"/>
  <c r="I159" i="16"/>
  <c r="D337" i="16"/>
  <c r="D342" i="16"/>
  <c r="D338" i="16"/>
  <c r="D196" i="16"/>
  <c r="D211" i="16"/>
  <c r="I182" i="16"/>
  <c r="I184" i="16" s="1"/>
  <c r="H183" i="16" s="1"/>
  <c r="I209" i="16"/>
  <c r="C239" i="16"/>
  <c r="C240" i="16"/>
  <c r="C245" i="16"/>
  <c r="G199" i="16"/>
  <c r="G159" i="16"/>
  <c r="I335" i="16"/>
  <c r="H233" i="16"/>
  <c r="H160" i="16"/>
  <c r="H180" i="16"/>
  <c r="H342" i="16"/>
  <c r="H337" i="16"/>
  <c r="H338" i="16"/>
  <c r="D180" i="16"/>
  <c r="D233" i="16"/>
  <c r="D160" i="16"/>
  <c r="C159" i="16"/>
  <c r="C199" i="16"/>
  <c r="F245" i="16"/>
  <c r="F240" i="16"/>
  <c r="F239" i="16"/>
  <c r="G182" i="16"/>
  <c r="G209" i="16"/>
  <c r="H372" i="16"/>
  <c r="H396" i="16"/>
  <c r="H312" i="16"/>
  <c r="H343" i="16" s="1"/>
  <c r="H242" i="16"/>
  <c r="H335" i="16"/>
  <c r="C312" i="16"/>
  <c r="C343" i="16" s="1"/>
  <c r="C372" i="16"/>
  <c r="C242" i="16"/>
  <c r="C244" i="16" s="1"/>
  <c r="C335" i="16"/>
  <c r="C396" i="16"/>
  <c r="G234" i="16"/>
  <c r="G235" i="16"/>
  <c r="I372" i="16" l="1"/>
  <c r="I396" i="16"/>
  <c r="I312" i="16"/>
  <c r="I343" i="16" s="1"/>
  <c r="H431" i="16"/>
  <c r="F431" i="16"/>
  <c r="H244" i="16"/>
  <c r="V242" i="16"/>
  <c r="V239" i="16"/>
  <c r="V233" i="16"/>
  <c r="V211" i="16"/>
  <c r="C209" i="16"/>
  <c r="B83" i="16"/>
  <c r="U83" i="16" s="1"/>
  <c r="C235" i="16"/>
  <c r="E234" i="16"/>
  <c r="E235" i="16"/>
  <c r="F324" i="16"/>
  <c r="F329" i="16"/>
  <c r="F330" i="16"/>
  <c r="F327" i="16"/>
  <c r="F326" i="16"/>
  <c r="F331" i="16"/>
  <c r="F323" i="16"/>
  <c r="F398" i="16"/>
  <c r="F198" i="16"/>
  <c r="F322" i="16"/>
  <c r="F274" i="16"/>
  <c r="F332" i="16"/>
  <c r="F201" i="16"/>
  <c r="F212" i="16" s="1"/>
  <c r="F321" i="16"/>
  <c r="F328" i="16"/>
  <c r="G326" i="16"/>
  <c r="G328" i="16"/>
  <c r="G201" i="16"/>
  <c r="G212" i="16" s="1"/>
  <c r="G330" i="16"/>
  <c r="G324" i="16"/>
  <c r="G323" i="16"/>
  <c r="G398" i="16"/>
  <c r="G274" i="16"/>
  <c r="G322" i="16"/>
  <c r="G321" i="16"/>
  <c r="G327" i="16"/>
  <c r="G329" i="16"/>
  <c r="G332" i="16"/>
  <c r="G198" i="16"/>
  <c r="G331" i="16"/>
  <c r="C325" i="16"/>
  <c r="C331" i="16"/>
  <c r="C398" i="16"/>
  <c r="C323" i="16"/>
  <c r="C330" i="16"/>
  <c r="C322" i="16"/>
  <c r="C332" i="16"/>
  <c r="C198" i="16"/>
  <c r="C329" i="16"/>
  <c r="C201" i="16"/>
  <c r="C212" i="16" s="1"/>
  <c r="C321" i="16"/>
  <c r="C328" i="16"/>
  <c r="C324" i="16"/>
  <c r="C327" i="16"/>
  <c r="C274" i="16"/>
  <c r="C326" i="16"/>
  <c r="H159" i="16"/>
  <c r="H199" i="16"/>
  <c r="H235" i="16"/>
  <c r="H234" i="16"/>
  <c r="E199" i="16"/>
  <c r="E159" i="16"/>
  <c r="I322" i="16"/>
  <c r="I323" i="16"/>
  <c r="I332" i="16"/>
  <c r="I326" i="16"/>
  <c r="I330" i="16"/>
  <c r="I331" i="16"/>
  <c r="I274" i="16"/>
  <c r="I324" i="16"/>
  <c r="I198" i="16"/>
  <c r="I328" i="16"/>
  <c r="I329" i="16"/>
  <c r="I321" i="16"/>
  <c r="I398" i="16"/>
  <c r="I201" i="16"/>
  <c r="I327" i="16"/>
  <c r="E209" i="16"/>
  <c r="E182" i="16"/>
  <c r="D199" i="16"/>
  <c r="D159" i="16"/>
  <c r="D234" i="16"/>
  <c r="D235" i="16"/>
  <c r="H182" i="16"/>
  <c r="H209" i="16"/>
  <c r="D209" i="16"/>
  <c r="D182" i="16"/>
  <c r="V235" i="16" l="1"/>
  <c r="V234" i="16"/>
  <c r="V244" i="16"/>
  <c r="I212" i="16"/>
  <c r="T212" i="16" s="1"/>
  <c r="B422" i="16" s="1"/>
  <c r="B431" i="16" s="1"/>
  <c r="T201" i="16"/>
  <c r="G208" i="16"/>
  <c r="C208" i="16"/>
  <c r="I341" i="16"/>
  <c r="I340" i="16"/>
  <c r="I213" i="16"/>
  <c r="F208" i="16"/>
  <c r="I208" i="16"/>
  <c r="H332" i="16"/>
  <c r="H322" i="16"/>
  <c r="H323" i="16"/>
  <c r="H321" i="16"/>
  <c r="H328" i="16"/>
  <c r="H329" i="16"/>
  <c r="H326" i="16"/>
  <c r="H324" i="16"/>
  <c r="H274" i="16"/>
  <c r="H331" i="16"/>
  <c r="H198" i="16"/>
  <c r="H201" i="16"/>
  <c r="H327" i="16"/>
  <c r="H330" i="16"/>
  <c r="H398" i="16"/>
  <c r="E329" i="16"/>
  <c r="E328" i="16"/>
  <c r="E323" i="16"/>
  <c r="E322" i="16"/>
  <c r="E201" i="16"/>
  <c r="E212" i="16" s="1"/>
  <c r="E324" i="16"/>
  <c r="E326" i="16"/>
  <c r="E330" i="16"/>
  <c r="E331" i="16"/>
  <c r="E332" i="16"/>
  <c r="E198" i="16"/>
  <c r="E274" i="16"/>
  <c r="E321" i="16"/>
  <c r="E398" i="16"/>
  <c r="E327" i="16"/>
  <c r="F341" i="16"/>
  <c r="F213" i="16"/>
  <c r="F399" i="16"/>
  <c r="F340" i="16"/>
  <c r="H184" i="16"/>
  <c r="D329" i="16"/>
  <c r="D330" i="16"/>
  <c r="D323" i="16"/>
  <c r="D327" i="16"/>
  <c r="D324" i="16"/>
  <c r="D332" i="16"/>
  <c r="D201" i="16"/>
  <c r="D212" i="16" s="1"/>
  <c r="D326" i="16"/>
  <c r="D321" i="16"/>
  <c r="D331" i="16"/>
  <c r="D398" i="16"/>
  <c r="D198" i="16"/>
  <c r="D328" i="16"/>
  <c r="D322" i="16"/>
  <c r="D274" i="16"/>
  <c r="G341" i="16"/>
  <c r="G340" i="16"/>
  <c r="G213" i="16"/>
  <c r="G399" i="16"/>
  <c r="C340" i="16"/>
  <c r="C213" i="16"/>
  <c r="C341" i="16"/>
  <c r="C399" i="16"/>
  <c r="I399" i="16" l="1"/>
  <c r="H212" i="16"/>
  <c r="H399" i="16" s="1"/>
  <c r="V201" i="16"/>
  <c r="E208" i="16"/>
  <c r="H208" i="16"/>
  <c r="D208" i="16"/>
  <c r="G400" i="16"/>
  <c r="G214" i="16"/>
  <c r="G401" i="16" s="1"/>
  <c r="C400" i="16"/>
  <c r="C214" i="16"/>
  <c r="C401" i="16" s="1"/>
  <c r="F400" i="16"/>
  <c r="F214" i="16"/>
  <c r="F401" i="16" s="1"/>
  <c r="I214" i="16"/>
  <c r="I400" i="16"/>
  <c r="E341" i="16"/>
  <c r="E340" i="16"/>
  <c r="E399" i="16"/>
  <c r="E213" i="16"/>
  <c r="G183" i="16"/>
  <c r="D340" i="16"/>
  <c r="D341" i="16"/>
  <c r="D213" i="16"/>
  <c r="D399" i="16"/>
  <c r="H213" i="16"/>
  <c r="H341" i="16" l="1"/>
  <c r="H340" i="16"/>
  <c r="V208" i="16"/>
  <c r="I401" i="16"/>
  <c r="V212" i="16"/>
  <c r="D422" i="16" s="1"/>
  <c r="D431" i="16" s="1"/>
  <c r="H214" i="16"/>
  <c r="H400" i="16"/>
  <c r="E214" i="16"/>
  <c r="E401" i="16" s="1"/>
  <c r="E400" i="16"/>
  <c r="D214" i="16"/>
  <c r="D401" i="16" s="1"/>
  <c r="D400" i="16"/>
  <c r="AC183" i="16"/>
  <c r="G184" i="16"/>
  <c r="H401" i="16" l="1"/>
  <c r="AC184" i="16"/>
  <c r="F183" i="16"/>
  <c r="AB183" i="16" l="1"/>
  <c r="F184" i="16"/>
  <c r="E183" i="16" l="1"/>
  <c r="AB184" i="16"/>
  <c r="AA183" i="16" l="1"/>
  <c r="E184" i="16"/>
  <c r="AA184" i="16" l="1"/>
  <c r="D183" i="16"/>
  <c r="Z183" i="16" l="1"/>
  <c r="D184" i="16"/>
  <c r="C183" i="16" l="1"/>
  <c r="Z184" i="16"/>
  <c r="Y183" i="16" l="1"/>
  <c r="C184" i="16"/>
  <c r="V183" i="16"/>
  <c r="Y184" i="16" l="1"/>
  <c r="B183" i="16"/>
  <c r="V184" i="16"/>
  <c r="X183" i="16" l="1"/>
  <c r="W183" i="16" s="1"/>
  <c r="U183" i="16"/>
  <c r="K59" i="16"/>
  <c r="K62" i="16" l="1"/>
  <c r="B350" i="16"/>
  <c r="X62" i="16"/>
  <c r="W62" i="16" s="1"/>
  <c r="B68" i="16"/>
  <c r="B69" i="16" s="1"/>
  <c r="B320" i="16"/>
  <c r="U62" i="16"/>
  <c r="B361" i="16"/>
  <c r="B362" i="16" s="1"/>
  <c r="U69" i="16" l="1"/>
  <c r="K69" i="16"/>
  <c r="B352" i="16"/>
  <c r="K68" i="16"/>
  <c r="B366" i="16"/>
  <c r="X68" i="16"/>
  <c r="W68" i="16" s="1"/>
  <c r="B70" i="16"/>
  <c r="U68" i="16"/>
  <c r="K70" i="16" l="1"/>
  <c r="X70" i="16"/>
  <c r="W70" i="16" s="1"/>
  <c r="U70" i="16"/>
  <c r="B72" i="16"/>
  <c r="B74" i="16" l="1"/>
  <c r="B75" i="16" s="1"/>
  <c r="U72" i="16"/>
  <c r="K72" i="16"/>
  <c r="B224" i="16"/>
  <c r="X72" i="16"/>
  <c r="W72" i="16" s="1"/>
  <c r="B126" i="16"/>
  <c r="U126" i="16" s="1"/>
  <c r="U224" i="16" l="1"/>
  <c r="B229" i="16"/>
  <c r="B143" i="16"/>
  <c r="X126" i="16"/>
  <c r="W126" i="16" s="1"/>
  <c r="B230" i="16"/>
  <c r="B82" i="16"/>
  <c r="B78" i="16"/>
  <c r="B356" i="16"/>
  <c r="K74" i="16"/>
  <c r="B363" i="16"/>
  <c r="B364" i="16" s="1"/>
  <c r="B358" i="16"/>
  <c r="B354" i="16"/>
  <c r="U74" i="16"/>
  <c r="X74" i="16"/>
  <c r="W74" i="16" s="1"/>
  <c r="B84" i="16" l="1"/>
  <c r="B86" i="16" s="1"/>
  <c r="U86" i="16" s="1"/>
  <c r="C425" i="16" s="1"/>
  <c r="U82" i="16"/>
  <c r="B336" i="16"/>
  <c r="X143" i="16"/>
  <c r="W143" i="16" s="1"/>
  <c r="B150" i="16"/>
  <c r="U150" i="16" s="1"/>
  <c r="C428" i="16" s="1"/>
  <c r="G428" i="16" s="1"/>
  <c r="B397" i="16"/>
  <c r="U143" i="16"/>
  <c r="C427" i="16" s="1"/>
  <c r="G427" i="16" s="1"/>
  <c r="B197" i="16"/>
  <c r="B387" i="16"/>
  <c r="C438" i="16" l="1"/>
  <c r="B438" i="16"/>
  <c r="D438" i="16"/>
  <c r="G425" i="16"/>
  <c r="B353" i="16"/>
  <c r="U84" i="16"/>
  <c r="B406" i="16"/>
  <c r="B407" i="16" s="1"/>
  <c r="B408" i="16" s="1"/>
  <c r="B391" i="16"/>
  <c r="B196" i="16"/>
  <c r="B211" i="16"/>
  <c r="U211" i="16" s="1"/>
  <c r="B180" i="16"/>
  <c r="P184" i="16"/>
  <c r="O182" i="16"/>
  <c r="O165" i="16"/>
  <c r="L175" i="16"/>
  <c r="P166" i="16"/>
  <c r="K161" i="16"/>
  <c r="Q172" i="16"/>
  <c r="L163" i="16"/>
  <c r="K174" i="16"/>
  <c r="P178" i="16"/>
  <c r="P183" i="16"/>
  <c r="N180" i="16"/>
  <c r="Q167" i="16"/>
  <c r="Q173" i="16"/>
  <c r="N174" i="16"/>
  <c r="P175" i="16"/>
  <c r="O174" i="16"/>
  <c r="Q174" i="16"/>
  <c r="N161" i="16"/>
  <c r="Q184" i="16"/>
  <c r="L182" i="16"/>
  <c r="N165" i="16"/>
  <c r="N172" i="16"/>
  <c r="L172" i="16"/>
  <c r="M178" i="16"/>
  <c r="M161" i="16"/>
  <c r="O161" i="16"/>
  <c r="N173" i="16"/>
  <c r="K183" i="16"/>
  <c r="M182" i="16"/>
  <c r="N160" i="16"/>
  <c r="N167" i="16"/>
  <c r="M173" i="16"/>
  <c r="N179" i="16"/>
  <c r="P174" i="16"/>
  <c r="Q165" i="16"/>
  <c r="L165" i="16"/>
  <c r="K173" i="16"/>
  <c r="L184" i="16"/>
  <c r="Q182" i="16"/>
  <c r="L160" i="16"/>
  <c r="L166" i="16"/>
  <c r="O163" i="16"/>
  <c r="M179" i="16"/>
  <c r="K175" i="16"/>
  <c r="K178" i="16"/>
  <c r="P165" i="16"/>
  <c r="L183" i="16"/>
  <c r="N182" i="16"/>
  <c r="L180" i="16"/>
  <c r="M166" i="16"/>
  <c r="K163" i="16"/>
  <c r="M172" i="16"/>
  <c r="M175" i="16"/>
  <c r="P163" i="16"/>
  <c r="L173" i="16"/>
  <c r="M184" i="16"/>
  <c r="Q183" i="16"/>
  <c r="P160" i="16"/>
  <c r="P173" i="16"/>
  <c r="N163" i="16"/>
  <c r="Q161" i="16"/>
  <c r="K167" i="16"/>
  <c r="Q163" i="16"/>
  <c r="O179" i="16"/>
  <c r="L174" i="16"/>
  <c r="M183" i="16"/>
  <c r="Q160" i="16"/>
  <c r="P180" i="16"/>
  <c r="M163" i="16"/>
  <c r="Q166" i="16"/>
  <c r="N178" i="16"/>
  <c r="N175" i="16"/>
  <c r="L179" i="16"/>
  <c r="K166" i="16"/>
  <c r="B233" i="16"/>
  <c r="U233" i="16" s="1"/>
  <c r="N184" i="16"/>
  <c r="P182" i="16"/>
  <c r="O180" i="16"/>
  <c r="P167" i="16"/>
  <c r="K179" i="16"/>
  <c r="M167" i="16"/>
  <c r="P161" i="16"/>
  <c r="O172" i="16"/>
  <c r="M174" i="16"/>
  <c r="N183" i="16"/>
  <c r="M160" i="16"/>
  <c r="O160" i="16"/>
  <c r="P179" i="16"/>
  <c r="P172" i="16"/>
  <c r="Q175" i="16"/>
  <c r="L161" i="16"/>
  <c r="O167" i="16"/>
  <c r="Q178" i="16"/>
  <c r="O184" i="16"/>
  <c r="M180" i="16"/>
  <c r="Q179" i="16"/>
  <c r="O166" i="16"/>
  <c r="M165" i="16"/>
  <c r="K172" i="16"/>
  <c r="B160" i="16"/>
  <c r="O183" i="16"/>
  <c r="Q180" i="16"/>
  <c r="L178" i="16"/>
  <c r="L167" i="16"/>
  <c r="K165" i="16"/>
  <c r="O173" i="16"/>
  <c r="O175" i="16"/>
  <c r="O178" i="16"/>
  <c r="N166" i="16"/>
  <c r="B338" i="16"/>
  <c r="B342" i="16"/>
  <c r="B337" i="16"/>
  <c r="B88" i="16"/>
  <c r="U88" i="16" s="1"/>
  <c r="C426" i="16" s="1"/>
  <c r="G426" i="16" s="1"/>
  <c r="B334" i="16"/>
  <c r="B339" i="16"/>
  <c r="B310" i="16"/>
  <c r="B311" i="16"/>
  <c r="B395" i="16"/>
  <c r="B237" i="16"/>
  <c r="U237" i="16" s="1"/>
  <c r="B371" i="16"/>
  <c r="B393" i="16" s="1"/>
  <c r="B351" i="16"/>
  <c r="H433" i="16" l="1"/>
  <c r="F433" i="16"/>
  <c r="G433" i="16"/>
  <c r="G432" i="16"/>
  <c r="F432" i="16"/>
  <c r="H432" i="16"/>
  <c r="H434" i="16" s="1"/>
  <c r="D437" i="16" s="1"/>
  <c r="C431" i="16"/>
  <c r="G431" i="16"/>
  <c r="G434" i="16" s="1"/>
  <c r="C437" i="16" s="1"/>
  <c r="K160" i="16"/>
  <c r="B199" i="16"/>
  <c r="B159" i="16"/>
  <c r="B234" i="16"/>
  <c r="U234" i="16" s="1"/>
  <c r="B235" i="16"/>
  <c r="K180" i="16"/>
  <c r="B209" i="16"/>
  <c r="U209" i="16" s="1"/>
  <c r="B182" i="16"/>
  <c r="B242" i="16"/>
  <c r="B372" i="16"/>
  <c r="B335" i="16"/>
  <c r="B396" i="16"/>
  <c r="B312" i="16"/>
  <c r="B343" i="16" s="1"/>
  <c r="B239" i="16"/>
  <c r="B245" i="16"/>
  <c r="U245" i="16" s="1"/>
  <c r="B240" i="16"/>
  <c r="B411" i="16"/>
  <c r="B409" i="16"/>
  <c r="F434" i="16" l="1"/>
  <c r="B437" i="16" s="1"/>
  <c r="D439" i="16"/>
  <c r="D440" i="16" s="1"/>
  <c r="D442" i="16"/>
  <c r="C442" i="16"/>
  <c r="C439" i="16"/>
  <c r="C440" i="16" s="1"/>
  <c r="B442" i="16"/>
  <c r="B439" i="16"/>
  <c r="B440" i="16" s="1"/>
  <c r="B244" i="16"/>
  <c r="U244" i="16" s="1"/>
  <c r="U242" i="16"/>
  <c r="B184" i="16"/>
  <c r="K182" i="16"/>
  <c r="B326" i="16"/>
  <c r="B201" i="16"/>
  <c r="B327" i="16"/>
  <c r="B322" i="16"/>
  <c r="B329" i="16"/>
  <c r="B323" i="16"/>
  <c r="B198" i="16"/>
  <c r="B324" i="16"/>
  <c r="B325" i="16"/>
  <c r="B331" i="16"/>
  <c r="B330" i="16"/>
  <c r="B398" i="16"/>
  <c r="B328" i="16"/>
  <c r="B274" i="16"/>
  <c r="B321" i="16"/>
  <c r="C446" i="16" l="1"/>
  <c r="B445" i="16"/>
  <c r="B446" i="16"/>
  <c r="B447" i="16" s="1"/>
  <c r="B448" i="16" s="1"/>
  <c r="B444" i="16"/>
  <c r="C445" i="16"/>
  <c r="C447" i="16"/>
  <c r="C448" i="16" s="1"/>
  <c r="C444" i="16"/>
  <c r="D445" i="16"/>
  <c r="D446" i="16"/>
  <c r="D447" i="16" s="1"/>
  <c r="D448" i="16" s="1"/>
  <c r="D444" i="16"/>
  <c r="B212" i="16"/>
  <c r="B340" i="16" s="1"/>
  <c r="B208" i="16"/>
  <c r="U208" i="16" s="1"/>
  <c r="U184" i="16"/>
  <c r="K184" i="16"/>
  <c r="X184" i="16"/>
  <c r="W184" i="16" s="1"/>
  <c r="B341" i="16" l="1"/>
  <c r="B399" i="16"/>
  <c r="B213" i="16"/>
  <c r="B214" i="16" s="1"/>
  <c r="B400" i="16" l="1"/>
  <c r="B40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Curtis</author>
  </authors>
  <commentList>
    <comment ref="B4" authorId="0" shapeId="0" xr:uid="{33F4D983-D569-4059-91C5-D1D84D11C71B}">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G134" authorId="0" shapeId="0" xr:uid="{9EFBD3A8-6EC0-4797-8EF0-AF48C06C9CD8}">
      <text>
        <r>
          <rPr>
            <b/>
            <sz val="9"/>
            <color indexed="81"/>
            <rFont val="Tahoma"/>
            <family val="2"/>
          </rPr>
          <t>Eric Curtis:</t>
        </r>
        <r>
          <rPr>
            <sz val="9"/>
            <color indexed="81"/>
            <rFont val="Tahoma"/>
            <family val="2"/>
          </rPr>
          <t xml:space="preserve">
Sale of KJCC represents a strategic shift that has a mjaor effect on operations, financial statements restated accordingly. More info in "10K Info Tab" just click this cell. 2018's beginning cash balance was decreased by 9.4 to reflect this adjustment.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 Curtis</author>
    <author>tc={9CC989E9-81A1-4526-A2AD-AE6D305534B9}</author>
  </authors>
  <commentList>
    <comment ref="B4" authorId="0" shapeId="0" xr:uid="{CB3B73B5-FF47-4CF7-854F-5539772B7873}">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6" authorId="0" shapeId="0" xr:uid="{BD4BDEB2-07D3-4920-9D73-2894DDD215CB}">
      <text>
        <r>
          <rPr>
            <b/>
            <sz val="9"/>
            <color indexed="81"/>
            <rFont val="Tahoma"/>
            <family val="2"/>
          </rPr>
          <t>Eric Curtis:</t>
        </r>
        <r>
          <rPr>
            <sz val="9"/>
            <color indexed="81"/>
            <rFont val="Tahoma"/>
            <family val="2"/>
          </rPr>
          <t xml:space="preserve">
Contains investments with original maturity of 90 days or less.</t>
        </r>
      </text>
    </comment>
    <comment ref="B12" authorId="0" shapeId="0" xr:uid="{FBF4B67A-72C1-4EC9-831A-8C65EAAB4B4A}">
      <text>
        <r>
          <rPr>
            <b/>
            <sz val="9"/>
            <color indexed="81"/>
            <rFont val="Tahoma"/>
            <family val="2"/>
          </rPr>
          <t>Eric Curtis:</t>
        </r>
        <r>
          <rPr>
            <sz val="9"/>
            <color indexed="81"/>
            <rFont val="Tahoma"/>
            <family val="2"/>
          </rPr>
          <t xml:space="preserve">
Organic Growth</t>
        </r>
      </text>
    </comment>
    <comment ref="B54" authorId="0" shapeId="0" xr:uid="{39DBEC7A-9853-443D-B660-796765D20D7F}">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B92" authorId="0" shapeId="0" xr:uid="{AA86EC1F-9C93-4E88-834E-2E6D86682964}">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B124" authorId="0" shapeId="0" xr:uid="{E05E8EEF-2242-4B16-BF15-59C6EA5BCEC7}">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G182" authorId="0" shapeId="0" xr:uid="{79F9BF70-4DA0-4493-A7B2-5E3D7A64B78B}">
      <text>
        <r>
          <rPr>
            <b/>
            <sz val="9"/>
            <color indexed="81"/>
            <rFont val="Tahoma"/>
            <family val="2"/>
          </rPr>
          <t>Eric Curtis:</t>
        </r>
        <r>
          <rPr>
            <sz val="9"/>
            <color indexed="81"/>
            <rFont val="Tahoma"/>
            <family val="2"/>
          </rPr>
          <t xml:space="preserve">
Sale of KJCC represents a strategic shift that has a mjaor effect on operations, financial statements restated accordingly. More info in "10K Info Tab" just click this cell. 2018's beginning cash balance was decreased by 9.4 to reflect this adjustment.</t>
        </r>
      </text>
    </comment>
    <comment ref="B185" authorId="0" shapeId="0" xr:uid="{54A4A427-564A-4ABF-8CDF-E66AA210F4C6}">
      <text>
        <r>
          <rPr>
            <b/>
            <sz val="9"/>
            <color indexed="81"/>
            <rFont val="Tahoma"/>
            <family val="2"/>
          </rPr>
          <t>Eric Curtis:</t>
        </r>
        <r>
          <rPr>
            <sz val="9"/>
            <color indexed="81"/>
            <rFont val="Tahoma"/>
            <family val="2"/>
          </rPr>
          <t xml:space="preserve">
Estimated as the average % of cash basis gross profit. Company has floating debt, need to ask about estimating this better.</t>
        </r>
      </text>
    </comment>
    <comment ref="B186" authorId="0" shapeId="0" xr:uid="{4FD83DE9-DBF9-4AAD-A4E6-00CB4EB5B26E}">
      <text>
        <r>
          <rPr>
            <b/>
            <sz val="9"/>
            <color indexed="81"/>
            <rFont val="Tahoma"/>
            <family val="2"/>
          </rPr>
          <t>Estimated as the average % of cash basis gross profit</t>
        </r>
      </text>
    </comment>
    <comment ref="B193" authorId="0" shapeId="0" xr:uid="{8AFEF588-AA00-44B5-9973-2D60C2281BB3}">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222" authorId="0" shapeId="0" xr:uid="{C783B8A5-9963-477C-82EC-35AFE9620CEE}">
      <text>
        <r>
          <rPr>
            <b/>
            <sz val="9"/>
            <color indexed="81"/>
            <rFont val="Tahoma"/>
            <family val="2"/>
          </rPr>
          <t>Eric Curtis:</t>
        </r>
        <r>
          <rPr>
            <sz val="9"/>
            <color indexed="81"/>
            <rFont val="Tahoma"/>
            <family val="2"/>
          </rPr>
          <t xml:space="preserve">
You don’t have to do this for DeGeorge, mainly for my learning experience and to understand the different approaches to deriving Free Cash Flow to Firm (FCFF) and Free Cash Flow to Equity (FCFE). If you plan to sit for CFA, this seems to be the bread and butter of valuation. There are 4 approaches for FCFF and 2 for FCFE. A third for FCFE can be found if FCFF is known by subtracting the market value of debt from FCFF.
*NI is a poor proxy for FCFE
*EBITDA is a poor proxy for FCFF</t>
        </r>
      </text>
    </comment>
    <comment ref="A224" authorId="0" shapeId="0" xr:uid="{04E79BE3-FA3C-4B4E-A56C-A171EEDBE167}">
      <text>
        <r>
          <rPr>
            <b/>
            <sz val="9"/>
            <color indexed="81"/>
            <rFont val="Tahoma"/>
            <family val="2"/>
          </rPr>
          <t>Eric Curtis:</t>
        </r>
        <r>
          <rPr>
            <sz val="9"/>
            <color indexed="81"/>
            <rFont val="Tahoma"/>
            <family val="2"/>
          </rPr>
          <t xml:space="preserve">
***Note to Self: Using the BS for working capital, you would need the change between the two periods to understand what happend DURING the period. Instead, use the statement of CF and sum the change in NOA. Remember, BS tells us the condition of the company at the time of reporting, its current situation at that POINT in time. CF and Income tells us what happened DURING the period.
Working Capitals has two common forms of calculation.
Traditional: Current Assets - Current Liabilities
</t>
        </r>
        <r>
          <rPr>
            <b/>
            <sz val="9"/>
            <color indexed="81"/>
            <rFont val="Tahoma"/>
            <family val="2"/>
          </rPr>
          <t>Adjusted Working Capital: Current Assets (less cash and mktble securities) - Current Liabilities (less current portion of long term debt)</t>
        </r>
        <r>
          <rPr>
            <sz val="9"/>
            <color indexed="81"/>
            <rFont val="Tahoma"/>
            <family val="2"/>
          </rPr>
          <t xml:space="preserve">
Traditional is a more broad scope, while adjusted looks purely at operational working capital. For CFA Calculations, the adjusted is used in valuation and CF. I think this is one of those "finance is a science and sometimes an art" things. DeGeorge uses adjusted. You should keep in mind the scope and goal of your calculations.</t>
        </r>
      </text>
    </comment>
    <comment ref="A226" authorId="0" shapeId="0" xr:uid="{A7F1A7A2-1FD1-4B51-866F-6B0E97C1C2D1}">
      <text>
        <r>
          <rPr>
            <b/>
            <sz val="9"/>
            <color indexed="81"/>
            <rFont val="Tahoma"/>
            <family val="2"/>
          </rPr>
          <t>Eric Curtis:</t>
        </r>
        <r>
          <rPr>
            <sz val="9"/>
            <color indexed="81"/>
            <rFont val="Tahoma"/>
            <family val="2"/>
          </rPr>
          <t xml:space="preserve">
Interest paid reduces taxes. This essentially tells you how much of the interest expense is effectively being paid out after the tax shield.</t>
        </r>
      </text>
    </comment>
    <comment ref="A227" authorId="0" shapeId="0" xr:uid="{EA3D3A11-E3E8-4A36-BE0B-ED49989BC08F}">
      <text>
        <r>
          <rPr>
            <b/>
            <sz val="9"/>
            <color indexed="81"/>
            <rFont val="Tahoma"/>
            <family val="2"/>
          </rPr>
          <t>Eric Curtis:</t>
        </r>
        <r>
          <rPr>
            <sz val="9"/>
            <color indexed="81"/>
            <rFont val="Tahoma"/>
            <family val="2"/>
          </rPr>
          <t xml:space="preserve">
Represents items that reduce reported net income, but didn't actually result in a cash outflow.
THINK ABOUT THE EFFECT OF THE LINE ITEM, AND UNDO IT IN RELATION TO NET INCOME.
</t>
        </r>
        <r>
          <rPr>
            <b/>
            <sz val="9"/>
            <color indexed="81"/>
            <rFont val="Tahoma"/>
            <family val="2"/>
          </rPr>
          <t xml:space="preserve">
Amortization and Depreciation</t>
        </r>
        <r>
          <rPr>
            <sz val="9"/>
            <color indexed="81"/>
            <rFont val="Tahoma"/>
            <family val="2"/>
          </rPr>
          <t xml:space="preserve"> - reduces, add back
</t>
        </r>
        <r>
          <rPr>
            <b/>
            <sz val="9"/>
            <color indexed="81"/>
            <rFont val="Tahoma"/>
            <family val="2"/>
          </rPr>
          <t>Restructuring</t>
        </r>
        <r>
          <rPr>
            <sz val="9"/>
            <color indexed="81"/>
            <rFont val="Tahoma"/>
            <family val="2"/>
          </rPr>
          <t xml:space="preserve"> - reduces, add back (unless being accrued to cover future cash outflow... increases, take out)
</t>
        </r>
        <r>
          <rPr>
            <b/>
            <sz val="9"/>
            <color indexed="81"/>
            <rFont val="Tahoma"/>
            <family val="2"/>
          </rPr>
          <t>Restrucutering Income</t>
        </r>
        <r>
          <rPr>
            <sz val="9"/>
            <color indexed="81"/>
            <rFont val="Tahoma"/>
            <family val="2"/>
          </rPr>
          <t xml:space="preserve"> (recurring accounts for restructuring) - inreases, take out
</t>
        </r>
        <r>
          <rPr>
            <b/>
            <sz val="9"/>
            <color indexed="81"/>
            <rFont val="Tahoma"/>
            <family val="2"/>
          </rPr>
          <t>Bond Issuer Amortization</t>
        </r>
        <r>
          <rPr>
            <sz val="9"/>
            <color indexed="81"/>
            <rFont val="Tahoma"/>
            <family val="2"/>
          </rPr>
          <t xml:space="preserve"> (recurring data accounts for amortization) - reduces net income, add back in
</t>
        </r>
        <r>
          <rPr>
            <b/>
            <sz val="9"/>
            <color indexed="81"/>
            <rFont val="Tahoma"/>
            <family val="2"/>
          </rPr>
          <t>Deferred Taxes</t>
        </r>
        <r>
          <rPr>
            <sz val="9"/>
            <color indexed="81"/>
            <rFont val="Tahoma"/>
            <family val="2"/>
          </rPr>
          <t xml:space="preserve"> - Over time, differences between book and taxable income should offset and have no significant affect on overall cash flows. IF deferred tax liabilities is expected to increase or keep increasing (aka not reverse), increases should be reduced from net income.
</t>
        </r>
      </text>
    </comment>
    <comment ref="B249" authorId="0" shapeId="0" xr:uid="{B3C1F21A-DCB8-47F8-A9AC-7F52180CE227}">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264" authorId="0" shapeId="0" xr:uid="{D87A29D4-26B5-43C7-ABA9-B64318FCF6C7}">
      <text>
        <r>
          <rPr>
            <b/>
            <sz val="9"/>
            <color indexed="81"/>
            <rFont val="Tahoma"/>
            <family val="2"/>
          </rPr>
          <t>Eric Curtis:</t>
        </r>
        <r>
          <rPr>
            <sz val="9"/>
            <color indexed="81"/>
            <rFont val="Tahoma"/>
            <family val="2"/>
          </rPr>
          <t xml:space="preserve">
https://blogs.cfainstitute.org/insideinvesting/2013/05/21/a-look-at-the-cash-conversion-cycle/#:~:text=CCC%20%3D%20DSO%20%2B%20DIO%20%E2%80%93%20DPO,as%20the%20Net%20Operating%20Cycle.
Great explenation for the same thing DeGeorge is doing, he's just an Accounting Ninja Whiz. DSO same as row 281, DIO 282. DSO DIO and DPO are the CFA names used.</t>
        </r>
      </text>
    </comment>
    <comment ref="B280" authorId="0" shapeId="0" xr:uid="{B2205113-0296-49F9-BA8E-A478C83D8F18}">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B318" authorId="0" shapeId="0" xr:uid="{FC9B6EF1-8EFA-4B3D-9056-839C920F9CEC}">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319" authorId="1" shapeId="0" xr:uid="{9CC989E9-81A1-4526-A2AD-AE6D305534B9}">
      <text>
        <t>[Threaded comment]
Your version of Excel allows you to read this threaded comment; however, any edits to it will get removed if the file is opened in a newer version of Excel. Learn more: https://go.microsoft.com/fwlink/?linkid=870924
Comment:
    How many days can the company survive if it only had its liquid assets.</t>
      </text>
    </comment>
    <comment ref="B348" authorId="0" shapeId="0" xr:uid="{3AA0909E-D63B-44ED-91A3-0A5E92807607}">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Curtis</author>
    <author>tc={791C00B3-E4FC-4905-97DF-5B3646279DFD}</author>
  </authors>
  <commentList>
    <comment ref="B4" authorId="0" shapeId="0" xr:uid="{9C5F991A-B16A-42CD-B409-D3E1385CE770}">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6" authorId="0" shapeId="0" xr:uid="{32656A83-920F-47A9-A0C2-C94BC76D01BB}">
      <text>
        <r>
          <rPr>
            <b/>
            <sz val="9"/>
            <color indexed="81"/>
            <rFont val="Tahoma"/>
            <family val="2"/>
          </rPr>
          <t>Eric Curtis:</t>
        </r>
        <r>
          <rPr>
            <sz val="9"/>
            <color indexed="81"/>
            <rFont val="Tahoma"/>
            <family val="2"/>
          </rPr>
          <t xml:space="preserve">
Contains investments with original maturity of 90 days or less.</t>
        </r>
      </text>
    </comment>
    <comment ref="B12" authorId="0" shapeId="0" xr:uid="{3894618F-0B6D-4A0E-A004-E3492BBB22C0}">
      <text>
        <r>
          <rPr>
            <b/>
            <sz val="9"/>
            <color indexed="81"/>
            <rFont val="Tahoma"/>
            <family val="2"/>
          </rPr>
          <t>Eric Curtis:</t>
        </r>
        <r>
          <rPr>
            <sz val="9"/>
            <color indexed="81"/>
            <rFont val="Tahoma"/>
            <family val="2"/>
          </rPr>
          <t xml:space="preserve">
Organic Growth</t>
        </r>
      </text>
    </comment>
    <comment ref="B54" authorId="0" shapeId="0" xr:uid="{82A8B95B-F2C7-481C-BBA4-D6C556ADCC93}">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B93" authorId="0" shapeId="0" xr:uid="{2BEEF341-8F00-40CF-A8DB-A12A91A9F3FA}">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B125" authorId="0" shapeId="0" xr:uid="{F57449E3-0972-4F3D-A23E-F16860B2FB23}">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G183" authorId="0" shapeId="0" xr:uid="{DE806BDD-E392-4994-8119-FECD05DEA712}">
      <text>
        <r>
          <rPr>
            <b/>
            <sz val="9"/>
            <color indexed="81"/>
            <rFont val="Tahoma"/>
            <family val="2"/>
          </rPr>
          <t>Eric Curtis:</t>
        </r>
        <r>
          <rPr>
            <sz val="9"/>
            <color indexed="81"/>
            <rFont val="Tahoma"/>
            <family val="2"/>
          </rPr>
          <t xml:space="preserve">
Sale of KJCC represents a strategic shift that has a mjaor effect on operations, financial statements restated accordingly. More info in "10K Info Tab" just click this cell. 2018's beginning cash balance was decreased by 9.4 to reflect this adjustment.</t>
        </r>
      </text>
    </comment>
    <comment ref="B186" authorId="0" shapeId="0" xr:uid="{57FA93A0-67BB-49F4-A15F-B092951E2356}">
      <text>
        <r>
          <rPr>
            <b/>
            <sz val="9"/>
            <color indexed="81"/>
            <rFont val="Tahoma"/>
            <family val="2"/>
          </rPr>
          <t>Eric Curtis:</t>
        </r>
        <r>
          <rPr>
            <sz val="9"/>
            <color indexed="81"/>
            <rFont val="Tahoma"/>
            <family val="2"/>
          </rPr>
          <t xml:space="preserve">
Estimated as the average % of cash basis gross profit. Company has floating debt, need to ask about estimating this better.</t>
        </r>
      </text>
    </comment>
    <comment ref="B187" authorId="0" shapeId="0" xr:uid="{7D2D0EEA-C77F-4E6D-9746-27D03CFC9451}">
      <text>
        <r>
          <rPr>
            <b/>
            <sz val="9"/>
            <color indexed="81"/>
            <rFont val="Tahoma"/>
            <family val="2"/>
          </rPr>
          <t>Estimated as the average % of cash basis gross profit</t>
        </r>
      </text>
    </comment>
    <comment ref="B194" authorId="0" shapeId="0" xr:uid="{C5D2E3FC-BDEE-4A4A-9211-9210B2046AB0}">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223" authorId="0" shapeId="0" xr:uid="{BDC20226-CE6B-4839-9598-BF051FF128C0}">
      <text>
        <r>
          <rPr>
            <b/>
            <sz val="9"/>
            <color indexed="81"/>
            <rFont val="Tahoma"/>
            <family val="2"/>
          </rPr>
          <t>Eric Curtis:</t>
        </r>
        <r>
          <rPr>
            <sz val="9"/>
            <color indexed="81"/>
            <rFont val="Tahoma"/>
            <family val="2"/>
          </rPr>
          <t xml:space="preserve">
You don’t have to do this for DeGeorge, mainly for my learning experience and to understand the different approaches to deriving Free Cash Flow to Firm (FCFF) and Free Cash Flow to Equity (FCFE). If you plan to sit for CFA, this seems to be the bread and butter of valuation. There are 4 approaches for FCFF and 2 for FCFE. A third for FCFE can be found if FCFF is known by subtracting the market value of debt from FCFF.
*NI is a poor proxy for FCFE
*EBITDA is a poor proxy for FCFF</t>
        </r>
      </text>
    </comment>
    <comment ref="A225" authorId="0" shapeId="0" xr:uid="{3BE0BB49-ED6A-47E2-993C-F59229382DB4}">
      <text>
        <r>
          <rPr>
            <b/>
            <sz val="9"/>
            <color indexed="81"/>
            <rFont val="Tahoma"/>
            <family val="2"/>
          </rPr>
          <t>Eric Curtis:</t>
        </r>
        <r>
          <rPr>
            <sz val="9"/>
            <color indexed="81"/>
            <rFont val="Tahoma"/>
            <family val="2"/>
          </rPr>
          <t xml:space="preserve">
***Note to Self: Using the BS for working capital, you would need the change between the two periods to understand what happend DURING the period. Instead, use the statement of CF and sum the change in NOA. Remember, BS tells us the condition of the company at the time of reporting, its current situation at that POINT in time. CF and Income tells us what happened DURING the period.
Working Capitals has two common forms of calculation.
Traditional: Current Assets - Current Liabilities
</t>
        </r>
        <r>
          <rPr>
            <b/>
            <sz val="9"/>
            <color indexed="81"/>
            <rFont val="Tahoma"/>
            <family val="2"/>
          </rPr>
          <t>Adjusted Working Capital: Current Assets (less cash and mktble securities) - Current Liabilities (less current portion of long term debt)</t>
        </r>
        <r>
          <rPr>
            <sz val="9"/>
            <color indexed="81"/>
            <rFont val="Tahoma"/>
            <family val="2"/>
          </rPr>
          <t xml:space="preserve">
Traditional is a more broad scope, while adjusted looks purely at operational working capital. For CFA Calculations, the adjusted is used in valuation and CF. I think this is one of those "finance is a science and sometimes an art" things. DeGeorge uses adjusted. You should keep in mind the scope and goal of your calculations.</t>
        </r>
      </text>
    </comment>
    <comment ref="A227" authorId="0" shapeId="0" xr:uid="{75D87ABB-0883-4327-A422-C3F1FF9E5B5D}">
      <text>
        <r>
          <rPr>
            <b/>
            <sz val="9"/>
            <color indexed="81"/>
            <rFont val="Tahoma"/>
            <family val="2"/>
          </rPr>
          <t>Eric Curtis:</t>
        </r>
        <r>
          <rPr>
            <sz val="9"/>
            <color indexed="81"/>
            <rFont val="Tahoma"/>
            <family val="2"/>
          </rPr>
          <t xml:space="preserve">
Interest paid reduces taxes. This essentially tells you how much of the interest expense is effectively being paid out after the tax shield.</t>
        </r>
      </text>
    </comment>
    <comment ref="A228" authorId="0" shapeId="0" xr:uid="{6B0407C2-9150-4EAB-99B5-1B2A855ACCA0}">
      <text>
        <r>
          <rPr>
            <b/>
            <sz val="9"/>
            <color indexed="81"/>
            <rFont val="Tahoma"/>
            <family val="2"/>
          </rPr>
          <t>Eric Curtis:</t>
        </r>
        <r>
          <rPr>
            <sz val="9"/>
            <color indexed="81"/>
            <rFont val="Tahoma"/>
            <family val="2"/>
          </rPr>
          <t xml:space="preserve">
Represents items that reduce reported net income, but didn't actually result in a cash outflow.
THINK ABOUT THE EFFECT OF THE LINE ITEM, AND UNDO IT IN RELATION TO NET INCOME.
</t>
        </r>
        <r>
          <rPr>
            <b/>
            <sz val="9"/>
            <color indexed="81"/>
            <rFont val="Tahoma"/>
            <family val="2"/>
          </rPr>
          <t xml:space="preserve">
Amortization and Depreciation</t>
        </r>
        <r>
          <rPr>
            <sz val="9"/>
            <color indexed="81"/>
            <rFont val="Tahoma"/>
            <family val="2"/>
          </rPr>
          <t xml:space="preserve"> - reduces, add back
</t>
        </r>
        <r>
          <rPr>
            <b/>
            <sz val="9"/>
            <color indexed="81"/>
            <rFont val="Tahoma"/>
            <family val="2"/>
          </rPr>
          <t>Restructuring</t>
        </r>
        <r>
          <rPr>
            <sz val="9"/>
            <color indexed="81"/>
            <rFont val="Tahoma"/>
            <family val="2"/>
          </rPr>
          <t xml:space="preserve"> - reduces, add back (unless being accrued to cover future cash outflow... increases, take out)
</t>
        </r>
        <r>
          <rPr>
            <b/>
            <sz val="9"/>
            <color indexed="81"/>
            <rFont val="Tahoma"/>
            <family val="2"/>
          </rPr>
          <t>Restrucutering Income</t>
        </r>
        <r>
          <rPr>
            <sz val="9"/>
            <color indexed="81"/>
            <rFont val="Tahoma"/>
            <family val="2"/>
          </rPr>
          <t xml:space="preserve"> (recurring accounts for restructuring) - inreases, take out
</t>
        </r>
        <r>
          <rPr>
            <b/>
            <sz val="9"/>
            <color indexed="81"/>
            <rFont val="Tahoma"/>
            <family val="2"/>
          </rPr>
          <t>Bond Issuer Amortization</t>
        </r>
        <r>
          <rPr>
            <sz val="9"/>
            <color indexed="81"/>
            <rFont val="Tahoma"/>
            <family val="2"/>
          </rPr>
          <t xml:space="preserve"> (recurring data accounts for amortization) - reduces net income, add back in
</t>
        </r>
        <r>
          <rPr>
            <b/>
            <sz val="9"/>
            <color indexed="81"/>
            <rFont val="Tahoma"/>
            <family val="2"/>
          </rPr>
          <t>Deferred Taxes</t>
        </r>
        <r>
          <rPr>
            <sz val="9"/>
            <color indexed="81"/>
            <rFont val="Tahoma"/>
            <family val="2"/>
          </rPr>
          <t xml:space="preserve"> - Over time, differences between book and taxable income should offset and have no significant affect on overall cash flows. IF deferred tax liabilities is expected to increase or keep increasing (aka not reverse), increases should be reduced from net income.
</t>
        </r>
      </text>
    </comment>
    <comment ref="B250" authorId="0" shapeId="0" xr:uid="{F6A363E0-1FA3-4F3D-A21B-3D4328EE3171}">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265" authorId="0" shapeId="0" xr:uid="{4A5E6A05-AA6C-45E8-9E97-A72E604275EC}">
      <text>
        <r>
          <rPr>
            <b/>
            <sz val="9"/>
            <color indexed="81"/>
            <rFont val="Tahoma"/>
            <family val="2"/>
          </rPr>
          <t>Eric Curtis:</t>
        </r>
        <r>
          <rPr>
            <sz val="9"/>
            <color indexed="81"/>
            <rFont val="Tahoma"/>
            <family val="2"/>
          </rPr>
          <t xml:space="preserve">
https://blogs.cfainstitute.org/insideinvesting/2013/05/21/a-look-at-the-cash-conversion-cycle/#:~:text=CCC%20%3D%20DSO%20%2B%20DIO%20%E2%80%93%20DPO,as%20the%20Net%20Operating%20Cycle.
Great explenation for the same thing DeGeorge is doing, he's just an Accounting Ninja Whiz. DSO same as row 281, DIO 282. DSO DIO and DPO are the CFA names used.</t>
        </r>
      </text>
    </comment>
    <comment ref="B281" authorId="0" shapeId="0" xr:uid="{8537E20E-A1DB-4778-A09B-C382B8A477F1}">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B319" authorId="0" shapeId="0" xr:uid="{3082B725-DF26-46EF-8192-2535CA1AA73F}">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 ref="A320" authorId="1" shapeId="0" xr:uid="{791C00B3-E4FC-4905-97DF-5B3646279DFD}">
      <text>
        <t>[Threaded comment]
Your version of Excel allows you to read this threaded comment; however, any edits to it will get removed if the file is opened in a newer version of Excel. Learn more: https://go.microsoft.com/fwlink/?linkid=870924
Comment:
    How many days can the company survive if it only had its liquid assets.</t>
      </text>
    </comment>
    <comment ref="B349" authorId="0" shapeId="0" xr:uid="{83EF35D0-BCBC-4FE3-BE61-035D3B3DA8E9}">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 Curtis</author>
  </authors>
  <commentList>
    <comment ref="B4" authorId="0" shapeId="0" xr:uid="{1D4B1FCB-6C76-4556-863C-6DEDE7FF96DA}">
      <text>
        <r>
          <rPr>
            <b/>
            <sz val="9"/>
            <color indexed="81"/>
            <rFont val="Tahoma"/>
            <family val="2"/>
          </rPr>
          <t>Eric Curtis:</t>
        </r>
        <r>
          <rPr>
            <sz val="9"/>
            <color indexed="81"/>
            <rFont val="Tahoma"/>
            <family val="2"/>
          </rPr>
          <t xml:space="preserve">
TTM = Most Recent 10Q(s) + Most Recent 10k - (Corresponding 10Qs in Beginning minus 1 year).
Adjusts to account for quarterly reports. It's like changing the most recent yearly report to adjust for current quarters by adding them in, and subtracting the corresponding 1 year previous quarter to have "new" yearly data. In this case we're moving the yearly data forward .5 years (2 quarters), it is not a projection.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2"/>
        </ext>
      </extLst>
    </bk>
  </futureMetadata>
  <cellMetadata count="1">
    <bk>
      <rc t="1" v="0"/>
    </bk>
  </cellMetadata>
  <valueMetadata count="1">
    <bk>
      <rc t="2" v="0"/>
    </bk>
  </valueMetadata>
</metadata>
</file>

<file path=xl/sharedStrings.xml><?xml version="1.0" encoding="utf-8"?>
<sst xmlns="http://schemas.openxmlformats.org/spreadsheetml/2006/main" count="1726" uniqueCount="566">
  <si>
    <t>As reported</t>
  </si>
  <si>
    <t>Consolidated Balance Sheets</t>
  </si>
  <si>
    <t>Common Size on Total Assets</t>
  </si>
  <si>
    <t>in millions except per share data</t>
  </si>
  <si>
    <t>5 Year</t>
  </si>
  <si>
    <t>Annual</t>
  </si>
  <si>
    <t>2021 to</t>
  </si>
  <si>
    <t>2020 to</t>
  </si>
  <si>
    <t>2019 to</t>
  </si>
  <si>
    <t>2018 to</t>
  </si>
  <si>
    <t>2017 to</t>
  </si>
  <si>
    <t>Year ended near 12/31:</t>
  </si>
  <si>
    <t>CAGR</t>
  </si>
  <si>
    <t>Average</t>
  </si>
  <si>
    <t>Cash and cash equivalents</t>
  </si>
  <si>
    <t>Allowance for Doubtful Debts</t>
  </si>
  <si>
    <t>Accounts receivable,Gross</t>
  </si>
  <si>
    <t>Income tax receivable</t>
  </si>
  <si>
    <t>Raw Materials</t>
  </si>
  <si>
    <t>Work In Process</t>
  </si>
  <si>
    <t>Finished Goods</t>
  </si>
  <si>
    <t>Revaluation to LIFO</t>
  </si>
  <si>
    <t>Loan to related party</t>
  </si>
  <si>
    <t>Other current assets</t>
  </si>
  <si>
    <t>Balancing Item - Current Assets</t>
  </si>
  <si>
    <t>Derivative contracts</t>
  </si>
  <si>
    <t>Total current assets</t>
  </si>
  <si>
    <t>Property, plant and equipment, net</t>
  </si>
  <si>
    <t>Land</t>
  </si>
  <si>
    <t>Buildings</t>
  </si>
  <si>
    <t>Machinery and equipment</t>
  </si>
  <si>
    <t>Accumulated Depreciation</t>
  </si>
  <si>
    <t>Operating lease right-of-use assets</t>
  </si>
  <si>
    <t>Goodwill</t>
  </si>
  <si>
    <t>Deferred tax assets</t>
  </si>
  <si>
    <t>Other Assets</t>
  </si>
  <si>
    <t>Customer Contracts</t>
  </si>
  <si>
    <t>Acc Amortn Customer Contracts</t>
  </si>
  <si>
    <t>Technology</t>
  </si>
  <si>
    <t>Technology Accumulated Amortization &amp; Impairment</t>
  </si>
  <si>
    <t>Trademarks</t>
  </si>
  <si>
    <t>Trademarks Accumulated Amortization &amp; Impairment</t>
  </si>
  <si>
    <t>Supply Contracts-Gross</t>
  </si>
  <si>
    <t>Acc Amortzn Supply Contracts</t>
  </si>
  <si>
    <t>Noncompete Agreements</t>
  </si>
  <si>
    <t>Favorable Lease Agreements</t>
  </si>
  <si>
    <t>Non-current derivative contracts</t>
  </si>
  <si>
    <t>Total Non-current Assets</t>
  </si>
  <si>
    <t>Total Assets</t>
  </si>
  <si>
    <t>Accounts Payable</t>
  </si>
  <si>
    <t>Accrued Liabilities</t>
  </si>
  <si>
    <t>Current operating lease liabilities</t>
  </si>
  <si>
    <t>Current maturities of long-term debt</t>
  </si>
  <si>
    <t>Total Current Liabilities</t>
  </si>
  <si>
    <t>Long-term debt</t>
  </si>
  <si>
    <t>Accrued postretirement benefits</t>
  </si>
  <si>
    <t>Deferred tax liabilities</t>
  </si>
  <si>
    <t>Operating lease liabilities</t>
  </si>
  <si>
    <t>Other long-term liabilities</t>
  </si>
  <si>
    <t>Total Non-current Liabilities</t>
  </si>
  <si>
    <t>Total liabilities</t>
  </si>
  <si>
    <t>Senior Convertible Preferred Stock</t>
  </si>
  <si>
    <t>Common Stock</t>
  </si>
  <si>
    <t>Additional paid-in capital</t>
  </si>
  <si>
    <t>Retained earnings</t>
  </si>
  <si>
    <t>Treasury stock</t>
  </si>
  <si>
    <t>Total Koppers shareholders equity</t>
  </si>
  <si>
    <t>Noncontrolling interests</t>
  </si>
  <si>
    <t>Total equity</t>
  </si>
  <si>
    <t>Total liabilities and equity</t>
  </si>
  <si>
    <t>Acc. Amort. Fav. Lease Agreements</t>
  </si>
  <si>
    <t>Accum. other compre. loss</t>
  </si>
  <si>
    <t>TTM</t>
  </si>
  <si>
    <t>Quarterly Data for TTM</t>
  </si>
  <si>
    <t>Horizontal (Growth)  Analysis</t>
  </si>
  <si>
    <t>2022 to</t>
  </si>
  <si>
    <t>Accounts receivable, net (See Note)</t>
  </si>
  <si>
    <t>Inventories, net (See Note)</t>
  </si>
  <si>
    <t>Intangibles Assets, Net (See Note)</t>
  </si>
  <si>
    <t>Assets:</t>
  </si>
  <si>
    <t>Liabilities and Equity:</t>
  </si>
  <si>
    <t>Net sales</t>
  </si>
  <si>
    <t>Cost of sales</t>
  </si>
  <si>
    <t>Depreciation and amortization</t>
  </si>
  <si>
    <t>(Gain) on sale of assets</t>
  </si>
  <si>
    <t>Impairment and restructuring charges</t>
  </si>
  <si>
    <t>Stock-based Compensation in SGA</t>
  </si>
  <si>
    <t>Total Operating Expense</t>
  </si>
  <si>
    <t>Operating profit</t>
  </si>
  <si>
    <t>Other (loss) income</t>
  </si>
  <si>
    <t>Interest Expense</t>
  </si>
  <si>
    <t>Loss on pension settlements</t>
  </si>
  <si>
    <t>Loss on extinguishment of debt</t>
  </si>
  <si>
    <t>Non-Operating Income/Expense - Total</t>
  </si>
  <si>
    <t>Income from continuing operations before income taxes</t>
  </si>
  <si>
    <t>Deferred - Foreign</t>
  </si>
  <si>
    <t>Deferred - State</t>
  </si>
  <si>
    <t>Deferred - Federal</t>
  </si>
  <si>
    <t>Foreign</t>
  </si>
  <si>
    <t>Current - State</t>
  </si>
  <si>
    <t>Federal</t>
  </si>
  <si>
    <t>Income taxes</t>
  </si>
  <si>
    <t>Income from continuing operations</t>
  </si>
  <si>
    <t>(Loss) income from discontinued operations</t>
  </si>
  <si>
    <t>Net income</t>
  </si>
  <si>
    <t>Reported Comprehensive Income</t>
  </si>
  <si>
    <t>Net income attributable to Koppers</t>
  </si>
  <si>
    <t>Notes to Financial Statements</t>
  </si>
  <si>
    <t>Consolidated Income Statements</t>
  </si>
  <si>
    <t>Other SG&amp;A</t>
  </si>
  <si>
    <t>SG&amp;A (See Note)</t>
  </si>
  <si>
    <t>Koppers Holdings Inc. (KOP)</t>
  </si>
  <si>
    <t>Gross Income</t>
  </si>
  <si>
    <t>Income tax provision (See Note)</t>
  </si>
  <si>
    <t>Common Size on Net Sales</t>
  </si>
  <si>
    <t>Diluted W. Avg. Shares Outstanding</t>
  </si>
  <si>
    <t>Diluted EPS</t>
  </si>
  <si>
    <t>Change in derivative contracts</t>
  </si>
  <si>
    <t>Impairment of long-lived assets</t>
  </si>
  <si>
    <t>Loss (gain) on sale of discontinued operations</t>
  </si>
  <si>
    <t>Insurance proceeds</t>
  </si>
  <si>
    <t>Deferred income taxes</t>
  </si>
  <si>
    <t>Change in other liabilities</t>
  </si>
  <si>
    <t>Non-cash interest expense</t>
  </si>
  <si>
    <t>Stock-based compensation</t>
  </si>
  <si>
    <t>Loss on pension settlement</t>
  </si>
  <si>
    <t>Goodwill impairment</t>
  </si>
  <si>
    <t>Other - net</t>
  </si>
  <si>
    <t>Gain on sale of business</t>
  </si>
  <si>
    <t>Equity loss , net of dividends received</t>
  </si>
  <si>
    <t>Accounts Receivable</t>
  </si>
  <si>
    <t>Inventories</t>
  </si>
  <si>
    <t>Accrued liabilities</t>
  </si>
  <si>
    <t>Other working capital</t>
  </si>
  <si>
    <t>Net cash (used in) provided by operating activities</t>
  </si>
  <si>
    <t>Capital Expenditures</t>
  </si>
  <si>
    <t>Acquisitions, net of cash acquired</t>
  </si>
  <si>
    <t>Insurance proceeds received</t>
  </si>
  <si>
    <t>Repayments received on loan</t>
  </si>
  <si>
    <t>Cash provided by sale of assets</t>
  </si>
  <si>
    <t>Acquisitions</t>
  </si>
  <si>
    <t>Net cash used in investing activities</t>
  </si>
  <si>
    <t>Net increase (decrease) in credit facility borrowings</t>
  </si>
  <si>
    <t>Net increase in credit facility borrowings</t>
  </si>
  <si>
    <t>Net (decrease) increase in credit facility borrowings</t>
  </si>
  <si>
    <t>Borrowings of long-term debt</t>
  </si>
  <si>
    <t>Repayments of long-term debt</t>
  </si>
  <si>
    <t>Issuances of Common Stock</t>
  </si>
  <si>
    <t>Repurchases of Common Stock</t>
  </si>
  <si>
    <t>Payment of debt issuance costs</t>
  </si>
  <si>
    <t>Payment of Deferred Financing Costs</t>
  </si>
  <si>
    <t>Dividends Paid</t>
  </si>
  <si>
    <t>Net cash provided by financing activities</t>
  </si>
  <si>
    <t>Effect of exchange rate changes on cash</t>
  </si>
  <si>
    <t>Cash and cash equivalents at beginning of period</t>
  </si>
  <si>
    <t>Cash and cash equivalents at end of period</t>
  </si>
  <si>
    <t>Net increase (decrease) in cash and cash equivalents</t>
  </si>
  <si>
    <t>Interest</t>
  </si>
  <si>
    <t>Dividends Provided/Paid - Common</t>
  </si>
  <si>
    <t>Dividends Per Share (Equity)</t>
  </si>
  <si>
    <t>Change in cash and cash equiv. of disc. Ops. held for sale</t>
  </si>
  <si>
    <t>Common Size on Operating Cash Flow</t>
  </si>
  <si>
    <t>Operating Cash Flow Earned</t>
  </si>
  <si>
    <t>Consolidated Cash Flows</t>
  </si>
  <si>
    <t>Net increase (decrease) in cash and cash equiv, adjusted FYE 21</t>
  </si>
  <si>
    <t xml:space="preserve">1.2 Plagiarism </t>
  </si>
  <si>
    <t>Plagiarism is defined as copying or using in substantially the same form materials prepared by others without acknowledging the source of the material or identifying the author and publisher of such material. Teams can read existing research on the subject company, but all analysis should be their own; they may not copy analysis (i.e., plagiarize) from another source. Teams also must not:</t>
  </si>
  <si>
    <r>
      <t>·</t>
    </r>
    <r>
      <rPr>
        <sz val="7"/>
        <color theme="1"/>
        <rFont val="Times New Roman"/>
        <family val="1"/>
      </rPr>
      <t xml:space="preserve">         </t>
    </r>
    <r>
      <rPr>
        <sz val="11"/>
        <color theme="1"/>
        <rFont val="Calibri"/>
        <family val="2"/>
        <scheme val="minor"/>
      </rPr>
      <t>use excerpts from articles or reports prepared by others either verbatim or with only slight changes in wording without acknowledgment,</t>
    </r>
  </si>
  <si>
    <r>
      <t>·</t>
    </r>
    <r>
      <rPr>
        <sz val="7"/>
        <color theme="1"/>
        <rFont val="Times New Roman"/>
        <family val="1"/>
      </rPr>
      <t xml:space="preserve">         </t>
    </r>
    <r>
      <rPr>
        <sz val="11"/>
        <color theme="1"/>
        <rFont val="Calibri"/>
        <family val="2"/>
        <scheme val="minor"/>
      </rPr>
      <t>cite specific quotations as attributable to “leading analysts” and “investment experts” without naming the specific references,</t>
    </r>
  </si>
  <si>
    <r>
      <t>·</t>
    </r>
    <r>
      <rPr>
        <sz val="7"/>
        <color theme="1"/>
        <rFont val="Times New Roman"/>
        <family val="1"/>
      </rPr>
      <t xml:space="preserve">         </t>
    </r>
    <r>
      <rPr>
        <sz val="11"/>
        <color theme="1"/>
        <rFont val="Calibri"/>
        <family val="2"/>
        <scheme val="minor"/>
      </rPr>
      <t>present statistical estimates of forecasts prepared by others and identifying the sources but without including the qualifying statements or caveats that may have been used,</t>
    </r>
  </si>
  <si>
    <r>
      <t>·</t>
    </r>
    <r>
      <rPr>
        <sz val="7"/>
        <color theme="1"/>
        <rFont val="Times New Roman"/>
        <family val="1"/>
      </rPr>
      <t xml:space="preserve">         </t>
    </r>
    <r>
      <rPr>
        <sz val="11"/>
        <color theme="1"/>
        <rFont val="Calibri"/>
        <family val="2"/>
        <scheme val="minor"/>
      </rPr>
      <t>use charts and graphs without stating their sources, or</t>
    </r>
  </si>
  <si>
    <r>
      <t>·</t>
    </r>
    <r>
      <rPr>
        <sz val="7"/>
        <color theme="1"/>
        <rFont val="Times New Roman"/>
        <family val="1"/>
      </rPr>
      <t xml:space="preserve">         </t>
    </r>
    <r>
      <rPr>
        <sz val="11"/>
        <color theme="1"/>
        <rFont val="Calibri"/>
        <family val="2"/>
        <scheme val="minor"/>
      </rPr>
      <t>copy proprietary computerized spreadsheets or algorithms without seeking the cooperation or authorization of their creators.</t>
    </r>
  </si>
  <si>
    <t>The prohibition on plagiarism applies to a team’s written report and presentation. Sourced information should be properly cited using a generally accepted citation system. Generally accepted citation systems include, but are not limited to, the Chicago Manual of Style, the Harvard referencing system, and MLA (Modern Language Association) style. Allegations of plagiarism will be investigated by CFA Institute (with assistance as necessary from the local level host) and may be referred to the Professional Conduct Program. Team members found to have plagiarized will be disqualified and reported to the CFA Institute Professional Conduct Program. The team’s university may also be ineligible to participate in the following year’s competition. The decision of the local host or CFA Institute (as applicable) regarding plagiarism is final and binding.</t>
  </si>
  <si>
    <t xml:space="preserve">2.4 Research </t>
  </si>
  <si>
    <t>Only team members may conduct research on the subject company for the purposes of the CFA Institute Research Challenge. Teams may use only publicly available information in conducting their research.6</t>
  </si>
  <si>
    <t>Publicly available information includes:</t>
  </si>
  <si>
    <r>
      <t>·</t>
    </r>
    <r>
      <rPr>
        <sz val="7"/>
        <color theme="1"/>
        <rFont val="Times New Roman"/>
        <family val="1"/>
      </rPr>
      <t xml:space="preserve">         </t>
    </r>
    <r>
      <rPr>
        <b/>
        <sz val="11"/>
        <color theme="1"/>
        <rFont val="Calibri"/>
        <family val="2"/>
        <scheme val="minor"/>
      </rPr>
      <t xml:space="preserve">information in company financial statements and press releases, </t>
    </r>
  </si>
  <si>
    <r>
      <t>·</t>
    </r>
    <r>
      <rPr>
        <sz val="7"/>
        <color theme="1"/>
        <rFont val="Times New Roman"/>
        <family val="1"/>
      </rPr>
      <t xml:space="preserve">         </t>
    </r>
    <r>
      <rPr>
        <b/>
        <sz val="11"/>
        <color theme="1"/>
        <rFont val="Calibri"/>
        <family val="2"/>
        <scheme val="minor"/>
      </rPr>
      <t xml:space="preserve">information in the media about the company and its competitors, </t>
    </r>
  </si>
  <si>
    <r>
      <t>·</t>
    </r>
    <r>
      <rPr>
        <sz val="7"/>
        <color theme="1"/>
        <rFont val="Times New Roman"/>
        <family val="1"/>
      </rPr>
      <t xml:space="preserve">         </t>
    </r>
    <r>
      <rPr>
        <b/>
        <sz val="11"/>
        <color theme="1"/>
        <rFont val="Calibri"/>
        <family val="2"/>
        <scheme val="minor"/>
      </rPr>
      <t xml:space="preserve">information produced by data aggregators for general use (e.g., Refinitiv, Bloomberg, S&amp;P Global, FactSet, etc.), and </t>
    </r>
  </si>
  <si>
    <r>
      <t>·</t>
    </r>
    <r>
      <rPr>
        <sz val="7"/>
        <color theme="1"/>
        <rFont val="Times New Roman"/>
        <family val="1"/>
      </rPr>
      <t xml:space="preserve">         </t>
    </r>
    <r>
      <rPr>
        <b/>
        <sz val="11"/>
        <color theme="1"/>
        <rFont val="Calibri"/>
        <family val="2"/>
        <scheme val="minor"/>
      </rPr>
      <t>Information provided by the subject company in the informational session and/or any permitted follow-up communication.</t>
    </r>
  </si>
  <si>
    <t>In conducting research, teams:</t>
  </si>
  <si>
    <r>
      <t>·</t>
    </r>
    <r>
      <rPr>
        <sz val="7"/>
        <color theme="1"/>
        <rFont val="Times New Roman"/>
        <family val="1"/>
      </rPr>
      <t xml:space="preserve">         </t>
    </r>
    <r>
      <rPr>
        <sz val="11"/>
        <color theme="1"/>
        <rFont val="Calibri"/>
        <family val="2"/>
        <scheme val="minor"/>
      </rPr>
      <t>May utilize their industry mentor and/or faculty advisor as resources but may not enlist the help of any other individual who has ever been employed as an investment management professional in conducting research;</t>
    </r>
  </si>
  <si>
    <r>
      <t>·</t>
    </r>
    <r>
      <rPr>
        <sz val="7"/>
        <color theme="1"/>
        <rFont val="Times New Roman"/>
        <family val="1"/>
      </rPr>
      <t xml:space="preserve">         </t>
    </r>
    <r>
      <rPr>
        <sz val="11"/>
        <color theme="1"/>
        <rFont val="Calibri"/>
        <family val="2"/>
        <scheme val="minor"/>
      </rPr>
      <t>Should prepare the written reports and presentations from the perspective of an independent research analyst; and</t>
    </r>
  </si>
  <si>
    <r>
      <t>·</t>
    </r>
    <r>
      <rPr>
        <sz val="7"/>
        <color theme="1"/>
        <rFont val="Times New Roman"/>
        <family val="1"/>
      </rPr>
      <t xml:space="preserve">         </t>
    </r>
    <r>
      <rPr>
        <sz val="11"/>
        <color theme="1"/>
        <rFont val="Calibri"/>
        <family val="2"/>
        <scheme val="minor"/>
      </rPr>
      <t>Can read existing research on the subject company, but all analysis should be their own; they may not copy analysis (i.e., plagiarize) from another source into their written reports or presentations. 7 Sourced information should be properly cited using a generally accepted citation system.</t>
    </r>
  </si>
  <si>
    <t xml:space="preserve">2.5 Interaction with Subject Company </t>
  </si>
  <si>
    <t>Teams may not have contact with subject company corporate executives or board members for the purposes of the CFA Institute Research Challenge other than during the informational session (described in the following text) and one permitted follow-up communication.</t>
  </si>
  <si>
    <r>
      <t>·</t>
    </r>
    <r>
      <rPr>
        <sz val="7"/>
        <color theme="1"/>
        <rFont val="Times New Roman"/>
        <family val="1"/>
      </rPr>
      <t xml:space="preserve">         </t>
    </r>
    <r>
      <rPr>
        <sz val="11"/>
        <color theme="1"/>
        <rFont val="Calibri"/>
        <family val="2"/>
        <scheme val="minor"/>
      </rPr>
      <t>The subject company may provide teams with an informational session. The informational session may include a question and answer (Q&amp;A) period during which time teams may pose questions to the subject company and the subject company may respond.</t>
    </r>
  </si>
  <si>
    <r>
      <t>·</t>
    </r>
    <r>
      <rPr>
        <sz val="7"/>
        <color theme="1"/>
        <rFont val="Times New Roman"/>
        <family val="1"/>
      </rPr>
      <t xml:space="preserve">         </t>
    </r>
    <r>
      <rPr>
        <sz val="11"/>
        <color theme="1"/>
        <rFont val="Calibri"/>
        <family val="2"/>
        <scheme val="minor"/>
      </rPr>
      <t>If the subject company agrees, teams may have one follow-up communication with the subject company prior to the local final. This follow-up communication must be organized by the local host and the contact must be confined to those corporate officers who normally interact with investors, such as investor relations officers, CEOs, or chief financial officers.</t>
    </r>
  </si>
  <si>
    <r>
      <t>·</t>
    </r>
    <r>
      <rPr>
        <sz val="7"/>
        <color theme="1"/>
        <rFont val="Times New Roman"/>
        <family val="1"/>
      </rPr>
      <t xml:space="preserve">         </t>
    </r>
    <r>
      <rPr>
        <sz val="11"/>
        <color theme="1"/>
        <rFont val="Calibri"/>
        <family val="2"/>
        <scheme val="minor"/>
      </rPr>
      <t>Teams may not contact subject company corporate executives for the purposes of the CFA Institute Research Challenge other than the informational session, the Q&amp;A session, and the one permitted follow-up communication.</t>
    </r>
  </si>
  <si>
    <r>
      <t>·</t>
    </r>
    <r>
      <rPr>
        <sz val="7"/>
        <color theme="1"/>
        <rFont val="Times New Roman"/>
        <family val="1"/>
      </rPr>
      <t xml:space="preserve">         </t>
    </r>
    <r>
      <rPr>
        <sz val="11"/>
        <color theme="1"/>
        <rFont val="Calibri"/>
        <family val="2"/>
        <scheme val="minor"/>
      </rPr>
      <t>Teams are permitted to interact with the company as a member of the general public (e.g., teams may dine in a restaurant that is a subject company or take a tour of the subject company if it is publicly available).</t>
    </r>
  </si>
  <si>
    <r>
      <t>·</t>
    </r>
    <r>
      <rPr>
        <sz val="7"/>
        <color theme="1"/>
        <rFont val="Times New Roman"/>
        <family val="1"/>
      </rPr>
      <t xml:space="preserve">         </t>
    </r>
    <r>
      <rPr>
        <sz val="11"/>
        <color theme="1"/>
        <rFont val="Calibri"/>
        <family val="2"/>
        <scheme val="minor"/>
      </rPr>
      <t>Teams may contact the subject company’s customers, competitors, former employees, and suppliers in conducting research, including surveys. Contacted individuals should not be known to have ever been employed as an investment management professional. Each team member must identify themselves as a student and disclose their participation in the CFA Institute Research Challenge.</t>
    </r>
  </si>
  <si>
    <r>
      <t>·</t>
    </r>
    <r>
      <rPr>
        <sz val="7"/>
        <color theme="1"/>
        <rFont val="Times New Roman"/>
        <family val="1"/>
      </rPr>
      <t xml:space="preserve">         </t>
    </r>
    <r>
      <rPr>
        <sz val="11"/>
        <color theme="1"/>
        <rFont val="Calibri"/>
        <family val="2"/>
        <scheme val="minor"/>
      </rPr>
      <t>Prior to contacting the subject company, its customers, competitors, former employees, or suppliers, the team must submit its questions to the faculty advisor or industry mentor. The faculty advisor or industry mentor must participate in each communication but only for the purpose of ensuring that no material nonpublic information is discussed. Faculty advisors and industry mentors are not permitted to ask any questions or provide any opinions on the subject company. The time spent by the faculty advisor or industry mentor while monitoring this kind of communication will not count toward the maximum number of hours allotted for faculty advisor or industry mentor involvement.</t>
    </r>
  </si>
  <si>
    <t xml:space="preserve">2.6 Written Reports </t>
  </si>
  <si>
    <t>Each team must prepare a written research report on the subject company. Teams may utilize their industry mentor or faculty advisor as a resource but may not enlist the help of any other investment management professionals in writing the content of the report. The written report must:</t>
  </si>
  <si>
    <r>
      <t>·</t>
    </r>
    <r>
      <rPr>
        <sz val="7"/>
        <color theme="1"/>
        <rFont val="Times New Roman"/>
        <family val="1"/>
      </rPr>
      <t xml:space="preserve">         </t>
    </r>
    <r>
      <rPr>
        <sz val="11"/>
        <color theme="1"/>
        <rFont val="Calibri"/>
        <family val="2"/>
        <scheme val="minor"/>
      </rPr>
      <t>conform to the guidelines set forth in Appendix A, “Written Report Guidelines” (the cover page is shown in Appendix B),</t>
    </r>
  </si>
  <si>
    <r>
      <t>·</t>
    </r>
    <r>
      <rPr>
        <sz val="7"/>
        <color theme="1"/>
        <rFont val="Times New Roman"/>
        <family val="1"/>
      </rPr>
      <t xml:space="preserve">         </t>
    </r>
    <r>
      <rPr>
        <sz val="11"/>
        <color theme="1"/>
        <rFont val="Calibri"/>
        <family val="2"/>
        <scheme val="minor"/>
      </rPr>
      <t>not exceed 10 A4-sized pages, but may include an appendix no longer than 10 A4-sized pages,</t>
    </r>
  </si>
  <si>
    <r>
      <t>·</t>
    </r>
    <r>
      <rPr>
        <sz val="7"/>
        <color theme="1"/>
        <rFont val="Times New Roman"/>
        <family val="1"/>
      </rPr>
      <t xml:space="preserve">         </t>
    </r>
    <r>
      <rPr>
        <sz val="11"/>
        <color theme="1"/>
        <rFont val="Calibri"/>
        <family val="2"/>
        <scheme val="minor"/>
      </rPr>
      <t>be written in the English language,</t>
    </r>
  </si>
  <si>
    <r>
      <t>·</t>
    </r>
    <r>
      <rPr>
        <sz val="7"/>
        <color theme="1"/>
        <rFont val="Times New Roman"/>
        <family val="1"/>
      </rPr>
      <t xml:space="preserve">         </t>
    </r>
    <r>
      <rPr>
        <sz val="11"/>
        <color theme="1"/>
        <rFont val="Calibri"/>
        <family val="2"/>
        <scheme val="minor"/>
      </rPr>
      <t>contain only publicly available information,</t>
    </r>
  </si>
  <si>
    <r>
      <t>·</t>
    </r>
    <r>
      <rPr>
        <sz val="7"/>
        <color theme="1"/>
        <rFont val="Times New Roman"/>
        <family val="1"/>
      </rPr>
      <t xml:space="preserve">         </t>
    </r>
    <r>
      <rPr>
        <sz val="11"/>
        <color theme="1"/>
        <rFont val="Calibri"/>
        <family val="2"/>
        <scheme val="minor"/>
      </rPr>
      <t>be the original work of the team members,</t>
    </r>
  </si>
  <si>
    <r>
      <t>·</t>
    </r>
    <r>
      <rPr>
        <sz val="7"/>
        <color theme="1"/>
        <rFont val="Times New Roman"/>
        <family val="1"/>
      </rPr>
      <t xml:space="preserve">         </t>
    </r>
    <r>
      <rPr>
        <sz val="11"/>
        <color theme="1"/>
        <rFont val="Calibri"/>
        <family val="2"/>
        <scheme val="minor"/>
      </rPr>
      <t>be properly cited using a generally accepted citation system,</t>
    </r>
  </si>
  <si>
    <r>
      <t>·</t>
    </r>
    <r>
      <rPr>
        <sz val="7"/>
        <color theme="1"/>
        <rFont val="Times New Roman"/>
        <family val="1"/>
      </rPr>
      <t xml:space="preserve">         </t>
    </r>
    <r>
      <rPr>
        <sz val="11"/>
        <color theme="1"/>
        <rFont val="Calibri"/>
        <family val="2"/>
        <scheme val="minor"/>
      </rPr>
      <t>be prepared from the perspective of an independent research analyst, and</t>
    </r>
  </si>
  <si>
    <r>
      <t>·</t>
    </r>
    <r>
      <rPr>
        <sz val="7"/>
        <color theme="1"/>
        <rFont val="Times New Roman"/>
        <family val="1"/>
      </rPr>
      <t xml:space="preserve">         </t>
    </r>
    <r>
      <rPr>
        <sz val="11"/>
        <color theme="1"/>
        <rFont val="Calibri"/>
        <family val="2"/>
        <scheme val="minor"/>
      </rPr>
      <t>be submitted to the local level host by the deadline established by the host. 8</t>
    </r>
  </si>
  <si>
    <r>
      <t>·</t>
    </r>
    <r>
      <rPr>
        <sz val="7"/>
        <color theme="1"/>
        <rFont val="Times New Roman"/>
        <family val="1"/>
      </rPr>
      <t xml:space="preserve">         </t>
    </r>
    <r>
      <rPr>
        <sz val="11"/>
        <color theme="1"/>
        <rFont val="Calibri"/>
        <family val="2"/>
        <scheme val="minor"/>
      </rPr>
      <t>The written report will be graded according to the criteria set forth in Appendix C, “Research Report Evaluation Form.”</t>
    </r>
  </si>
  <si>
    <t xml:space="preserve">2.7 Presentations </t>
  </si>
  <si>
    <t>Each team may make a presentation of their findings to a panel of judges.</t>
  </si>
  <si>
    <r>
      <t>·</t>
    </r>
    <r>
      <rPr>
        <sz val="7"/>
        <color theme="1"/>
        <rFont val="Times New Roman"/>
        <family val="1"/>
      </rPr>
      <t xml:space="preserve">         </t>
    </r>
    <r>
      <rPr>
        <sz val="11"/>
        <color theme="1"/>
        <rFont val="Calibri"/>
        <family val="2"/>
        <scheme val="minor"/>
      </rPr>
      <t>Teams may utilize their industry mentor and/or faculty advisor as a resource for guidance, direction, suggestions, and feedback. Teams may not enlist the help of any other person who has ever been employed as an investment management professional or finance faculty member in preparing content or evaluating the presentation (including, but not limited to, mock judging panels).</t>
    </r>
  </si>
  <si>
    <r>
      <t>·</t>
    </r>
    <r>
      <rPr>
        <sz val="7"/>
        <color theme="1"/>
        <rFont val="Times New Roman"/>
        <family val="1"/>
      </rPr>
      <t xml:space="preserve">         </t>
    </r>
    <r>
      <rPr>
        <sz val="11"/>
        <color theme="1"/>
        <rFont val="Calibri"/>
        <family val="2"/>
        <scheme val="minor"/>
      </rPr>
      <t>Teams may utilize presentation coaches or other public-speaking resources as long as those resources do not contribute to the content of the presentation.</t>
    </r>
  </si>
  <si>
    <r>
      <t>·</t>
    </r>
    <r>
      <rPr>
        <sz val="7"/>
        <color theme="1"/>
        <rFont val="Times New Roman"/>
        <family val="1"/>
      </rPr>
      <t xml:space="preserve">         </t>
    </r>
    <r>
      <rPr>
        <sz val="11"/>
        <color theme="1"/>
        <rFont val="Calibri"/>
        <family val="2"/>
        <scheme val="minor"/>
      </rPr>
      <t>The teams may not hand the judges any printed materials before or after the presentations, but the local host can distribute the presentation slides to the judges.</t>
    </r>
  </si>
  <si>
    <r>
      <t>·</t>
    </r>
    <r>
      <rPr>
        <sz val="7"/>
        <color theme="1"/>
        <rFont val="Times New Roman"/>
        <family val="1"/>
      </rPr>
      <t xml:space="preserve">         </t>
    </r>
    <r>
      <rPr>
        <sz val="11"/>
        <color theme="1"/>
        <rFont val="Calibri"/>
        <family val="2"/>
        <scheme val="minor"/>
      </rPr>
      <t>Teams may not use props in their presentation.9 Cue cards are not considered props.</t>
    </r>
  </si>
  <si>
    <r>
      <t>·</t>
    </r>
    <r>
      <rPr>
        <sz val="7"/>
        <color theme="1"/>
        <rFont val="Times New Roman"/>
        <family val="1"/>
      </rPr>
      <t xml:space="preserve">         </t>
    </r>
    <r>
      <rPr>
        <sz val="11"/>
        <color theme="1"/>
        <rFont val="Calibri"/>
        <family val="2"/>
        <scheme val="minor"/>
      </rPr>
      <t>Presentations must include source information.</t>
    </r>
  </si>
  <si>
    <r>
      <t>·</t>
    </r>
    <r>
      <rPr>
        <sz val="7"/>
        <color theme="1"/>
        <rFont val="Times New Roman"/>
        <family val="1"/>
      </rPr>
      <t xml:space="preserve">         </t>
    </r>
    <r>
      <rPr>
        <sz val="11"/>
        <color theme="1"/>
        <rFont val="Calibri"/>
        <family val="2"/>
        <scheme val="minor"/>
      </rPr>
      <t>Only student team members may participate in the presentation. Subject to the limitations of these rules, teams are free to structure their presentations as they wish.</t>
    </r>
  </si>
  <si>
    <r>
      <t>·</t>
    </r>
    <r>
      <rPr>
        <sz val="7"/>
        <color theme="1"/>
        <rFont val="Times New Roman"/>
        <family val="1"/>
      </rPr>
      <t xml:space="preserve">         </t>
    </r>
    <r>
      <rPr>
        <sz val="11"/>
        <color theme="1"/>
        <rFont val="Calibri"/>
        <family val="2"/>
        <scheme val="minor"/>
      </rPr>
      <t xml:space="preserve">Presentations at the sub-regional, regional semifinal, regional, and global levels must be in the English language. </t>
    </r>
  </si>
  <si>
    <r>
      <t>·</t>
    </r>
    <r>
      <rPr>
        <sz val="7"/>
        <color theme="1"/>
        <rFont val="Times New Roman"/>
        <family val="1"/>
      </rPr>
      <t xml:space="preserve">         </t>
    </r>
    <r>
      <rPr>
        <sz val="11"/>
        <color theme="1"/>
        <rFont val="Calibri"/>
        <family val="2"/>
        <scheme val="minor"/>
      </rPr>
      <t>h. The presentation is limited to 10 minutes. At the local and regional semifinal an additional 10 minutes will be provided to answer questions posed by the judges. At the regional final and global final an additional 15 minutes will be provided to answer questions posed by the judges. During the regional final and global final, the timekeeper may end the question and answer period before 15 minutes if there is a consensus amongst the judges that there are no further questions and at least 10 minutes have passed. At the sub-regional level there will be no question and answer period.</t>
    </r>
  </si>
  <si>
    <r>
      <t>·</t>
    </r>
    <r>
      <rPr>
        <sz val="7"/>
        <color theme="1"/>
        <rFont val="Times New Roman"/>
        <family val="1"/>
      </rPr>
      <t xml:space="preserve">         </t>
    </r>
    <r>
      <rPr>
        <sz val="11"/>
        <color theme="1"/>
        <rFont val="Calibri"/>
        <family val="2"/>
        <scheme val="minor"/>
      </rPr>
      <t>Only judges are permitted to pose questions to a team during the Q&amp;A portion of a presentation.</t>
    </r>
  </si>
  <si>
    <r>
      <t>·</t>
    </r>
    <r>
      <rPr>
        <sz val="7"/>
        <color theme="1"/>
        <rFont val="Times New Roman"/>
        <family val="1"/>
      </rPr>
      <t xml:space="preserve">         </t>
    </r>
    <r>
      <rPr>
        <sz val="11"/>
        <color theme="1"/>
        <rFont val="Calibri"/>
        <family val="2"/>
        <scheme val="minor"/>
      </rPr>
      <t>j. Each presentation will be timed. The timekeeper may provide a one-minute warning and an announcement when time has expired during the presentation. The timekeeper will announce when time has expired during the question and answer period. When the timekeeper announces that time has expired, teams must immediately conclude.</t>
    </r>
  </si>
  <si>
    <r>
      <t>·</t>
    </r>
    <r>
      <rPr>
        <sz val="7"/>
        <color theme="1"/>
        <rFont val="Times New Roman"/>
        <family val="1"/>
      </rPr>
      <t xml:space="preserve">         </t>
    </r>
    <r>
      <rPr>
        <sz val="11"/>
        <color theme="1"/>
        <rFont val="Calibri"/>
        <family val="2"/>
        <scheme val="minor"/>
      </rPr>
      <t>k. Presentations will be judged according to Appendix D, “Presentation Scoring Sheet.”</t>
    </r>
  </si>
  <si>
    <t>https://www.cfainstitute.org/-/media/documents/support/research-challenge/challenge/research-challenge-official-rules.pdf</t>
  </si>
  <si>
    <t>Appendix A</t>
  </si>
  <si>
    <t>Written Report Guidelines Each team must prepare a written research report on the subject company chosen by the local host. Teams may use their industry mentor or faculty advisor as resources but may not enlist the help of any other professionals in writing the actual report. The written report must</t>
  </si>
  <si>
    <r>
      <t>·</t>
    </r>
    <r>
      <rPr>
        <sz val="7"/>
        <color theme="1"/>
        <rFont val="Times New Roman"/>
        <family val="1"/>
      </rPr>
      <t xml:space="preserve">         </t>
    </r>
    <r>
      <rPr>
        <sz val="11"/>
        <color theme="1"/>
        <rFont val="Calibri"/>
        <family val="2"/>
        <scheme val="minor"/>
      </rPr>
      <t>be no longer than 10 pages (not including the front cover page provided by CFA Institute) on A4-sized paper (210 mm × 297 mm, 8.27” × 11.69”), although you may include an appendix no longer than 10 A4-sized pages;</t>
    </r>
  </si>
  <si>
    <r>
      <t>·</t>
    </r>
    <r>
      <rPr>
        <sz val="7"/>
        <color theme="1"/>
        <rFont val="Times New Roman"/>
        <family val="1"/>
      </rPr>
      <t xml:space="preserve">         </t>
    </r>
    <r>
      <rPr>
        <sz val="11"/>
        <color theme="1"/>
        <rFont val="Calibri"/>
        <family val="2"/>
        <scheme val="minor"/>
      </rPr>
      <t>be properly cited using a generally accepted citation system. Generally accepted citation systems include, but are not limited to, the Chicago Manual of Style, the Harvard referencing system, and MLA (Modern Language Association) style.</t>
    </r>
  </si>
  <si>
    <r>
      <t>·</t>
    </r>
    <r>
      <rPr>
        <sz val="7"/>
        <color theme="1"/>
        <rFont val="Times New Roman"/>
        <family val="1"/>
      </rPr>
      <t xml:space="preserve">         </t>
    </r>
    <r>
      <rPr>
        <sz val="11"/>
        <color theme="1"/>
        <rFont val="Calibri"/>
        <family val="2"/>
        <scheme val="minor"/>
      </rPr>
      <t>include the following information in a header on the first page:</t>
    </r>
  </si>
  <si>
    <r>
      <t>•</t>
    </r>
    <r>
      <rPr>
        <sz val="7"/>
        <color theme="1"/>
        <rFont val="Times New Roman"/>
        <family val="1"/>
      </rPr>
      <t xml:space="preserve">         </t>
    </r>
    <r>
      <rPr>
        <sz val="11"/>
        <color theme="1"/>
        <rFont val="Calibri"/>
        <family val="2"/>
        <scheme val="minor"/>
      </rPr>
      <t>Company name</t>
    </r>
  </si>
  <si>
    <r>
      <t>•</t>
    </r>
    <r>
      <rPr>
        <sz val="7"/>
        <color theme="1"/>
        <rFont val="Times New Roman"/>
        <family val="1"/>
      </rPr>
      <t xml:space="preserve">         </t>
    </r>
    <r>
      <rPr>
        <sz val="11"/>
        <color theme="1"/>
        <rFont val="Calibri"/>
        <family val="2"/>
        <scheme val="minor"/>
      </rPr>
      <t>Exchange</t>
    </r>
  </si>
  <si>
    <r>
      <t>•</t>
    </r>
    <r>
      <rPr>
        <sz val="7"/>
        <color theme="1"/>
        <rFont val="Times New Roman"/>
        <family val="1"/>
      </rPr>
      <t xml:space="preserve">         </t>
    </r>
    <r>
      <rPr>
        <sz val="11"/>
        <color theme="1"/>
        <rFont val="Calibri"/>
        <family val="2"/>
        <scheme val="minor"/>
      </rPr>
      <t>Ticker symbol o Sector/Industry</t>
    </r>
  </si>
  <si>
    <r>
      <t>•</t>
    </r>
    <r>
      <rPr>
        <sz val="7"/>
        <color theme="1"/>
        <rFont val="Times New Roman"/>
        <family val="1"/>
      </rPr>
      <t xml:space="preserve">         </t>
    </r>
    <r>
      <rPr>
        <sz val="11"/>
        <color theme="1"/>
        <rFont val="Calibri"/>
        <family val="2"/>
        <scheme val="minor"/>
      </rPr>
      <t>Recommendation (buy/sell/hold)</t>
    </r>
  </si>
  <si>
    <r>
      <t>•</t>
    </r>
    <r>
      <rPr>
        <sz val="7"/>
        <color theme="1"/>
        <rFont val="Times New Roman"/>
        <family val="1"/>
      </rPr>
      <t xml:space="preserve">         </t>
    </r>
    <r>
      <rPr>
        <sz val="11"/>
        <color theme="1"/>
        <rFont val="Calibri"/>
        <family val="2"/>
        <scheme val="minor"/>
      </rPr>
      <t>Current price (as of __ date)</t>
    </r>
  </si>
  <si>
    <r>
      <t>•</t>
    </r>
    <r>
      <rPr>
        <sz val="7"/>
        <color theme="1"/>
        <rFont val="Times New Roman"/>
        <family val="1"/>
      </rPr>
      <t xml:space="preserve">         </t>
    </r>
    <r>
      <rPr>
        <sz val="11"/>
        <color theme="1"/>
        <rFont val="Calibri"/>
        <family val="2"/>
        <scheme val="minor"/>
      </rPr>
      <t>Target price (% increase/decrease)</t>
    </r>
  </si>
  <si>
    <r>
      <t>·</t>
    </r>
    <r>
      <rPr>
        <sz val="7"/>
        <color theme="1"/>
        <rFont val="Times New Roman"/>
        <family val="1"/>
      </rPr>
      <t xml:space="preserve">         </t>
    </r>
    <r>
      <rPr>
        <sz val="11"/>
        <color theme="1"/>
        <rFont val="Calibri"/>
        <family val="2"/>
        <scheme val="minor"/>
      </rPr>
      <t>contain only publicly available information;</t>
    </r>
  </si>
  <si>
    <r>
      <t>·</t>
    </r>
    <r>
      <rPr>
        <sz val="7"/>
        <color theme="1"/>
        <rFont val="Times New Roman"/>
        <family val="1"/>
      </rPr>
      <t xml:space="preserve">         </t>
    </r>
    <r>
      <rPr>
        <sz val="11"/>
        <color theme="1"/>
        <rFont val="Calibri"/>
        <family val="2"/>
        <scheme val="minor"/>
      </rPr>
      <t>be the original work of the team members;</t>
    </r>
  </si>
  <si>
    <r>
      <t>·</t>
    </r>
    <r>
      <rPr>
        <sz val="7"/>
        <color theme="1"/>
        <rFont val="Times New Roman"/>
        <family val="1"/>
      </rPr>
      <t xml:space="preserve">         </t>
    </r>
    <r>
      <rPr>
        <sz val="11"/>
        <color theme="1"/>
        <rFont val="Calibri"/>
        <family val="2"/>
        <scheme val="minor"/>
      </rPr>
      <t>be prepared from the perspective of an independent research analyst;</t>
    </r>
  </si>
  <si>
    <r>
      <t>·</t>
    </r>
    <r>
      <rPr>
        <sz val="7"/>
        <color theme="1"/>
        <rFont val="Times New Roman"/>
        <family val="1"/>
      </rPr>
      <t xml:space="preserve">         </t>
    </r>
    <r>
      <rPr>
        <sz val="11"/>
        <color theme="1"/>
        <rFont val="Calibri"/>
        <family val="2"/>
        <scheme val="minor"/>
      </rPr>
      <t>be submitted to the local-level host by the deadline established by the host;</t>
    </r>
  </si>
  <si>
    <r>
      <t>·</t>
    </r>
    <r>
      <rPr>
        <sz val="7"/>
        <color theme="1"/>
        <rFont val="Times New Roman"/>
        <family val="1"/>
      </rPr>
      <t xml:space="preserve">         </t>
    </r>
    <r>
      <rPr>
        <sz val="11"/>
        <color theme="1"/>
        <rFont val="Calibri"/>
        <family val="2"/>
        <scheme val="minor"/>
      </rPr>
      <t>include the front cover provided by CFA Institute with the information in highlighted text filled in (teams must not alter any other part of the cover page, including the CFA Institute logo); and</t>
    </r>
  </si>
  <si>
    <r>
      <t>·</t>
    </r>
    <r>
      <rPr>
        <sz val="7"/>
        <color theme="1"/>
        <rFont val="Times New Roman"/>
        <family val="1"/>
      </rPr>
      <t xml:space="preserve">         </t>
    </r>
    <r>
      <rPr>
        <sz val="11"/>
        <color theme="1"/>
        <rFont val="Calibri"/>
        <family val="2"/>
        <scheme val="minor"/>
      </rPr>
      <t>contain (but not limited to*) the following sections: o Business description</t>
    </r>
  </si>
  <si>
    <r>
      <t>•</t>
    </r>
    <r>
      <rPr>
        <sz val="7"/>
        <color theme="1"/>
        <rFont val="Times New Roman"/>
        <family val="1"/>
      </rPr>
      <t xml:space="preserve">         </t>
    </r>
    <r>
      <rPr>
        <sz val="11"/>
        <color theme="1"/>
        <rFont val="Calibri"/>
        <family val="2"/>
        <scheme val="minor"/>
      </rPr>
      <t>Industry overview and competitive positioning</t>
    </r>
  </si>
  <si>
    <r>
      <t>•</t>
    </r>
    <r>
      <rPr>
        <sz val="7"/>
        <color theme="1"/>
        <rFont val="Times New Roman"/>
        <family val="1"/>
      </rPr>
      <t xml:space="preserve">         </t>
    </r>
    <r>
      <rPr>
        <sz val="11"/>
        <color theme="1"/>
        <rFont val="Calibri"/>
        <family val="2"/>
        <scheme val="minor"/>
      </rPr>
      <t>Investment summary</t>
    </r>
  </si>
  <si>
    <r>
      <t>•</t>
    </r>
    <r>
      <rPr>
        <sz val="7"/>
        <color theme="1"/>
        <rFont val="Times New Roman"/>
        <family val="1"/>
      </rPr>
      <t xml:space="preserve">         </t>
    </r>
    <r>
      <rPr>
        <sz val="11"/>
        <color theme="1"/>
        <rFont val="Calibri"/>
        <family val="2"/>
        <scheme val="minor"/>
      </rPr>
      <t>Valuation</t>
    </r>
  </si>
  <si>
    <r>
      <t>•</t>
    </r>
    <r>
      <rPr>
        <sz val="7"/>
        <color theme="1"/>
        <rFont val="Times New Roman"/>
        <family val="1"/>
      </rPr>
      <t xml:space="preserve">         </t>
    </r>
    <r>
      <rPr>
        <sz val="11"/>
        <color theme="1"/>
        <rFont val="Calibri"/>
        <family val="2"/>
        <scheme val="minor"/>
      </rPr>
      <t>Financial analysis</t>
    </r>
  </si>
  <si>
    <r>
      <t>•</t>
    </r>
    <r>
      <rPr>
        <sz val="7"/>
        <color theme="1"/>
        <rFont val="Times New Roman"/>
        <family val="1"/>
      </rPr>
      <t xml:space="preserve">         </t>
    </r>
    <r>
      <rPr>
        <sz val="11"/>
        <color theme="1"/>
        <rFont val="Calibri"/>
        <family val="2"/>
        <scheme val="minor"/>
      </rPr>
      <t>Investment risks</t>
    </r>
  </si>
  <si>
    <r>
      <t>•</t>
    </r>
    <r>
      <rPr>
        <sz val="7"/>
        <color theme="1"/>
        <rFont val="Times New Roman"/>
        <family val="1"/>
      </rPr>
      <t xml:space="preserve">         </t>
    </r>
    <r>
      <rPr>
        <sz val="11"/>
        <color theme="1"/>
        <rFont val="Calibri"/>
        <family val="2"/>
        <scheme val="minor"/>
      </rPr>
      <t>Environmental, social, and governance</t>
    </r>
  </si>
  <si>
    <r>
      <t>·</t>
    </r>
    <r>
      <rPr>
        <sz val="7"/>
        <color theme="1"/>
        <rFont val="Times New Roman"/>
        <family val="1"/>
      </rPr>
      <t xml:space="preserve">         </t>
    </r>
    <r>
      <rPr>
        <sz val="11"/>
        <color theme="1"/>
        <rFont val="Calibri"/>
        <family val="2"/>
        <scheme val="minor"/>
      </rPr>
      <t>You may also include other headings for important information not otherwise covered in the previously listed sections.</t>
    </r>
  </si>
  <si>
    <t>The CFA Institute Research Challenge is a global competition that tests the equity research and valuation, investment report writing, and presentation skills of university students. The following report was prepared in compliance with the Official Rules of the CFA Institute Research Challenge, is submitted by a team of university students as part of this annual educational initiative and should not be considered a professional report.</t>
  </si>
  <si>
    <t>Disclosures:</t>
  </si>
  <si>
    <r>
      <t>·</t>
    </r>
    <r>
      <rPr>
        <sz val="7"/>
        <color theme="1"/>
        <rFont val="Times New Roman"/>
        <family val="1"/>
      </rPr>
      <t xml:space="preserve">         </t>
    </r>
    <r>
      <rPr>
        <sz val="11"/>
        <color theme="1"/>
        <rFont val="Calibri"/>
        <family val="2"/>
        <scheme val="minor"/>
      </rPr>
      <t>Ownership and material conflicts of interest The author(s), or a member of their household, of this report [holds/does not hold] a financial interest in the securities of this company. The author(s), or a member of their household, of this report [knows/does not know] of the existence of any conflicts of interest that might bias the content or publication of this report. [The conflict of interest is…]</t>
    </r>
  </si>
  <si>
    <r>
      <t>·</t>
    </r>
    <r>
      <rPr>
        <sz val="7"/>
        <color theme="1"/>
        <rFont val="Times New Roman"/>
        <family val="1"/>
      </rPr>
      <t xml:space="preserve">         </t>
    </r>
    <r>
      <rPr>
        <sz val="11"/>
        <color theme="1"/>
        <rFont val="Calibri"/>
        <family val="2"/>
        <scheme val="minor"/>
      </rPr>
      <t>Receipt of compensation Compensation of the author(s) of this report is not based on investment banking revenue.</t>
    </r>
  </si>
  <si>
    <r>
      <t>·</t>
    </r>
    <r>
      <rPr>
        <sz val="7"/>
        <color theme="1"/>
        <rFont val="Times New Roman"/>
        <family val="1"/>
      </rPr>
      <t xml:space="preserve">         </t>
    </r>
    <r>
      <rPr>
        <sz val="11"/>
        <color theme="1"/>
        <rFont val="Calibri"/>
        <family val="2"/>
        <scheme val="minor"/>
      </rPr>
      <t>Position as an officer or a director The author(s), or a member of their household, does not serve as an officer, director, or advisory board member of the subject company.</t>
    </r>
  </si>
  <si>
    <r>
      <t>·</t>
    </r>
    <r>
      <rPr>
        <sz val="7"/>
        <color theme="1"/>
        <rFont val="Times New Roman"/>
        <family val="1"/>
      </rPr>
      <t xml:space="preserve">         </t>
    </r>
    <r>
      <rPr>
        <sz val="11"/>
        <color theme="1"/>
        <rFont val="Calibri"/>
        <family val="2"/>
        <scheme val="minor"/>
      </rPr>
      <t>Market making The author(s) does not act as a market maker in the subject company’s securities.</t>
    </r>
  </si>
  <si>
    <r>
      <t>·</t>
    </r>
    <r>
      <rPr>
        <sz val="7"/>
        <color theme="1"/>
        <rFont val="Times New Roman"/>
        <family val="1"/>
      </rPr>
      <t xml:space="preserve">         </t>
    </r>
    <r>
      <rPr>
        <sz val="11"/>
        <color theme="1"/>
        <rFont val="Calibri"/>
        <family val="2"/>
        <scheme val="minor"/>
      </rPr>
      <t>Disclaimer The information set forth herein has been obtained or derived from sources generally available to the public and believed by the author(s) to be reliable, but the author(s) does not make any representation or warranty, express or implied, as to its accuracy or completeness. The information is not intended to be used as the basis of any investment decisions by any person or entity. This information does not constitute investment advice, nor is it an offer or a solicitation of an offer to buy or sell any security. This report should not be considered to be a recommendation by any individual affiliated with [society name], CFA Institute, or the CFA Institute Research Challenge with regard to this company’s stock</t>
    </r>
  </si>
  <si>
    <t>Appendix B</t>
  </si>
  <si>
    <t>Financial Analysis How thorough was their analysis of the industry, company, and competitors?</t>
  </si>
  <si>
    <t>Valuation Were the valuation methodologies appropriate and detailed?</t>
  </si>
  <si>
    <t>Environmental, Social, and Governance Did the analysis thoroughly incorporate conservation of the natural world, consideration of people and relationships, and standards for running a company?</t>
  </si>
  <si>
    <t>Presentation How effective/convincing was their presentation? Was it logical and did the facts support the recommendation?</t>
  </si>
  <si>
    <t>Question &amp; Answer Were they able to answer the questions effectively and with confidence?</t>
  </si>
  <si>
    <t>Team Involvement Team involvement in the presentation/questions and answers</t>
  </si>
  <si>
    <t>Materials Quality of slides</t>
  </si>
  <si>
    <t>Appendix E - Sub-Regional Scoring</t>
  </si>
  <si>
    <t xml:space="preserve">Appendix D - Local, regional, semifinal, and global presentation scoring </t>
  </si>
  <si>
    <t>Kickoff</t>
  </si>
  <si>
    <t>Rules:</t>
  </si>
  <si>
    <t>Q2</t>
  </si>
  <si>
    <t>Q1</t>
  </si>
  <si>
    <t>Q3</t>
  </si>
  <si>
    <t>5.5 Year</t>
  </si>
  <si>
    <t>As Reported</t>
  </si>
  <si>
    <t>Verticle Analysis</t>
  </si>
  <si>
    <t>Total</t>
  </si>
  <si>
    <t>+</t>
  </si>
  <si>
    <t>=</t>
  </si>
  <si>
    <t>-</t>
  </si>
  <si>
    <t>2018's beginning of period cash was adjusted by 9.4.</t>
  </si>
  <si>
    <t>Non-compete Agreements Accu. Amortization &amp; Impairment</t>
  </si>
  <si>
    <t>KOP Q3 Pre Market Confrence Call</t>
  </si>
  <si>
    <t>Event</t>
  </si>
  <si>
    <t>Notes</t>
  </si>
  <si>
    <t>Date</t>
  </si>
  <si>
    <t>Interim</t>
  </si>
  <si>
    <t>Report Grading</t>
  </si>
  <si>
    <t>TBD</t>
  </si>
  <si>
    <t>Follow-up Q&amp;A</t>
  </si>
  <si>
    <t>1st Draft Due to Industry Mentor</t>
  </si>
  <si>
    <t>Final Report Due</t>
  </si>
  <si>
    <t>Local Final Presentation</t>
  </si>
  <si>
    <t>Likely at The Rivers Club, 2/26-29/2024</t>
  </si>
  <si>
    <t>Sub-Regional Presentations Due</t>
  </si>
  <si>
    <t>Global Finals</t>
  </si>
  <si>
    <t>Regional Semifinals</t>
  </si>
  <si>
    <t>Regional Finals</t>
  </si>
  <si>
    <t>KOP: Notes from IRC kickoff event.</t>
  </si>
  <si>
    <r>
      <t>·</t>
    </r>
    <r>
      <rPr>
        <sz val="7"/>
        <color theme="1"/>
        <rFont val="Times New Roman"/>
        <family val="1"/>
      </rPr>
      <t xml:space="preserve">         </t>
    </r>
    <r>
      <rPr>
        <sz val="11"/>
        <color theme="1"/>
        <rFont val="Calibri"/>
        <family val="2"/>
        <scheme val="minor"/>
      </rPr>
      <t>Growth by expansion and optimization without use of mergers and acquisitions (M&amp;A).</t>
    </r>
  </si>
  <si>
    <r>
      <t>o</t>
    </r>
    <r>
      <rPr>
        <sz val="7"/>
        <color theme="1"/>
        <rFont val="Times New Roman"/>
        <family val="1"/>
      </rPr>
      <t xml:space="preserve">   </t>
    </r>
    <r>
      <rPr>
        <sz val="11"/>
        <color theme="1"/>
        <rFont val="Calibri"/>
        <family val="2"/>
        <scheme val="minor"/>
      </rPr>
      <t>Expand</t>
    </r>
  </si>
  <si>
    <r>
      <t>§</t>
    </r>
    <r>
      <rPr>
        <sz val="7"/>
        <color theme="1"/>
        <rFont val="Times New Roman"/>
        <family val="1"/>
      </rPr>
      <t xml:space="preserve">  </t>
    </r>
    <r>
      <rPr>
        <sz val="11"/>
        <color theme="1"/>
        <rFont val="Calibri"/>
        <family val="2"/>
        <scheme val="minor"/>
      </rPr>
      <t>Brazil and Chile were the two countries they were most optimistic about.</t>
    </r>
  </si>
  <si>
    <r>
      <t>§</t>
    </r>
    <r>
      <rPr>
        <sz val="7"/>
        <color theme="1"/>
        <rFont val="Times New Roman"/>
        <family val="1"/>
      </rPr>
      <t xml:space="preserve">  </t>
    </r>
    <r>
      <rPr>
        <sz val="11"/>
        <color theme="1"/>
        <rFont val="Calibri"/>
        <family val="2"/>
        <scheme val="minor"/>
      </rPr>
      <t>New Products: Actively investing in R&amp;D to develop new patents and products.</t>
    </r>
  </si>
  <si>
    <r>
      <t>o</t>
    </r>
    <r>
      <rPr>
        <sz val="7"/>
        <color theme="1"/>
        <rFont val="Times New Roman"/>
        <family val="1"/>
      </rPr>
      <t xml:space="preserve">   </t>
    </r>
    <r>
      <rPr>
        <sz val="11"/>
        <color theme="1"/>
        <rFont val="Calibri"/>
        <family val="2"/>
        <scheme val="minor"/>
      </rPr>
      <t>Optimize</t>
    </r>
  </si>
  <si>
    <r>
      <t>§</t>
    </r>
    <r>
      <rPr>
        <sz val="7"/>
        <color theme="1"/>
        <rFont val="Times New Roman"/>
        <family val="1"/>
      </rPr>
      <t xml:space="preserve">  </t>
    </r>
    <r>
      <rPr>
        <sz val="11"/>
        <color theme="1"/>
        <rFont val="Calibri"/>
        <family val="2"/>
        <scheme val="minor"/>
      </rPr>
      <t>Price increases for MOST of their products starting in 2023, railroad ties being one of the stingier negotiations due to recent issues within the railroad industry (the strikes).</t>
    </r>
  </si>
  <si>
    <r>
      <t>§</t>
    </r>
    <r>
      <rPr>
        <sz val="7"/>
        <color theme="1"/>
        <rFont val="Times New Roman"/>
        <family val="1"/>
      </rPr>
      <t xml:space="preserve">  </t>
    </r>
    <r>
      <rPr>
        <sz val="11"/>
        <color theme="1"/>
        <rFont val="Calibri"/>
        <family val="2"/>
        <scheme val="minor"/>
      </rPr>
      <t>Vertical integration: recycling center for cross ties</t>
    </r>
  </si>
  <si>
    <r>
      <t>§</t>
    </r>
    <r>
      <rPr>
        <sz val="7"/>
        <color theme="1"/>
        <rFont val="Times New Roman"/>
        <family val="1"/>
      </rPr>
      <t xml:space="preserve">  </t>
    </r>
    <r>
      <rPr>
        <sz val="11"/>
        <color theme="1"/>
        <rFont val="Calibri"/>
        <family val="2"/>
        <scheme val="minor"/>
      </rPr>
      <t>38% less expected costs</t>
    </r>
  </si>
  <si>
    <r>
      <t>·</t>
    </r>
    <r>
      <rPr>
        <sz val="7"/>
        <color rgb="FFED7D31"/>
        <rFont val="Times New Roman"/>
        <family val="1"/>
      </rPr>
      <t xml:space="preserve">         </t>
    </r>
    <r>
      <rPr>
        <sz val="11"/>
        <color rgb="FFED7D31"/>
        <rFont val="Calibri"/>
        <family val="2"/>
        <scheme val="minor"/>
      </rPr>
      <t>Patent on their wood preservation product (how much longer will this exist?)</t>
    </r>
  </si>
  <si>
    <r>
      <t>·</t>
    </r>
    <r>
      <rPr>
        <sz val="7"/>
        <color theme="1"/>
        <rFont val="Times New Roman"/>
        <family val="1"/>
      </rPr>
      <t xml:space="preserve">         </t>
    </r>
    <r>
      <rPr>
        <sz val="11"/>
        <color theme="1"/>
        <rFont val="Calibri"/>
        <family val="2"/>
        <scheme val="minor"/>
      </rPr>
      <t>No customer base represents more than 10% of their sales</t>
    </r>
  </si>
  <si>
    <r>
      <t>·</t>
    </r>
    <r>
      <rPr>
        <sz val="7"/>
        <color theme="1"/>
        <rFont val="Times New Roman"/>
        <family val="1"/>
      </rPr>
      <t xml:space="preserve">         </t>
    </r>
    <r>
      <rPr>
        <sz val="11"/>
        <color theme="1"/>
        <rFont val="Calibri"/>
        <family val="2"/>
        <scheme val="minor"/>
      </rPr>
      <t>I forget exactly what, but they specifically said they use a metric called “debt/earnings to 3 is the goal”. I’ve never heard of this one before.</t>
    </r>
  </si>
  <si>
    <r>
      <t>·</t>
    </r>
    <r>
      <rPr>
        <sz val="7"/>
        <color theme="1"/>
        <rFont val="Times New Roman"/>
        <family val="1"/>
      </rPr>
      <t xml:space="preserve">         </t>
    </r>
    <r>
      <rPr>
        <sz val="11"/>
        <color theme="1"/>
        <rFont val="Calibri"/>
        <family val="2"/>
        <scheme val="minor"/>
      </rPr>
      <t>They’ve had a few acquisitions to acquire inventory.</t>
    </r>
  </si>
  <si>
    <r>
      <t>·</t>
    </r>
    <r>
      <rPr>
        <sz val="7"/>
        <color rgb="FFED7D31"/>
        <rFont val="Times New Roman"/>
        <family val="1"/>
      </rPr>
      <t xml:space="preserve">         </t>
    </r>
    <r>
      <rPr>
        <sz val="11"/>
        <color rgb="FFED7D31"/>
        <rFont val="Calibri"/>
        <family val="2"/>
        <scheme val="minor"/>
      </rPr>
      <t>Their debt is floating, goal is to get 50% of it on fixed contracts.</t>
    </r>
  </si>
  <si>
    <r>
      <t>·</t>
    </r>
    <r>
      <rPr>
        <sz val="7"/>
        <color theme="1"/>
        <rFont val="Times New Roman"/>
        <family val="1"/>
      </rPr>
      <t xml:space="preserve">         </t>
    </r>
    <r>
      <rPr>
        <sz val="11"/>
        <color theme="1"/>
        <rFont val="Calibri"/>
        <family val="2"/>
        <scheme val="minor"/>
      </rPr>
      <t>Competitive edge with telephone polls?</t>
    </r>
  </si>
  <si>
    <r>
      <t>·</t>
    </r>
    <r>
      <rPr>
        <sz val="7"/>
        <color rgb="FFFF0000"/>
        <rFont val="Times New Roman"/>
        <family val="1"/>
      </rPr>
      <t xml:space="preserve">         </t>
    </r>
    <r>
      <rPr>
        <sz val="11"/>
        <color rgb="FFFF0000"/>
        <rFont val="Calibri"/>
        <family val="2"/>
        <scheme val="minor"/>
      </rPr>
      <t>Amortization of soft dollars, bad acquisitions?</t>
    </r>
  </si>
  <si>
    <r>
      <t>·</t>
    </r>
    <r>
      <rPr>
        <sz val="7"/>
        <color rgb="FFFF0000"/>
        <rFont val="Times New Roman"/>
        <family val="1"/>
      </rPr>
      <t xml:space="preserve">         </t>
    </r>
    <r>
      <rPr>
        <sz val="11"/>
        <color rgb="FFFF0000"/>
        <rFont val="Calibri"/>
        <family val="2"/>
        <scheme val="minor"/>
      </rPr>
      <t>R&amp;D</t>
    </r>
    <r>
      <rPr>
        <sz val="8"/>
        <color theme="1"/>
        <rFont val="Calibri"/>
        <family val="2"/>
        <scheme val="minor"/>
      </rPr>
      <t xml:space="preserve"> - </t>
    </r>
    <r>
      <rPr>
        <sz val="11"/>
        <color theme="1"/>
        <rFont val="Calibri"/>
        <family val="2"/>
        <scheme val="minor"/>
      </rPr>
      <t>No where do they disclose how much they're spending on R&amp;D. I think they should put their money where their mouth is, and prove it. Red flag?</t>
    </r>
  </si>
  <si>
    <r>
      <t>·</t>
    </r>
    <r>
      <rPr>
        <sz val="7"/>
        <color theme="1"/>
        <rFont val="Times New Roman"/>
        <family val="1"/>
      </rPr>
      <t xml:space="preserve">         </t>
    </r>
    <r>
      <rPr>
        <sz val="11"/>
        <color theme="1"/>
        <rFont val="Calibri"/>
        <family val="2"/>
        <scheme val="minor"/>
      </rPr>
      <t>Selling of joint venture represented a strategic shift out of China completely, finished in 2020. Product line affected was carbon materials/coal tar</t>
    </r>
  </si>
  <si>
    <t>On October 31, 2022, we acquired substantially all of the assets of Gross &amp; Janes Co. ("Gross &amp; Janes") for $15.5 million in cash and we accounted for the transaction as a business combination. Gross &amp; Janes was the largest independent supplier of untreated crossties in North America, with operations in Missouri, Arkansas and Texas. The business we acquired has been integrated into our RUPS segment and we believe the acquisition will strengthen our supply chain when procuring untreated crossties for our customers. Transaction costs, revenue and profit related to the acquisition were not material for the year ended December 31, 2022.</t>
  </si>
  <si>
    <t>Name</t>
  </si>
  <si>
    <t>Description</t>
  </si>
  <si>
    <t>Gross &amp; Janes</t>
  </si>
  <si>
    <t>Product Line</t>
  </si>
  <si>
    <t>Crossties</t>
  </si>
  <si>
    <t>Marketable Securities</t>
  </si>
  <si>
    <t>Other Current Assets (See Note)</t>
  </si>
  <si>
    <t>PP&amp;E - at cost</t>
  </si>
  <si>
    <t>Other Assets (See Note)</t>
  </si>
  <si>
    <t>Current Portion of Long-Term Liabilities (See Note)</t>
  </si>
  <si>
    <t>Other long-term liabilities (See Note)</t>
  </si>
  <si>
    <t>Reclassified</t>
  </si>
  <si>
    <t>CFO</t>
  </si>
  <si>
    <t>Direct Method:</t>
  </si>
  <si>
    <t>Cash from Customers</t>
  </si>
  <si>
    <t>Cash for Inventory</t>
  </si>
  <si>
    <t>Cash Basis Gross Profit</t>
  </si>
  <si>
    <t>Cash for Interest</t>
  </si>
  <si>
    <t>Cash for Taxes</t>
  </si>
  <si>
    <t>Change in Net Operating Assets</t>
  </si>
  <si>
    <t>Change in Net Operating Assets:</t>
  </si>
  <si>
    <t>Mike DeProspero Cash Flow Profile</t>
  </si>
  <si>
    <t>Total Revenues</t>
  </si>
  <si>
    <t>Operating Cash Retention</t>
  </si>
  <si>
    <t>Operation Cash Flow Earned</t>
  </si>
  <si>
    <t>Free Cash Flow</t>
  </si>
  <si>
    <t>Net Debt Related Cash Flows</t>
  </si>
  <si>
    <t>Net Change in Cash</t>
  </si>
  <si>
    <t>Other Cash Flows (Squeeze)</t>
  </si>
  <si>
    <t>Cash Dividends Paid</t>
  </si>
  <si>
    <t>Insurance Proceeds</t>
  </si>
  <si>
    <t>Free Cash Flow to the Firm</t>
  </si>
  <si>
    <t>Free Cash Flow to Equity</t>
  </si>
  <si>
    <t>CAPEX Multiple</t>
  </si>
  <si>
    <t>Average Life of Fixed Assets</t>
  </si>
  <si>
    <t>Average Age of Fixed Assets</t>
  </si>
  <si>
    <t>Average Remaining Life</t>
  </si>
  <si>
    <t>% Consumed</t>
  </si>
  <si>
    <t>Marketable Securities Turnover</t>
  </si>
  <si>
    <t xml:space="preserve">Liquidity Analysis </t>
  </si>
  <si>
    <t>Working Capital</t>
  </si>
  <si>
    <t>Net Operating Working Capital</t>
  </si>
  <si>
    <t>Current Ratio</t>
  </si>
  <si>
    <t>Quick Ratio</t>
  </si>
  <si>
    <t>Cash Ratio</t>
  </si>
  <si>
    <t>Operating Cycle Turnovers</t>
  </si>
  <si>
    <t>Receivable Turnover</t>
  </si>
  <si>
    <t>Inventory Turnover</t>
  </si>
  <si>
    <t>Pyables Turnover</t>
  </si>
  <si>
    <t>Average Cycle Days</t>
  </si>
  <si>
    <t>Average Days to Collect</t>
  </si>
  <si>
    <t>Average Days Supply</t>
  </si>
  <si>
    <t>Operating Cycle</t>
  </si>
  <si>
    <t>Average Days to Pay</t>
  </si>
  <si>
    <t>Cash Conversion Cycle</t>
  </si>
  <si>
    <t>Ending Cycle Days</t>
  </si>
  <si>
    <t>Ending Sales Days in A/R</t>
  </si>
  <si>
    <t>Ending Days Supply of Inventory</t>
  </si>
  <si>
    <t>Ending Purchase Days in A/P</t>
  </si>
  <si>
    <t>Cash Movement</t>
  </si>
  <si>
    <t>Cash Received from Customers</t>
  </si>
  <si>
    <t>Operating Cash Disbursements</t>
  </si>
  <si>
    <t>Daily Cash Receipts</t>
  </si>
  <si>
    <t>Daily Cash Disbursements</t>
  </si>
  <si>
    <t>Capital Structure, Solvency &amp; Flexibility Analysis</t>
  </si>
  <si>
    <t>Capital Structure in Monetary Value</t>
  </si>
  <si>
    <t>Total Liabilities</t>
  </si>
  <si>
    <t>Total Debt</t>
  </si>
  <si>
    <t>Operating Liabilities</t>
  </si>
  <si>
    <t>Preferred Equity</t>
  </si>
  <si>
    <t>Common Equity</t>
  </si>
  <si>
    <t>Totally Equity</t>
  </si>
  <si>
    <t>Capital Structer as a Percent of Total Assets</t>
  </si>
  <si>
    <t>Total Invested Capital</t>
  </si>
  <si>
    <t>As Percent of Total Invested Capital</t>
  </si>
  <si>
    <t>Gearing Ratio</t>
  </si>
  <si>
    <t>Financial Leverage 1</t>
  </si>
  <si>
    <t>Coverage Ratios</t>
  </si>
  <si>
    <t>Interest Coverage</t>
  </si>
  <si>
    <t>Fixed Charge Coverage Ratio</t>
  </si>
  <si>
    <t>Debt to EBITDA</t>
  </si>
  <si>
    <t>Market Value of Treasury Stock</t>
  </si>
  <si>
    <t>Cash Flow and Credit Rating Ratios</t>
  </si>
  <si>
    <t>Defensive Interval Turnover</t>
  </si>
  <si>
    <t>Debt Coverage</t>
  </si>
  <si>
    <t>Reinvestment</t>
  </si>
  <si>
    <t>Debt Payment</t>
  </si>
  <si>
    <t>Dividend Payment</t>
  </si>
  <si>
    <t>Investing and Financing</t>
  </si>
  <si>
    <t>Cash Flow to Revenue</t>
  </si>
  <si>
    <t>Cash Return on Assets</t>
  </si>
  <si>
    <t>Cash Return on Equity</t>
  </si>
  <si>
    <t>Cash to Income</t>
  </si>
  <si>
    <t>Cash Flow Per Share</t>
  </si>
  <si>
    <t>EBIT Interst Coverage</t>
  </si>
  <si>
    <t>EBITDA Interest Coverage</t>
  </si>
  <si>
    <t>Funds from Operations</t>
  </si>
  <si>
    <t>FFO Interest Coverage</t>
  </si>
  <si>
    <t>FFO to Debt</t>
  </si>
  <si>
    <t>Return on Capital</t>
  </si>
  <si>
    <t>Free Operating Cash Flow to Debt</t>
  </si>
  <si>
    <t>Discretionary Cash Flow to Debt</t>
  </si>
  <si>
    <t>Net Cash Flow to CapEX</t>
  </si>
  <si>
    <t>Debt to Capital</t>
  </si>
  <si>
    <t>Profitability, Efficiency &amp; Effectiveness Ratios - Preliminary</t>
  </si>
  <si>
    <t>Operating Profit (EBIT) Margin</t>
  </si>
  <si>
    <t>Interest Burden</t>
  </si>
  <si>
    <t>Pretax Profit (EBT) Margin</t>
  </si>
  <si>
    <t>Tax Burden</t>
  </si>
  <si>
    <t>Profit Margin</t>
  </si>
  <si>
    <t>Total Asset Turnover</t>
  </si>
  <si>
    <t>Return on Assets</t>
  </si>
  <si>
    <t>Return on Equity</t>
  </si>
  <si>
    <t>Gross Porift Margin</t>
  </si>
  <si>
    <t>Operating Retention</t>
  </si>
  <si>
    <t>Treasury Retention</t>
  </si>
  <si>
    <t>Effective Tax Rate</t>
  </si>
  <si>
    <t>Working Capital Turnover</t>
  </si>
  <si>
    <t>Fixed Asset Turnover</t>
  </si>
  <si>
    <t>EBITDA</t>
  </si>
  <si>
    <t>Adjusted EBITDA</t>
  </si>
  <si>
    <t>Purchases of Inventory</t>
  </si>
  <si>
    <t>Financing Liabilities</t>
  </si>
  <si>
    <t>Market Value of Equity</t>
  </si>
  <si>
    <t>Shares Issued</t>
  </si>
  <si>
    <t>Shares in Treasury</t>
  </si>
  <si>
    <t>Shares Outstanding</t>
  </si>
  <si>
    <t>Stock Price 60 days after report</t>
  </si>
  <si>
    <t>Cash for Operating Leases</t>
  </si>
  <si>
    <t>Net Income</t>
  </si>
  <si>
    <t>Income Taxes</t>
  </si>
  <si>
    <t>EBIT</t>
  </si>
  <si>
    <t>EBT</t>
  </si>
  <si>
    <t>Depreciation and Amortization</t>
  </si>
  <si>
    <t>Non-GAAP:</t>
  </si>
  <si>
    <t>Operating Cash Outflow from Operating Leases (Note)</t>
  </si>
  <si>
    <t>Other Operating Cash Flows (Squeeze)</t>
  </si>
  <si>
    <t>Total Equity</t>
  </si>
  <si>
    <t>Invested Capital - Market Value</t>
  </si>
  <si>
    <t>Segments - Business Line by Statement Item</t>
  </si>
  <si>
    <t>Debt Payment (Net of barrowing)</t>
  </si>
  <si>
    <t>CFI</t>
  </si>
  <si>
    <t>CFF</t>
  </si>
  <si>
    <t>Net Income - As Reported</t>
  </si>
  <si>
    <t>Pretax Adjustments:</t>
  </si>
  <si>
    <t>Sale of assets</t>
  </si>
  <si>
    <t>Impairment</t>
  </si>
  <si>
    <t>Tax Change Impact</t>
  </si>
  <si>
    <t>Pension Settlements</t>
  </si>
  <si>
    <t>Loss on Extinguishment of Debt</t>
  </si>
  <si>
    <t>Discontinued Operations</t>
  </si>
  <si>
    <t>Income tax expense for the fourth quarter of 2017 was increased by $20.5 million due to the impact of the Tax Cuts and Jobs Act which was signed into law on December 22, 2017</t>
  </si>
  <si>
    <t>Discretionary Incentive</t>
  </si>
  <si>
    <t>Represents a one-time employee incentive associated with the sale of KJCC as described in Note 5 – "Discontinued Operations"</t>
  </si>
  <si>
    <t>Inventory Adjustment from Acquisition</t>
  </si>
  <si>
    <t>Subsidiaries (FIFO) Parent (LIFO) difference</t>
  </si>
  <si>
    <t>Net Pretax Adjustments</t>
  </si>
  <si>
    <t>Tax at Standard rate of 22%</t>
  </si>
  <si>
    <t>Net after Taxes</t>
  </si>
  <si>
    <t>Net CQAD Adjustments</t>
  </si>
  <si>
    <t>Recurring NICO</t>
  </si>
  <si>
    <t>Recurring NICO per share</t>
  </si>
  <si>
    <t>CQAD Adjustments</t>
  </si>
  <si>
    <t>EPS - As reported</t>
  </si>
  <si>
    <t>Effective Tax Rate - As Reported</t>
  </si>
  <si>
    <t>Standard Tax Rate</t>
  </si>
  <si>
    <t>Income Tax at Standard Rate</t>
  </si>
  <si>
    <t>Income Tax as Reported</t>
  </si>
  <si>
    <t>Unusual Taxes</t>
  </si>
  <si>
    <t>Recurring</t>
  </si>
  <si>
    <t>Market / Valuation Ratios</t>
  </si>
  <si>
    <t>Shares Outstanding at end of Year</t>
  </si>
  <si>
    <t>Plus Debt</t>
  </si>
  <si>
    <t>Less Cash and Securities</t>
  </si>
  <si>
    <t>Enterprise Value</t>
  </si>
  <si>
    <t>Relevant Per Share Items:</t>
  </si>
  <si>
    <t>Earnings</t>
  </si>
  <si>
    <t>Book Value</t>
  </si>
  <si>
    <t>Relevant Valuation Matrices</t>
  </si>
  <si>
    <t>Price to Earnings</t>
  </si>
  <si>
    <t>Price to Book Value</t>
  </si>
  <si>
    <t>Enterprise Value Multiple</t>
  </si>
  <si>
    <t>Price to Sales</t>
  </si>
  <si>
    <t>Price to EBIT</t>
  </si>
  <si>
    <t>Price to EBITDA</t>
  </si>
  <si>
    <t>Price to Cash Flow Earned</t>
  </si>
  <si>
    <t>Price to Operating Cash Flows</t>
  </si>
  <si>
    <t>Price to Free Cash Flow</t>
  </si>
  <si>
    <t>Dividends Declared per share</t>
  </si>
  <si>
    <t>Dividend yield</t>
  </si>
  <si>
    <t>Dividend Payout ratio</t>
  </si>
  <si>
    <t>Earnings Retention Rate</t>
  </si>
  <si>
    <t>Sustainable growth rate</t>
  </si>
  <si>
    <t>Internal Growth Rate</t>
  </si>
  <si>
    <t>PEG (Price to Earnings to  Growth)</t>
  </si>
  <si>
    <t>Market Value Added (MVA)</t>
  </si>
  <si>
    <t>Percent of total assets</t>
  </si>
  <si>
    <t>Price to FCFF</t>
  </si>
  <si>
    <t>Price to FCFE</t>
  </si>
  <si>
    <t>Growth Analysis and Recommendation</t>
  </si>
  <si>
    <t>Potential Growth Rates:</t>
  </si>
  <si>
    <t>CAGR:</t>
  </si>
  <si>
    <t>Sales</t>
  </si>
  <si>
    <t xml:space="preserve">EBIT </t>
  </si>
  <si>
    <t xml:space="preserve">Operating Cash Flows </t>
  </si>
  <si>
    <t xml:space="preserve">Free cash flow  </t>
  </si>
  <si>
    <t>Average CAGR</t>
  </si>
  <si>
    <t>Sustainable Growth Rate</t>
  </si>
  <si>
    <t>PE Ratio</t>
  </si>
  <si>
    <t>Expected Growth Rate</t>
  </si>
  <si>
    <t>CFA FCF Methods</t>
  </si>
  <si>
    <t>Int(1-t)</t>
  </si>
  <si>
    <t>Non Cash Charges (NCC)</t>
  </si>
  <si>
    <t>FCFF (Using NI)</t>
  </si>
  <si>
    <t>Working Capital Investments (WCInv)</t>
  </si>
  <si>
    <t>Fixed Capital Investments (FCInv)</t>
  </si>
  <si>
    <t>Operating Cash Flow (OCF/CFO)</t>
  </si>
  <si>
    <t>FCFF (Using CFO)</t>
  </si>
  <si>
    <t>FCFE (Using CFO)</t>
  </si>
  <si>
    <t>Net Barrowing</t>
  </si>
  <si>
    <t>D&amp;A</t>
  </si>
  <si>
    <t>FCFE (Using NI) POOR PROXY</t>
  </si>
  <si>
    <t>Adjustments for Recurring NICO</t>
  </si>
  <si>
    <t>FCFF (EBIT)</t>
  </si>
  <si>
    <t>FCFE (EBIT)</t>
  </si>
  <si>
    <t>FCFE (EBITDA)</t>
  </si>
  <si>
    <t>FCFF (EBITDA) POOR PROXY</t>
  </si>
  <si>
    <t>D*t</t>
  </si>
  <si>
    <t>EBIT(1-t) (NOPAT)</t>
  </si>
  <si>
    <t>6 Year</t>
  </si>
  <si>
    <t>2016 to</t>
  </si>
  <si>
    <t>Balance Check</t>
  </si>
  <si>
    <t>Live data</t>
  </si>
  <si>
    <t>Reclassified NICO</t>
  </si>
  <si>
    <t>Reclassified NICO per share</t>
  </si>
  <si>
    <t>Inventory write-downs (COGS)</t>
  </si>
  <si>
    <t>Inventory write - up (COGS)</t>
  </si>
  <si>
    <t>Average % of cash basis gross profit: Interest</t>
  </si>
  <si>
    <t>Average % of cash basis gross profit: Taxes</t>
  </si>
  <si>
    <t>Outlier</t>
  </si>
  <si>
    <t>EPS0</t>
  </si>
  <si>
    <t>EPS1</t>
  </si>
  <si>
    <t>EPS2</t>
  </si>
  <si>
    <t>Expected PE Ratio</t>
  </si>
  <si>
    <t>P0 - Actual</t>
  </si>
  <si>
    <t>P0 Expected</t>
  </si>
  <si>
    <t>P1 Expected</t>
  </si>
  <si>
    <t>P2 Expected</t>
  </si>
  <si>
    <t>Expected ROI - excluding dividends</t>
  </si>
  <si>
    <t>Expected ROI - Including Dividends</t>
  </si>
  <si>
    <t>Recommendation</t>
  </si>
  <si>
    <t>Worst</t>
  </si>
  <si>
    <t>Middle</t>
  </si>
  <si>
    <t>Best</t>
  </si>
  <si>
    <t>BUY</t>
  </si>
  <si>
    <t>Adjustments for recurring NICO have been copied from "Reclassified" and pasted here via numeric data only. This is so that adjustments to income statement can be made by line reference.</t>
  </si>
  <si>
    <t>Balance Check (Recurring)</t>
  </si>
  <si>
    <t>IRC KICKOFF</t>
  </si>
  <si>
    <t>HOLD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</si>
</sst>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_(* #,##0.00_);_(* \(#,##0.00\);_(* &quot;-&quot;_);_(@_)"/>
    <numFmt numFmtId="167" formatCode="0.0%"/>
    <numFmt numFmtId="168" formatCode="_(&quot;$&quot;* #,##0_);_(&quot;$&quot;* \(#,##0\);_(&quot;$&quot;* &quot;-&quot;??_);_(@_)"/>
    <numFmt numFmtId="169" formatCode="_(* #,##0.0_);_(* \(#,##0.0\);_(* &quot;-&quot;?_);_(@_)"/>
    <numFmt numFmtId="170" formatCode="_(* #,##0_);_(* \(#,##0\);_(* &quot;-&quot;?_);_(@_)"/>
    <numFmt numFmtId="171" formatCode="_(* #,##0.0_);_(* \(#,##0.0\);_(* &quot;-&quot;??_);_(@_)"/>
    <numFmt numFmtId="172" formatCode="_(&quot;$&quot;* #,##0.0_);_(&quot;$&quot;* \(#,##0.0\);_(&quot;$&quot;* &quot;-&quot;??_);_(@_)"/>
    <numFmt numFmtId="173" formatCode="_(* #,##0.00_);_(* \(#,##0.00\);_(* &quot;-&quot;?_);_(@_)"/>
    <numFmt numFmtId="174" formatCode="_(* #,##0.0000000_);_(* \(#,##0.0000000\);_(* &quot;-&quot;_);_(@_)"/>
    <numFmt numFmtId="175" formatCode="_(* #,##0.00000000000000000000000000000000000000000000_);_(* \(#,##0.00000000000000000000000000000000000000000000\);_(* &quot;-&quot;??_);_(@_)"/>
    <numFmt numFmtId="176" formatCode="_(* #,##0.0000000000000000000000000000000000000000000000000000_);_(* \(#,##0.0000000000000000000000000000000000000000000000000000\);_(* &quot;-&quot;_);_(@_)"/>
  </numFmts>
  <fonts count="39"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sz val="10"/>
      <color rgb="FF000000"/>
      <name val="Calibri"/>
      <family val="2"/>
    </font>
    <font>
      <b/>
      <sz val="10"/>
      <color rgb="FF000000"/>
      <name val="Calibri"/>
      <family val="2"/>
    </font>
    <font>
      <sz val="10"/>
      <name val="Calibri"/>
      <family val="2"/>
    </font>
    <font>
      <b/>
      <sz val="10"/>
      <name val="Calibri"/>
      <family val="2"/>
    </font>
    <font>
      <sz val="11"/>
      <name val="Calibri"/>
      <family val="2"/>
    </font>
    <font>
      <b/>
      <sz val="11"/>
      <name val="Calibri"/>
      <family val="2"/>
    </font>
    <font>
      <sz val="11"/>
      <color rgb="FF000000"/>
      <name val="Calibri"/>
      <family val="2"/>
    </font>
    <font>
      <b/>
      <sz val="11"/>
      <color rgb="FF000000"/>
      <name val="Calibri"/>
      <family val="2"/>
    </font>
    <font>
      <b/>
      <sz val="10"/>
      <color theme="1"/>
      <name val="Calibri"/>
      <family val="2"/>
      <scheme val="minor"/>
    </font>
    <font>
      <sz val="9"/>
      <color indexed="81"/>
      <name val="Tahoma"/>
      <family val="2"/>
    </font>
    <font>
      <b/>
      <sz val="9"/>
      <color indexed="81"/>
      <name val="Tahoma"/>
      <family val="2"/>
    </font>
    <font>
      <sz val="11"/>
      <color theme="1"/>
      <name val="Symbol"/>
      <family val="1"/>
      <charset val="2"/>
    </font>
    <font>
      <sz val="7"/>
      <color theme="1"/>
      <name val="Times New Roman"/>
      <family val="1"/>
    </font>
    <font>
      <u/>
      <sz val="11"/>
      <color theme="10"/>
      <name val="Calibri"/>
      <family val="2"/>
      <scheme val="minor"/>
    </font>
    <font>
      <sz val="8"/>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sz val="11"/>
      <color theme="1"/>
      <name val="Courier New"/>
      <family val="3"/>
    </font>
    <font>
      <sz val="11"/>
      <color theme="1"/>
      <name val="Wingdings"/>
      <charset val="2"/>
    </font>
    <font>
      <sz val="11"/>
      <color rgb="FFFF0000"/>
      <name val="Symbol"/>
      <family val="1"/>
      <charset val="2"/>
    </font>
    <font>
      <sz val="7"/>
      <color rgb="FFFF0000"/>
      <name val="Times New Roman"/>
      <family val="1"/>
    </font>
    <font>
      <sz val="8"/>
      <color theme="1"/>
      <name val="Calibri"/>
      <family val="2"/>
      <scheme val="minor"/>
    </font>
    <font>
      <sz val="11"/>
      <color rgb="FFED7D31"/>
      <name val="Symbol"/>
      <family val="1"/>
      <charset val="2"/>
    </font>
    <font>
      <sz val="7"/>
      <color rgb="FFED7D31"/>
      <name val="Times New Roman"/>
      <family val="1"/>
    </font>
    <font>
      <sz val="11"/>
      <color rgb="FFED7D31"/>
      <name val="Calibri"/>
      <family val="2"/>
      <scheme val="minor"/>
    </font>
    <font>
      <b/>
      <sz val="14"/>
      <color theme="1"/>
      <name val="Calibri"/>
      <family val="2"/>
      <scheme val="minor"/>
    </font>
    <font>
      <sz val="10"/>
      <color theme="1"/>
      <name val="Calibri"/>
      <family val="2"/>
      <scheme val="minor"/>
    </font>
    <font>
      <i/>
      <sz val="10"/>
      <name val="Arial Rounded MT Bold"/>
      <family val="2"/>
    </font>
    <font>
      <i/>
      <sz val="14"/>
      <name val="Arial Rounded MT Bold"/>
      <family val="2"/>
    </font>
    <font>
      <sz val="11"/>
      <color rgb="FF006100"/>
      <name val="Calibri"/>
      <family val="2"/>
      <scheme val="minor"/>
    </font>
    <font>
      <b/>
      <sz val="11"/>
      <color rgb="FF9C0006"/>
      <name val="Calibri"/>
      <family val="2"/>
      <scheme val="minor"/>
    </font>
    <font>
      <sz val="11"/>
      <color theme="1"/>
      <name val="Calibri"/>
      <family val="2"/>
    </font>
    <font>
      <b/>
      <sz val="11"/>
      <color theme="1"/>
      <name val="Calibri"/>
      <family val="2"/>
    </font>
    <font>
      <sz val="10"/>
      <name val="Calibri"/>
      <family val="2"/>
      <scheme val="minor"/>
    </font>
  </fonts>
  <fills count="8">
    <fill>
      <patternFill patternType="none"/>
    </fill>
    <fill>
      <patternFill patternType="gray125"/>
    </fill>
    <fill>
      <patternFill patternType="solid">
        <fgColor rgb="FFFFC7CE"/>
      </patternFill>
    </fill>
    <fill>
      <patternFill patternType="solid">
        <fgColor theme="4" tint="0.79998168889431442"/>
        <bgColor indexed="64"/>
      </patternFill>
    </fill>
    <fill>
      <patternFill patternType="solid">
        <fgColor rgb="FFFFEB9C"/>
      </patternFill>
    </fill>
    <fill>
      <patternFill patternType="solid">
        <fgColor theme="9"/>
      </patternFill>
    </fill>
    <fill>
      <patternFill patternType="solid">
        <fgColor rgb="FFC6EFCE"/>
      </patternFill>
    </fill>
    <fill>
      <patternFill patternType="solid">
        <fgColor theme="4" tint="0.79998168889431442"/>
        <bgColor indexed="65"/>
      </patternFill>
    </fill>
  </fills>
  <borders count="62">
    <border>
      <left/>
      <right/>
      <top/>
      <bottom/>
      <diagonal/>
    </border>
    <border>
      <left/>
      <right/>
      <top/>
      <bottom style="medium">
        <color indexed="64"/>
      </bottom>
      <diagonal/>
    </border>
    <border>
      <left style="thin">
        <color rgb="FFD5D8DB"/>
      </left>
      <right style="thin">
        <color rgb="FFD5D8DB"/>
      </right>
      <top style="thin">
        <color rgb="FFD5D8DB"/>
      </top>
      <bottom style="thin">
        <color rgb="FFD5D8DB"/>
      </bottom>
      <diagonal/>
    </border>
    <border>
      <left style="thin">
        <color rgb="FFD5D8DB"/>
      </left>
      <right style="thin">
        <color rgb="FFD5D8DB"/>
      </right>
      <top style="thin">
        <color rgb="FFD5D8DB"/>
      </top>
      <bottom style="thin">
        <color indexed="64"/>
      </bottom>
      <diagonal/>
    </border>
    <border>
      <left style="thin">
        <color rgb="FFD5D8DB"/>
      </left>
      <right style="thin">
        <color rgb="FFD5D8DB"/>
      </right>
      <top/>
      <bottom style="thin">
        <color rgb="FFD5D8DB"/>
      </bottom>
      <diagonal/>
    </border>
    <border>
      <left style="thin">
        <color rgb="FFD5D8DB"/>
      </left>
      <right/>
      <top style="thin">
        <color indexed="64"/>
      </top>
      <bottom style="double">
        <color indexed="64"/>
      </bottom>
      <diagonal/>
    </border>
    <border>
      <left/>
      <right/>
      <top style="thin">
        <color indexed="64"/>
      </top>
      <bottom style="double">
        <color indexed="64"/>
      </bottom>
      <diagonal/>
    </border>
    <border>
      <left style="thin">
        <color rgb="FFD5D8DB"/>
      </left>
      <right style="thin">
        <color rgb="FFD5D8DB"/>
      </right>
      <top style="thin">
        <color indexed="64"/>
      </top>
      <bottom style="thin">
        <color indexed="64"/>
      </bottom>
      <diagonal/>
    </border>
    <border>
      <left style="thin">
        <color rgb="FFD5D8DB"/>
      </left>
      <right style="thin">
        <color rgb="FFD5D8DB"/>
      </right>
      <top style="thin">
        <color rgb="FFD5D8DB"/>
      </top>
      <bottom/>
      <diagonal/>
    </border>
    <border>
      <left style="thin">
        <color rgb="FFD5D8DB"/>
      </left>
      <right style="thin">
        <color rgb="FFD5D8DB"/>
      </right>
      <top/>
      <bottom/>
      <diagonal/>
    </border>
    <border>
      <left/>
      <right/>
      <top style="thin">
        <color rgb="FFD5D8DB"/>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D5D8DB"/>
      </left>
      <right style="thin">
        <color rgb="FFD5D8DB"/>
      </right>
      <top style="thin">
        <color indexed="64"/>
      </top>
      <bottom style="double">
        <color indexed="64"/>
      </bottom>
      <diagonal/>
    </border>
    <border>
      <left style="thin">
        <color rgb="FFD5D8DB"/>
      </left>
      <right style="thin">
        <color rgb="FFD5D8DB"/>
      </right>
      <top/>
      <bottom style="double">
        <color indexed="64"/>
      </bottom>
      <diagonal/>
    </border>
    <border>
      <left style="thin">
        <color rgb="FFD5D8DB"/>
      </left>
      <right style="thin">
        <color rgb="FFD5D8DB"/>
      </right>
      <top/>
      <bottom style="thin">
        <color indexed="64"/>
      </bottom>
      <diagonal/>
    </border>
    <border>
      <left style="thin">
        <color rgb="FFD5D8DB"/>
      </left>
      <right/>
      <top/>
      <bottom style="thin">
        <color indexed="64"/>
      </bottom>
      <diagonal/>
    </border>
    <border>
      <left style="thin">
        <color rgb="FFD5D8DB"/>
      </left>
      <right/>
      <top style="thin">
        <color indexed="64"/>
      </top>
      <bottom style="thin">
        <color indexed="64"/>
      </bottom>
      <diagonal/>
    </border>
    <border>
      <left/>
      <right style="thin">
        <color rgb="FFD5D8DB"/>
      </right>
      <top style="thin">
        <color indexed="64"/>
      </top>
      <bottom style="thin">
        <color indexed="64"/>
      </bottom>
      <diagonal/>
    </border>
    <border>
      <left style="thin">
        <color rgb="FFD5D8DB"/>
      </left>
      <right/>
      <top style="thin">
        <color rgb="FFD5D8DB"/>
      </top>
      <bottom style="thin">
        <color rgb="FFD5D8DB"/>
      </bottom>
      <diagonal/>
    </border>
    <border>
      <left/>
      <right style="thin">
        <color rgb="FFD5D8DB"/>
      </right>
      <top style="thin">
        <color rgb="FFD5D8DB"/>
      </top>
      <bottom style="thin">
        <color rgb="FFD5D8DB"/>
      </bottom>
      <diagonal/>
    </border>
    <border>
      <left/>
      <right style="thin">
        <color rgb="FFD5D8DB"/>
      </right>
      <top style="thin">
        <color rgb="FFD5D8DB"/>
      </top>
      <bottom style="thin">
        <color indexed="64"/>
      </bottom>
      <diagonal/>
    </border>
    <border>
      <left/>
      <right/>
      <top/>
      <bottom style="double">
        <color indexed="64"/>
      </bottom>
      <diagonal/>
    </border>
    <border>
      <left/>
      <right style="thin">
        <color rgb="FFD5D8DB"/>
      </right>
      <top style="thin">
        <color indexed="64"/>
      </top>
      <bottom style="double">
        <color indexed="64"/>
      </bottom>
      <diagonal/>
    </border>
    <border>
      <left/>
      <right/>
      <top style="thin">
        <color rgb="FFD5D8DB"/>
      </top>
      <bottom/>
      <diagonal/>
    </border>
    <border>
      <left/>
      <right style="thin">
        <color indexed="64"/>
      </right>
      <top/>
      <bottom style="medium">
        <color indexed="64"/>
      </bottom>
      <diagonal/>
    </border>
    <border>
      <left/>
      <right style="thin">
        <color indexed="64"/>
      </right>
      <top/>
      <bottom/>
      <diagonal/>
    </border>
    <border>
      <left/>
      <right style="thin">
        <color rgb="FFD5D8DB"/>
      </right>
      <top/>
      <bottom style="thin">
        <color indexed="64"/>
      </bottom>
      <diagonal/>
    </border>
    <border>
      <left/>
      <right style="thin">
        <color rgb="FFD5D8DB"/>
      </right>
      <top/>
      <bottom style="thin">
        <color rgb="FFD5D8DB"/>
      </bottom>
      <diagonal/>
    </border>
    <border>
      <left/>
      <right style="thin">
        <color rgb="FFD5D8DB"/>
      </right>
      <top/>
      <bottom style="double">
        <color indexed="64"/>
      </bottom>
      <diagonal/>
    </border>
    <border>
      <left/>
      <right style="thin">
        <color indexed="64"/>
      </right>
      <top style="medium">
        <color indexed="64"/>
      </top>
      <bottom/>
      <diagonal/>
    </border>
    <border>
      <left style="thin">
        <color rgb="FFD5D8DB"/>
      </left>
      <right style="thin">
        <color indexed="64"/>
      </right>
      <top style="thin">
        <color rgb="FFD5D8DB"/>
      </top>
      <bottom style="thin">
        <color rgb="FFD5D8DB"/>
      </bottom>
      <diagonal/>
    </border>
    <border>
      <left style="thin">
        <color rgb="FFD5D8DB"/>
      </left>
      <right style="thin">
        <color indexed="64"/>
      </right>
      <top style="thin">
        <color rgb="FFD5D8DB"/>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style="thin">
        <color rgb="FFD5D8DB"/>
      </left>
      <right style="thin">
        <color indexed="64"/>
      </right>
      <top/>
      <bottom style="thin">
        <color rgb="FFD5D8DB"/>
      </bottom>
      <diagonal/>
    </border>
    <border>
      <left style="thin">
        <color rgb="FFD5D8DB"/>
      </left>
      <right style="thin">
        <color indexed="64"/>
      </right>
      <top style="thin">
        <color indexed="64"/>
      </top>
      <bottom style="double">
        <color indexed="64"/>
      </bottom>
      <diagonal/>
    </border>
    <border>
      <left/>
      <right style="thin">
        <color indexed="64"/>
      </right>
      <top style="thin">
        <color rgb="FFD5D8DB"/>
      </top>
      <bottom style="thin">
        <color indexed="64"/>
      </bottom>
      <diagonal/>
    </border>
    <border>
      <left/>
      <right style="thin">
        <color indexed="64"/>
      </right>
      <top style="thin">
        <color rgb="FFD5D8DB"/>
      </top>
      <bottom/>
      <diagonal/>
    </border>
    <border>
      <left style="thin">
        <color rgb="FFD5D8DB"/>
      </left>
      <right style="thin">
        <color indexed="64"/>
      </right>
      <top/>
      <bottom style="double">
        <color indexed="64"/>
      </bottom>
      <diagonal/>
    </border>
    <border>
      <left style="thin">
        <color rgb="FFD5D8DB"/>
      </left>
      <right style="thin">
        <color indexed="64"/>
      </right>
      <top style="medium">
        <color indexed="64"/>
      </top>
      <bottom style="thin">
        <color rgb="FFD5D8DB"/>
      </bottom>
      <diagonal/>
    </border>
    <border>
      <left/>
      <right style="thin">
        <color rgb="FFD5D8DB"/>
      </right>
      <top/>
      <bottom/>
      <diagonal/>
    </border>
    <border>
      <left style="thin">
        <color rgb="FFD5D8DB"/>
      </left>
      <right style="thin">
        <color indexed="64"/>
      </right>
      <top/>
      <bottom/>
      <diagonal/>
    </border>
    <border>
      <left style="medium">
        <color indexed="64"/>
      </left>
      <right style="thin">
        <color rgb="FFD5D8DB"/>
      </right>
      <top style="medium">
        <color indexed="64"/>
      </top>
      <bottom style="thin">
        <color rgb="FFD5D8DB"/>
      </bottom>
      <diagonal/>
    </border>
    <border>
      <left/>
      <right/>
      <top style="medium">
        <color indexed="64"/>
      </top>
      <bottom/>
      <diagonal/>
    </border>
    <border>
      <left style="thin">
        <color rgb="FFD5D8DB"/>
      </left>
      <right style="thin">
        <color rgb="FFD5D8DB"/>
      </right>
      <top style="medium">
        <color indexed="64"/>
      </top>
      <bottom style="thin">
        <color rgb="FFD5D8DB"/>
      </bottom>
      <diagonal/>
    </border>
    <border>
      <left style="medium">
        <color indexed="64"/>
      </left>
      <right style="thin">
        <color rgb="FFD5D8DB"/>
      </right>
      <top style="thin">
        <color rgb="FFD5D8DB"/>
      </top>
      <bottom style="thin">
        <color rgb="FFD5D8DB"/>
      </bottom>
      <diagonal/>
    </border>
    <border>
      <left/>
      <right style="medium">
        <color indexed="64"/>
      </right>
      <top/>
      <bottom/>
      <diagonal/>
    </border>
    <border>
      <left/>
      <right style="thin">
        <color indexed="64"/>
      </right>
      <top/>
      <bottom style="double">
        <color indexed="64"/>
      </bottom>
      <diagonal/>
    </border>
    <border>
      <left style="thin">
        <color rgb="FFD5D8DB"/>
      </left>
      <right/>
      <top style="thin">
        <color rgb="FFD5D8DB"/>
      </top>
      <bottom/>
      <diagonal/>
    </border>
    <border>
      <left style="thin">
        <color rgb="FFD5D8DB"/>
      </left>
      <right/>
      <top style="thin">
        <color rgb="FFD5D8DB"/>
      </top>
      <bottom style="thin">
        <color indexed="64"/>
      </bottom>
      <diagonal/>
    </border>
    <border>
      <left/>
      <right style="thin">
        <color indexed="64"/>
      </right>
      <top style="thin">
        <color indexed="64"/>
      </top>
      <bottom/>
      <diagonal/>
    </border>
    <border>
      <left style="medium">
        <color indexed="64"/>
      </left>
      <right style="thin">
        <color rgb="FFD5D8DB"/>
      </right>
      <top style="thin">
        <color rgb="FFD5D8DB"/>
      </top>
      <bottom/>
      <diagonal/>
    </border>
    <border>
      <left style="medium">
        <color indexed="64"/>
      </left>
      <right/>
      <top/>
      <bottom/>
      <diagonal/>
    </border>
    <border>
      <left/>
      <right style="medium">
        <color indexed="64"/>
      </right>
      <top/>
      <bottom style="medium">
        <color indexed="64"/>
      </bottom>
      <diagonal/>
    </border>
    <border>
      <left style="medium">
        <color indexed="64"/>
      </left>
      <right style="thin">
        <color rgb="FFD5D8DB"/>
      </right>
      <top/>
      <bottom/>
      <diagonal/>
    </border>
    <border>
      <left style="medium">
        <color indexed="64"/>
      </left>
      <right/>
      <top/>
      <bottom style="medium">
        <color indexed="64"/>
      </bottom>
      <diagonal/>
    </border>
    <border>
      <left style="thin">
        <color rgb="FFD5D8DB"/>
      </left>
      <right/>
      <top/>
      <bottom/>
      <diagonal/>
    </border>
    <border>
      <left style="thin">
        <color rgb="FFD5D8DB"/>
      </left>
      <right/>
      <top style="medium">
        <color indexed="64"/>
      </top>
      <bottom style="thin">
        <color rgb="FFD5D8DB"/>
      </bottom>
      <diagonal/>
    </border>
    <border>
      <left/>
      <right style="medium">
        <color indexed="64"/>
      </right>
      <top style="medium">
        <color indexed="64"/>
      </top>
      <bottom/>
      <diagonal/>
    </border>
    <border>
      <left/>
      <right style="medium">
        <color indexed="64"/>
      </right>
      <top/>
      <bottom style="thin">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7" fillId="0" borderId="0" applyNumberFormat="0" applyFill="0" applyBorder="0" applyAlignment="0" applyProtection="0"/>
    <xf numFmtId="0" fontId="19" fillId="4" borderId="0" applyNumberFormat="0" applyBorder="0" applyAlignment="0" applyProtection="0"/>
    <xf numFmtId="0" fontId="21" fillId="5" borderId="0" applyNumberFormat="0" applyBorder="0" applyAlignment="0" applyProtection="0"/>
    <xf numFmtId="0" fontId="34" fillId="6" borderId="0" applyNumberFormat="0" applyBorder="0" applyAlignment="0" applyProtection="0"/>
    <xf numFmtId="0" fontId="1" fillId="7" borderId="0" applyNumberFormat="0" applyBorder="0" applyAlignment="0" applyProtection="0"/>
  </cellStyleXfs>
  <cellXfs count="381">
    <xf numFmtId="0" fontId="0" fillId="0" borderId="0" xfId="0"/>
    <xf numFmtId="164" fontId="3" fillId="3" borderId="0" xfId="1" applyNumberFormat="1" applyFont="1" applyFill="1"/>
    <xf numFmtId="164" fontId="3" fillId="3" borderId="0" xfId="1" applyNumberFormat="1" applyFont="1" applyFill="1" applyAlignment="1">
      <alignment horizontal="right"/>
    </xf>
    <xf numFmtId="0" fontId="3" fillId="3" borderId="1" xfId="1" applyNumberFormat="1" applyFont="1" applyFill="1" applyBorder="1"/>
    <xf numFmtId="164" fontId="3" fillId="3" borderId="1" xfId="1" applyNumberFormat="1" applyFont="1" applyFill="1" applyBorder="1"/>
    <xf numFmtId="0" fontId="4" fillId="0" borderId="2" xfId="0" applyFont="1" applyBorder="1" applyAlignment="1">
      <alignment horizontal="left" vertical="center" wrapText="1"/>
    </xf>
    <xf numFmtId="0" fontId="5" fillId="0" borderId="2" xfId="0" applyFont="1" applyBorder="1" applyAlignment="1">
      <alignment horizontal="left" vertical="center" wrapText="1"/>
    </xf>
    <xf numFmtId="0" fontId="3" fillId="3" borderId="0" xfId="1" applyNumberFormat="1" applyFont="1" applyFill="1" applyBorder="1"/>
    <xf numFmtId="41" fontId="8" fillId="0" borderId="2" xfId="0" applyNumberFormat="1" applyFont="1" applyBorder="1" applyAlignment="1">
      <alignment horizontal="left" vertical="center" wrapText="1"/>
    </xf>
    <xf numFmtId="41" fontId="8" fillId="0" borderId="2" xfId="0" applyNumberFormat="1" applyFont="1" applyBorder="1" applyAlignment="1">
      <alignment horizontal="left" vertical="center" wrapText="1" indent="2"/>
    </xf>
    <xf numFmtId="41" fontId="8" fillId="0" borderId="3" xfId="0" applyNumberFormat="1" applyFont="1" applyBorder="1" applyAlignment="1">
      <alignment horizontal="left" vertical="center" wrapText="1" indent="2"/>
    </xf>
    <xf numFmtId="165" fontId="8" fillId="0" borderId="2" xfId="0" applyNumberFormat="1" applyFont="1" applyBorder="1" applyAlignment="1">
      <alignment horizontal="left" vertical="center" wrapText="1"/>
    </xf>
    <xf numFmtId="166" fontId="0" fillId="0" borderId="0" xfId="0" applyNumberFormat="1"/>
    <xf numFmtId="166" fontId="9" fillId="0" borderId="4" xfId="0" applyNumberFormat="1" applyFont="1" applyBorder="1" applyAlignment="1">
      <alignment horizontal="left" vertical="center" wrapText="1"/>
    </xf>
    <xf numFmtId="0" fontId="4" fillId="0" borderId="2" xfId="0" applyFont="1" applyBorder="1" applyAlignment="1">
      <alignment horizontal="left" vertical="center" wrapText="1" indent="1"/>
    </xf>
    <xf numFmtId="43" fontId="0" fillId="0" borderId="0" xfId="0" applyNumberFormat="1"/>
    <xf numFmtId="41" fontId="10" fillId="0" borderId="2" xfId="0" applyNumberFormat="1" applyFont="1" applyBorder="1" applyAlignment="1">
      <alignment horizontal="left" vertical="center" wrapText="1"/>
    </xf>
    <xf numFmtId="0" fontId="3" fillId="3" borderId="1" xfId="1" applyNumberFormat="1" applyFont="1" applyFill="1" applyBorder="1" applyAlignment="1">
      <alignment horizontal="right"/>
    </xf>
    <xf numFmtId="167" fontId="3" fillId="0" borderId="12" xfId="3" applyNumberFormat="1" applyFont="1" applyBorder="1"/>
    <xf numFmtId="167" fontId="3" fillId="0" borderId="6" xfId="3" applyNumberFormat="1" applyFont="1" applyBorder="1"/>
    <xf numFmtId="167" fontId="3" fillId="0" borderId="0" xfId="3" applyNumberFormat="1" applyFont="1"/>
    <xf numFmtId="164" fontId="3" fillId="3" borderId="1" xfId="1" applyNumberFormat="1" applyFont="1" applyFill="1" applyBorder="1" applyAlignment="1">
      <alignment horizontal="right"/>
    </xf>
    <xf numFmtId="164" fontId="3" fillId="3" borderId="0" xfId="1" applyNumberFormat="1" applyFont="1" applyFill="1" applyAlignment="1">
      <alignment horizontal="left"/>
    </xf>
    <xf numFmtId="41" fontId="8" fillId="0" borderId="3" xfId="0" applyNumberFormat="1" applyFont="1" applyBorder="1" applyAlignment="1">
      <alignment horizontal="left" vertical="center" wrapText="1"/>
    </xf>
    <xf numFmtId="41" fontId="9" fillId="0" borderId="4" xfId="0" applyNumberFormat="1" applyFont="1" applyBorder="1" applyAlignment="1">
      <alignment horizontal="left" vertical="center" wrapText="1"/>
    </xf>
    <xf numFmtId="41" fontId="9" fillId="0" borderId="7" xfId="0" applyNumberFormat="1" applyFont="1" applyBorder="1" applyAlignment="1">
      <alignment horizontal="left" vertical="center" wrapText="1"/>
    </xf>
    <xf numFmtId="41" fontId="9" fillId="0" borderId="13" xfId="0" applyNumberFormat="1" applyFont="1" applyBorder="1" applyAlignment="1">
      <alignment horizontal="left" vertical="center" wrapText="1"/>
    </xf>
    <xf numFmtId="168" fontId="10" fillId="0" borderId="2" xfId="2" applyNumberFormat="1" applyFont="1" applyBorder="1" applyAlignment="1">
      <alignment horizontal="left" vertical="center" wrapText="1" indent="1"/>
    </xf>
    <xf numFmtId="168" fontId="8" fillId="0" borderId="2" xfId="2" applyNumberFormat="1" applyFont="1" applyBorder="1" applyAlignment="1">
      <alignment horizontal="left" vertical="center" wrapText="1"/>
    </xf>
    <xf numFmtId="41" fontId="8" fillId="0" borderId="4" xfId="0" applyNumberFormat="1" applyFont="1" applyBorder="1" applyAlignment="1">
      <alignment horizontal="left" vertical="center" wrapText="1"/>
    </xf>
    <xf numFmtId="168" fontId="9" fillId="0" borderId="13" xfId="2" applyNumberFormat="1" applyFont="1" applyBorder="1" applyAlignment="1">
      <alignment horizontal="left" vertical="center" wrapText="1"/>
    </xf>
    <xf numFmtId="168" fontId="9" fillId="0" borderId="9" xfId="2" applyNumberFormat="1" applyFont="1" applyBorder="1" applyAlignment="1">
      <alignment horizontal="left" vertical="center" wrapText="1"/>
    </xf>
    <xf numFmtId="167" fontId="3" fillId="0" borderId="0" xfId="3" applyNumberFormat="1" applyFont="1" applyBorder="1"/>
    <xf numFmtId="0" fontId="12" fillId="0" borderId="0" xfId="0" applyFont="1"/>
    <xf numFmtId="0" fontId="6" fillId="0" borderId="2" xfId="0" applyFont="1" applyBorder="1" applyAlignment="1">
      <alignment horizontal="left" vertical="center" wrapText="1"/>
    </xf>
    <xf numFmtId="0" fontId="8" fillId="0" borderId="0" xfId="0" applyFont="1"/>
    <xf numFmtId="0" fontId="7" fillId="0" borderId="2" xfId="0" applyFont="1" applyBorder="1" applyAlignment="1">
      <alignment horizontal="left" vertical="center" wrapText="1"/>
    </xf>
    <xf numFmtId="0" fontId="6" fillId="0" borderId="2" xfId="0" applyFont="1" applyBorder="1" applyAlignment="1">
      <alignment horizontal="left" vertical="center" wrapText="1" indent="1"/>
    </xf>
    <xf numFmtId="41" fontId="8" fillId="0" borderId="0" xfId="0" applyNumberFormat="1" applyFont="1"/>
    <xf numFmtId="41" fontId="9" fillId="0" borderId="0" xfId="0" applyNumberFormat="1" applyFont="1"/>
    <xf numFmtId="166" fontId="8" fillId="0" borderId="0" xfId="0" applyNumberFormat="1" applyFont="1"/>
    <xf numFmtId="167" fontId="8" fillId="0" borderId="0" xfId="3" applyNumberFormat="1" applyFont="1"/>
    <xf numFmtId="167" fontId="8" fillId="0" borderId="12" xfId="3" applyNumberFormat="1" applyFont="1" applyBorder="1"/>
    <xf numFmtId="44" fontId="8" fillId="0" borderId="0" xfId="2" applyFont="1"/>
    <xf numFmtId="168" fontId="8" fillId="0" borderId="0" xfId="2" applyNumberFormat="1" applyFont="1"/>
    <xf numFmtId="41" fontId="9" fillId="0" borderId="17" xfId="0" applyNumberFormat="1" applyFont="1" applyBorder="1" applyAlignment="1">
      <alignment horizontal="left" vertical="center" wrapText="1"/>
    </xf>
    <xf numFmtId="0" fontId="4" fillId="0" borderId="19" xfId="0" applyFont="1" applyBorder="1" applyAlignment="1">
      <alignment horizontal="left" vertical="center" wrapText="1"/>
    </xf>
    <xf numFmtId="0" fontId="6" fillId="0" borderId="19" xfId="0" applyFont="1" applyBorder="1" applyAlignment="1">
      <alignment horizontal="left" vertical="center" wrapText="1"/>
    </xf>
    <xf numFmtId="41" fontId="8" fillId="0" borderId="12" xfId="0" applyNumberFormat="1" applyFont="1" applyBorder="1"/>
    <xf numFmtId="41" fontId="10" fillId="0" borderId="3" xfId="0" applyNumberFormat="1" applyFont="1" applyBorder="1" applyAlignment="1">
      <alignment horizontal="left" vertical="center" wrapText="1"/>
    </xf>
    <xf numFmtId="41" fontId="10" fillId="0" borderId="4" xfId="0" applyNumberFormat="1" applyFont="1" applyBorder="1" applyAlignment="1">
      <alignment horizontal="left" vertical="center" wrapText="1"/>
    </xf>
    <xf numFmtId="41" fontId="10" fillId="0" borderId="8" xfId="0" applyNumberFormat="1" applyFont="1" applyBorder="1" applyAlignment="1">
      <alignment horizontal="left" vertical="center" wrapText="1"/>
    </xf>
    <xf numFmtId="41" fontId="10" fillId="0" borderId="12" xfId="0" applyNumberFormat="1" applyFont="1" applyBorder="1" applyAlignment="1">
      <alignment horizontal="left" vertical="center" wrapText="1"/>
    </xf>
    <xf numFmtId="41" fontId="8" fillId="0" borderId="20" xfId="0" applyNumberFormat="1" applyFont="1" applyBorder="1" applyAlignment="1">
      <alignment horizontal="left" vertical="center" wrapText="1" indent="2"/>
    </xf>
    <xf numFmtId="41" fontId="8" fillId="0" borderId="21" xfId="0" applyNumberFormat="1" applyFont="1" applyBorder="1" applyAlignment="1">
      <alignment horizontal="left" vertical="center" wrapText="1" indent="2"/>
    </xf>
    <xf numFmtId="169" fontId="8" fillId="0" borderId="2" xfId="0" applyNumberFormat="1" applyFont="1" applyBorder="1" applyAlignment="1">
      <alignment horizontal="left" vertical="center" wrapText="1"/>
    </xf>
    <xf numFmtId="41" fontId="3" fillId="0" borderId="0" xfId="0" applyNumberFormat="1" applyFont="1"/>
    <xf numFmtId="0" fontId="1" fillId="0" borderId="0" xfId="0" applyFont="1"/>
    <xf numFmtId="167" fontId="1" fillId="0" borderId="0" xfId="3" applyNumberFormat="1" applyFont="1"/>
    <xf numFmtId="167" fontId="1" fillId="0" borderId="12" xfId="3" applyNumberFormat="1" applyFont="1" applyBorder="1"/>
    <xf numFmtId="166" fontId="1" fillId="0" borderId="0" xfId="0" applyNumberFormat="1" applyFont="1"/>
    <xf numFmtId="41" fontId="1" fillId="0" borderId="0" xfId="0" applyNumberFormat="1" applyFont="1"/>
    <xf numFmtId="167" fontId="1" fillId="0" borderId="0" xfId="0" applyNumberFormat="1" applyFont="1"/>
    <xf numFmtId="43" fontId="1" fillId="0" borderId="0" xfId="0" applyNumberFormat="1" applyFont="1"/>
    <xf numFmtId="166" fontId="9" fillId="0" borderId="0" xfId="0" applyNumberFormat="1" applyFont="1" applyAlignment="1">
      <alignment horizontal="left" vertical="center" wrapText="1"/>
    </xf>
    <xf numFmtId="41" fontId="9" fillId="0" borderId="18" xfId="0" applyNumberFormat="1" applyFont="1" applyBorder="1" applyAlignment="1">
      <alignment horizontal="left" vertical="center" wrapText="1"/>
    </xf>
    <xf numFmtId="41" fontId="1" fillId="0" borderId="16" xfId="0" applyNumberFormat="1" applyFont="1" applyBorder="1"/>
    <xf numFmtId="41" fontId="1" fillId="0" borderId="12" xfId="0" applyNumberFormat="1" applyFont="1" applyBorder="1"/>
    <xf numFmtId="41" fontId="1" fillId="0" borderId="15" xfId="0" applyNumberFormat="1" applyFont="1" applyBorder="1"/>
    <xf numFmtId="169" fontId="9" fillId="0" borderId="4" xfId="0" applyNumberFormat="1" applyFont="1" applyBorder="1" applyAlignment="1">
      <alignment horizontal="left" vertical="center" wrapText="1"/>
    </xf>
    <xf numFmtId="167" fontId="9" fillId="0" borderId="4" xfId="3" applyNumberFormat="1" applyFont="1" applyBorder="1" applyAlignment="1">
      <alignment horizontal="left" vertical="center" wrapText="1"/>
    </xf>
    <xf numFmtId="41" fontId="1" fillId="0" borderId="10" xfId="0" applyNumberFormat="1" applyFont="1" applyBorder="1"/>
    <xf numFmtId="167" fontId="8" fillId="0" borderId="4" xfId="3" applyNumberFormat="1" applyFont="1" applyBorder="1" applyAlignment="1">
      <alignment horizontal="left" vertical="center" wrapText="1"/>
    </xf>
    <xf numFmtId="0" fontId="1" fillId="0" borderId="12" xfId="0" applyFont="1" applyBorder="1"/>
    <xf numFmtId="167" fontId="8" fillId="0" borderId="15" xfId="3" applyNumberFormat="1" applyFont="1" applyBorder="1" applyAlignment="1">
      <alignment horizontal="left" vertical="center" wrapText="1"/>
    </xf>
    <xf numFmtId="167" fontId="9" fillId="0" borderId="13" xfId="3" applyNumberFormat="1" applyFont="1" applyBorder="1" applyAlignment="1">
      <alignment horizontal="left" vertical="center" wrapText="1"/>
    </xf>
    <xf numFmtId="168" fontId="9" fillId="0" borderId="4" xfId="2" applyNumberFormat="1" applyFont="1" applyBorder="1" applyAlignment="1">
      <alignment horizontal="left" vertical="center" wrapText="1"/>
    </xf>
    <xf numFmtId="1" fontId="8" fillId="0" borderId="0" xfId="0" applyNumberFormat="1" applyFont="1"/>
    <xf numFmtId="0" fontId="6" fillId="0" borderId="0" xfId="0" applyFont="1" applyAlignment="1">
      <alignment horizontal="left" indent="1"/>
    </xf>
    <xf numFmtId="165" fontId="1" fillId="0" borderId="0" xfId="0" applyNumberFormat="1" applyFont="1"/>
    <xf numFmtId="167" fontId="1" fillId="0" borderId="0" xfId="3" applyNumberFormat="1" applyFont="1" applyBorder="1"/>
    <xf numFmtId="41" fontId="9" fillId="0" borderId="9" xfId="0" applyNumberFormat="1" applyFont="1" applyBorder="1" applyAlignment="1">
      <alignment horizontal="left" vertical="center" wrapText="1"/>
    </xf>
    <xf numFmtId="167" fontId="8" fillId="0" borderId="0" xfId="3" applyNumberFormat="1" applyFont="1" applyBorder="1" applyAlignment="1">
      <alignment horizontal="left" vertical="center" wrapText="1"/>
    </xf>
    <xf numFmtId="41" fontId="1" fillId="0" borderId="24" xfId="0" applyNumberFormat="1" applyFont="1" applyBorder="1"/>
    <xf numFmtId="41" fontId="8" fillId="0" borderId="12" xfId="0" applyNumberFormat="1" applyFont="1" applyBorder="1" applyAlignment="1">
      <alignment horizontal="left" vertical="center" wrapText="1"/>
    </xf>
    <xf numFmtId="0" fontId="5" fillId="0" borderId="19" xfId="0" applyFont="1" applyBorder="1" applyAlignment="1">
      <alignment horizontal="left" vertical="center" wrapText="1"/>
    </xf>
    <xf numFmtId="170" fontId="8" fillId="0" borderId="2" xfId="0" applyNumberFormat="1" applyFont="1" applyBorder="1" applyAlignment="1">
      <alignment horizontal="left" vertical="center" wrapText="1"/>
    </xf>
    <xf numFmtId="0" fontId="0" fillId="0" borderId="0" xfId="0" applyAlignment="1">
      <alignment vertical="center"/>
    </xf>
    <xf numFmtId="0" fontId="3" fillId="0" borderId="0" xfId="0" applyFont="1" applyAlignment="1">
      <alignment vertical="center"/>
    </xf>
    <xf numFmtId="0" fontId="15" fillId="0" borderId="0" xfId="0" applyFont="1" applyAlignment="1">
      <alignment horizontal="left" vertical="center" indent="5"/>
    </xf>
    <xf numFmtId="0" fontId="0" fillId="0" borderId="0" xfId="0" applyAlignment="1">
      <alignment horizontal="center"/>
    </xf>
    <xf numFmtId="0" fontId="0" fillId="0" borderId="0" xfId="0" applyAlignment="1">
      <alignment horizontal="left" vertical="center" indent="10"/>
    </xf>
    <xf numFmtId="0" fontId="15" fillId="0" borderId="0" xfId="0" applyFont="1" applyAlignment="1">
      <alignment horizontal="left" vertical="center" indent="10"/>
    </xf>
    <xf numFmtId="0" fontId="3" fillId="0" borderId="0" xfId="0" applyFont="1"/>
    <xf numFmtId="14" fontId="0" fillId="0" borderId="0" xfId="0" applyNumberFormat="1"/>
    <xf numFmtId="167" fontId="9" fillId="0" borderId="0" xfId="3" applyNumberFormat="1" applyFont="1"/>
    <xf numFmtId="0" fontId="9" fillId="0" borderId="0" xfId="0" applyFont="1"/>
    <xf numFmtId="167" fontId="9" fillId="0" borderId="12" xfId="3" applyNumberFormat="1" applyFont="1" applyBorder="1"/>
    <xf numFmtId="167" fontId="9" fillId="0" borderId="6" xfId="3" applyNumberFormat="1" applyFont="1" applyBorder="1"/>
    <xf numFmtId="167" fontId="3" fillId="0" borderId="5" xfId="3" applyNumberFormat="1" applyFont="1" applyBorder="1"/>
    <xf numFmtId="167" fontId="3" fillId="0" borderId="23" xfId="3" applyNumberFormat="1" applyFont="1" applyBorder="1"/>
    <xf numFmtId="168" fontId="3" fillId="0" borderId="13" xfId="2" applyNumberFormat="1" applyFont="1" applyBorder="1" applyAlignment="1">
      <alignment horizontal="left" vertical="center" wrapText="1"/>
    </xf>
    <xf numFmtId="41" fontId="3" fillId="0" borderId="5" xfId="0" applyNumberFormat="1" applyFont="1" applyBorder="1"/>
    <xf numFmtId="41" fontId="3" fillId="0" borderId="6" xfId="0" applyNumberFormat="1" applyFont="1" applyBorder="1"/>
    <xf numFmtId="41" fontId="11" fillId="0" borderId="6" xfId="0" applyNumberFormat="1" applyFont="1" applyBorder="1" applyAlignment="1">
      <alignment horizontal="left" vertical="center" wrapText="1"/>
    </xf>
    <xf numFmtId="0" fontId="7" fillId="0" borderId="19" xfId="0" applyFont="1" applyBorder="1" applyAlignment="1">
      <alignment horizontal="left" vertical="center" wrapText="1"/>
    </xf>
    <xf numFmtId="41" fontId="3" fillId="0" borderId="22" xfId="0" applyNumberFormat="1" applyFont="1" applyBorder="1"/>
    <xf numFmtId="41" fontId="8" fillId="0" borderId="0" xfId="2" applyNumberFormat="1" applyFont="1"/>
    <xf numFmtId="41" fontId="8" fillId="0" borderId="15" xfId="2" applyNumberFormat="1" applyFont="1" applyBorder="1"/>
    <xf numFmtId="164" fontId="3" fillId="3" borderId="0" xfId="1" applyNumberFormat="1" applyFont="1" applyFill="1" applyAlignment="1">
      <alignment horizontal="center" vertical="center"/>
    </xf>
    <xf numFmtId="0" fontId="3" fillId="3" borderId="1" xfId="1" applyNumberFormat="1" applyFont="1" applyFill="1" applyBorder="1" applyAlignment="1">
      <alignment horizontal="center"/>
    </xf>
    <xf numFmtId="164" fontId="3" fillId="3" borderId="26" xfId="1" applyNumberFormat="1" applyFont="1" applyFill="1" applyBorder="1" applyAlignment="1">
      <alignment horizontal="center" vertical="center"/>
    </xf>
    <xf numFmtId="0" fontId="3" fillId="3" borderId="25" xfId="1" applyNumberFormat="1" applyFont="1" applyFill="1" applyBorder="1" applyAlignment="1">
      <alignment horizontal="center"/>
    </xf>
    <xf numFmtId="41" fontId="8" fillId="0" borderId="0" xfId="0" applyNumberFormat="1" applyFont="1" applyAlignment="1">
      <alignment horizontal="left" vertical="center" wrapText="1"/>
    </xf>
    <xf numFmtId="41" fontId="3" fillId="0" borderId="11" xfId="0" applyNumberFormat="1" applyFont="1" applyBorder="1"/>
    <xf numFmtId="41" fontId="3" fillId="0" borderId="12" xfId="0" applyNumberFormat="1" applyFont="1" applyBorder="1"/>
    <xf numFmtId="44" fontId="8" fillId="0" borderId="2" xfId="2" applyFont="1" applyBorder="1" applyAlignment="1">
      <alignment horizontal="left" vertical="center" wrapText="1"/>
    </xf>
    <xf numFmtId="168" fontId="3" fillId="0" borderId="6" xfId="2" applyNumberFormat="1" applyFont="1" applyBorder="1"/>
    <xf numFmtId="41" fontId="10" fillId="0" borderId="2" xfId="2" applyNumberFormat="1" applyFont="1" applyBorder="1" applyAlignment="1">
      <alignment horizontal="left" vertical="center" wrapText="1" indent="1"/>
    </xf>
    <xf numFmtId="41" fontId="10" fillId="0" borderId="4" xfId="2" applyNumberFormat="1" applyFont="1" applyBorder="1" applyAlignment="1">
      <alignment horizontal="left" vertical="center" wrapText="1" indent="1"/>
    </xf>
    <xf numFmtId="41" fontId="10" fillId="0" borderId="3" xfId="2" applyNumberFormat="1" applyFont="1" applyBorder="1" applyAlignment="1">
      <alignment horizontal="left" vertical="center" wrapText="1" indent="1"/>
    </xf>
    <xf numFmtId="41" fontId="1" fillId="0" borderId="27" xfId="0" applyNumberFormat="1" applyFont="1" applyBorder="1"/>
    <xf numFmtId="168" fontId="9" fillId="0" borderId="14" xfId="2" applyNumberFormat="1" applyFont="1" applyBorder="1" applyAlignment="1">
      <alignment horizontal="left" vertical="center" wrapText="1"/>
    </xf>
    <xf numFmtId="44" fontId="1" fillId="0" borderId="0" xfId="2" applyFont="1"/>
    <xf numFmtId="165" fontId="10" fillId="0" borderId="2" xfId="2" applyNumberFormat="1" applyFont="1" applyBorder="1" applyAlignment="1">
      <alignment horizontal="left" vertical="center" wrapText="1" indent="1"/>
    </xf>
    <xf numFmtId="41" fontId="2" fillId="2" borderId="12" xfId="4" applyNumberFormat="1" applyBorder="1"/>
    <xf numFmtId="41" fontId="1" fillId="0" borderId="15" xfId="0" applyNumberFormat="1" applyFont="1" applyBorder="1" applyAlignment="1">
      <alignment horizontal="left" vertical="center" wrapText="1"/>
    </xf>
    <xf numFmtId="41" fontId="9" fillId="0" borderId="12" xfId="0" applyNumberFormat="1" applyFont="1" applyBorder="1" applyAlignment="1">
      <alignment horizontal="left" vertical="center" wrapText="1"/>
    </xf>
    <xf numFmtId="167" fontId="9" fillId="0" borderId="5" xfId="3" applyNumberFormat="1" applyFont="1" applyBorder="1"/>
    <xf numFmtId="43" fontId="0" fillId="0" borderId="0" xfId="0" applyNumberFormat="1" applyAlignment="1">
      <alignment horizontal="center"/>
    </xf>
    <xf numFmtId="0" fontId="0" fillId="0" borderId="12" xfId="0" applyBorder="1" applyAlignment="1">
      <alignment horizontal="center" vertical="center"/>
    </xf>
    <xf numFmtId="41" fontId="17" fillId="2" borderId="12" xfId="5" applyNumberFormat="1" applyFill="1" applyBorder="1"/>
    <xf numFmtId="41" fontId="0" fillId="0" borderId="0" xfId="0" applyNumberFormat="1"/>
    <xf numFmtId="41" fontId="0" fillId="0" borderId="12" xfId="0" applyNumberFormat="1" applyBorder="1"/>
    <xf numFmtId="168" fontId="8" fillId="0" borderId="20" xfId="2" applyNumberFormat="1" applyFont="1" applyBorder="1" applyAlignment="1">
      <alignment horizontal="left" vertical="center" wrapText="1"/>
    </xf>
    <xf numFmtId="41" fontId="8" fillId="0" borderId="20" xfId="0" applyNumberFormat="1" applyFont="1" applyBorder="1" applyAlignment="1">
      <alignment horizontal="left" vertical="center" wrapText="1"/>
    </xf>
    <xf numFmtId="41" fontId="8" fillId="0" borderId="21" xfId="0" applyNumberFormat="1" applyFont="1" applyBorder="1" applyAlignment="1">
      <alignment horizontal="left" vertical="center" wrapText="1"/>
    </xf>
    <xf numFmtId="41" fontId="10" fillId="0" borderId="20" xfId="0" applyNumberFormat="1" applyFont="1" applyBorder="1" applyAlignment="1">
      <alignment horizontal="left" vertical="center" wrapText="1"/>
    </xf>
    <xf numFmtId="41" fontId="9" fillId="0" borderId="28" xfId="0" applyNumberFormat="1" applyFont="1" applyBorder="1" applyAlignment="1">
      <alignment horizontal="left" vertical="center" wrapText="1"/>
    </xf>
    <xf numFmtId="168" fontId="9" fillId="0" borderId="28" xfId="2" applyNumberFormat="1" applyFont="1" applyBorder="1" applyAlignment="1">
      <alignment horizontal="left" vertical="center" wrapText="1"/>
    </xf>
    <xf numFmtId="168" fontId="9" fillId="0" borderId="23" xfId="2" applyNumberFormat="1" applyFont="1" applyBorder="1" applyAlignment="1">
      <alignment horizontal="left" vertical="center" wrapText="1"/>
    </xf>
    <xf numFmtId="41" fontId="9" fillId="0" borderId="29" xfId="0" applyNumberFormat="1" applyFont="1" applyBorder="1" applyAlignment="1">
      <alignment horizontal="left" vertical="center" wrapText="1"/>
    </xf>
    <xf numFmtId="0" fontId="1" fillId="0" borderId="30" xfId="0" applyFont="1" applyBorder="1"/>
    <xf numFmtId="168" fontId="8" fillId="0" borderId="31" xfId="2" applyNumberFormat="1" applyFont="1" applyBorder="1" applyAlignment="1">
      <alignment horizontal="left" vertical="center" wrapText="1"/>
    </xf>
    <xf numFmtId="41" fontId="8" fillId="0" borderId="31" xfId="0" applyNumberFormat="1" applyFont="1" applyBorder="1" applyAlignment="1">
      <alignment horizontal="left" vertical="center" wrapText="1"/>
    </xf>
    <xf numFmtId="41" fontId="1" fillId="0" borderId="26" xfId="0" applyNumberFormat="1" applyFont="1" applyBorder="1"/>
    <xf numFmtId="41" fontId="8" fillId="0" borderId="32" xfId="0" applyNumberFormat="1" applyFont="1" applyBorder="1" applyAlignment="1">
      <alignment horizontal="left" vertical="center" wrapText="1"/>
    </xf>
    <xf numFmtId="41" fontId="3" fillId="0" borderId="26" xfId="0" applyNumberFormat="1" applyFont="1" applyBorder="1"/>
    <xf numFmtId="41" fontId="8" fillId="0" borderId="31" xfId="0" applyNumberFormat="1" applyFont="1" applyBorder="1" applyAlignment="1">
      <alignment horizontal="left" vertical="center" wrapText="1" indent="2"/>
    </xf>
    <xf numFmtId="41" fontId="8" fillId="0" borderId="32" xfId="0" applyNumberFormat="1" applyFont="1" applyBorder="1" applyAlignment="1">
      <alignment horizontal="left" vertical="center" wrapText="1" indent="2"/>
    </xf>
    <xf numFmtId="41" fontId="8" fillId="0" borderId="26" xfId="0" applyNumberFormat="1" applyFont="1" applyBorder="1" applyAlignment="1">
      <alignment horizontal="left" vertical="center" wrapText="1"/>
    </xf>
    <xf numFmtId="41" fontId="3" fillId="0" borderId="33" xfId="0" applyNumberFormat="1" applyFont="1" applyBorder="1"/>
    <xf numFmtId="168" fontId="3" fillId="0" borderId="34" xfId="2" applyNumberFormat="1" applyFont="1" applyBorder="1"/>
    <xf numFmtId="41" fontId="3" fillId="0" borderId="35" xfId="0" applyNumberFormat="1" applyFont="1" applyBorder="1"/>
    <xf numFmtId="41" fontId="9" fillId="0" borderId="26" xfId="0" applyNumberFormat="1" applyFont="1" applyBorder="1"/>
    <xf numFmtId="41" fontId="10" fillId="0" borderId="31" xfId="0" applyNumberFormat="1" applyFont="1" applyBorder="1" applyAlignment="1">
      <alignment horizontal="left" vertical="center" wrapText="1"/>
    </xf>
    <xf numFmtId="41" fontId="9" fillId="0" borderId="33" xfId="0" applyNumberFormat="1" applyFont="1" applyBorder="1" applyAlignment="1">
      <alignment horizontal="left" vertical="center" wrapText="1"/>
    </xf>
    <xf numFmtId="41" fontId="9" fillId="0" borderId="36" xfId="0" applyNumberFormat="1" applyFont="1" applyBorder="1" applyAlignment="1">
      <alignment horizontal="left" vertical="center" wrapText="1"/>
    </xf>
    <xf numFmtId="41" fontId="8" fillId="0" borderId="26" xfId="0" applyNumberFormat="1" applyFont="1" applyBorder="1"/>
    <xf numFmtId="168" fontId="9" fillId="0" borderId="36" xfId="2" applyNumberFormat="1" applyFont="1" applyBorder="1" applyAlignment="1">
      <alignment horizontal="left" vertical="center" wrapText="1"/>
    </xf>
    <xf numFmtId="168" fontId="9" fillId="0" borderId="37" xfId="2" applyNumberFormat="1" applyFont="1" applyBorder="1" applyAlignment="1">
      <alignment horizontal="left" vertical="center" wrapText="1"/>
    </xf>
    <xf numFmtId="41" fontId="1" fillId="0" borderId="35" xfId="0" applyNumberFormat="1" applyFont="1" applyBorder="1"/>
    <xf numFmtId="41" fontId="1" fillId="0" borderId="38" xfId="0" applyNumberFormat="1" applyFont="1" applyBorder="1"/>
    <xf numFmtId="41" fontId="1" fillId="0" borderId="39" xfId="0" applyNumberFormat="1" applyFont="1" applyBorder="1"/>
    <xf numFmtId="41" fontId="9" fillId="0" borderId="35" xfId="0" applyNumberFormat="1" applyFont="1" applyBorder="1" applyAlignment="1">
      <alignment horizontal="left" vertical="center" wrapText="1"/>
    </xf>
    <xf numFmtId="168" fontId="9" fillId="0" borderId="40" xfId="2" applyNumberFormat="1" applyFont="1" applyBorder="1" applyAlignment="1">
      <alignment horizontal="left" vertical="center" wrapText="1"/>
    </xf>
    <xf numFmtId="168" fontId="8" fillId="0" borderId="41" xfId="2" applyNumberFormat="1" applyFont="1" applyBorder="1" applyAlignment="1">
      <alignment horizontal="left" vertical="center" wrapText="1"/>
    </xf>
    <xf numFmtId="41" fontId="8" fillId="0" borderId="41" xfId="0" applyNumberFormat="1" applyFont="1" applyBorder="1" applyAlignment="1">
      <alignment horizontal="left" vertical="center" wrapText="1" indent="2"/>
    </xf>
    <xf numFmtId="41" fontId="0" fillId="0" borderId="26" xfId="0" applyNumberFormat="1" applyBorder="1"/>
    <xf numFmtId="0" fontId="8" fillId="0" borderId="12" xfId="0" applyFont="1" applyBorder="1"/>
    <xf numFmtId="166" fontId="9" fillId="0" borderId="12" xfId="0" applyNumberFormat="1" applyFont="1" applyBorder="1" applyAlignment="1">
      <alignment horizontal="left" vertical="center" wrapText="1"/>
    </xf>
    <xf numFmtId="166" fontId="9" fillId="0" borderId="13" xfId="0" applyNumberFormat="1" applyFont="1" applyBorder="1" applyAlignment="1">
      <alignment horizontal="left" vertical="center" wrapText="1"/>
    </xf>
    <xf numFmtId="0" fontId="1" fillId="0" borderId="6" xfId="0" applyFont="1" applyBorder="1"/>
    <xf numFmtId="41" fontId="0" fillId="0" borderId="27" xfId="0" applyNumberFormat="1" applyBorder="1"/>
    <xf numFmtId="0" fontId="0" fillId="0" borderId="0" xfId="0" applyAlignment="1">
      <alignment horizontal="center" vertical="center" wrapText="1"/>
    </xf>
    <xf numFmtId="14" fontId="19" fillId="4" borderId="0" xfId="6" applyNumberFormat="1"/>
    <xf numFmtId="0" fontId="19" fillId="4" borderId="0" xfId="6"/>
    <xf numFmtId="41" fontId="21" fillId="5" borderId="2" xfId="7" applyNumberFormat="1" applyBorder="1" applyAlignment="1">
      <alignment horizontal="left" vertical="center" wrapText="1" indent="1"/>
    </xf>
    <xf numFmtId="0" fontId="22" fillId="0" borderId="0" xfId="0" applyFont="1" applyAlignment="1">
      <alignment horizontal="left" vertical="center" indent="10"/>
    </xf>
    <xf numFmtId="0" fontId="23" fillId="0" borderId="0" xfId="0" applyFont="1" applyAlignment="1">
      <alignment horizontal="left" vertical="center" indent="15"/>
    </xf>
    <xf numFmtId="0" fontId="24" fillId="0" borderId="0" xfId="0" applyFont="1" applyAlignment="1">
      <alignment horizontal="left" vertical="center" indent="15"/>
    </xf>
    <xf numFmtId="0" fontId="27" fillId="0" borderId="0" xfId="0" applyFont="1" applyAlignment="1">
      <alignment horizontal="left" vertical="center" indent="5"/>
    </xf>
    <xf numFmtId="0" fontId="24" fillId="0" borderId="0" xfId="0" applyFont="1" applyAlignment="1">
      <alignment horizontal="left" vertical="center" indent="5"/>
    </xf>
    <xf numFmtId="0" fontId="26" fillId="0" borderId="0" xfId="0" applyFont="1" applyAlignment="1">
      <alignment vertical="center"/>
    </xf>
    <xf numFmtId="0" fontId="30" fillId="0" borderId="0" xfId="0" applyFont="1" applyAlignment="1">
      <alignment horizontal="center" vertical="center"/>
    </xf>
    <xf numFmtId="0" fontId="30" fillId="0" borderId="0" xfId="0" applyFont="1" applyAlignment="1">
      <alignment horizontal="center" vertical="center" wrapText="1"/>
    </xf>
    <xf numFmtId="41" fontId="8" fillId="0" borderId="2" xfId="2" applyNumberFormat="1" applyFont="1" applyBorder="1" applyAlignment="1">
      <alignment horizontal="left" vertical="center" wrapText="1"/>
    </xf>
    <xf numFmtId="41" fontId="10" fillId="0" borderId="0" xfId="2" applyNumberFormat="1" applyFont="1" applyBorder="1" applyAlignment="1">
      <alignment horizontal="left" vertical="center" wrapText="1" indent="1"/>
    </xf>
    <xf numFmtId="0" fontId="4" fillId="0" borderId="19" xfId="0" applyFont="1" applyBorder="1" applyAlignment="1">
      <alignment horizontal="left" vertical="center" wrapText="1" indent="1"/>
    </xf>
    <xf numFmtId="41" fontId="10" fillId="0" borderId="8" xfId="2" applyNumberFormat="1" applyFont="1" applyBorder="1" applyAlignment="1">
      <alignment horizontal="left" vertical="center" wrapText="1" indent="1"/>
    </xf>
    <xf numFmtId="41" fontId="8" fillId="0" borderId="8" xfId="0" applyNumberFormat="1" applyFont="1" applyBorder="1" applyAlignment="1">
      <alignment horizontal="left" vertical="center" wrapText="1"/>
    </xf>
    <xf numFmtId="41" fontId="10" fillId="0" borderId="12" xfId="2" applyNumberFormat="1" applyFont="1" applyBorder="1" applyAlignment="1">
      <alignment horizontal="left" vertical="center" wrapText="1" indent="1"/>
    </xf>
    <xf numFmtId="0" fontId="5" fillId="0" borderId="9" xfId="0" applyFont="1" applyBorder="1" applyAlignment="1">
      <alignment horizontal="left" vertical="center" wrapText="1"/>
    </xf>
    <xf numFmtId="41" fontId="10" fillId="0" borderId="9" xfId="2" applyNumberFormat="1" applyFont="1" applyBorder="1" applyAlignment="1">
      <alignment horizontal="left" vertical="center" wrapText="1" indent="1"/>
    </xf>
    <xf numFmtId="41" fontId="8" fillId="0" borderId="9" xfId="0" applyNumberFormat="1" applyFont="1" applyBorder="1" applyAlignment="1">
      <alignment horizontal="left" vertical="center" wrapText="1" indent="2"/>
    </xf>
    <xf numFmtId="0" fontId="5" fillId="0" borderId="0" xfId="0" applyFont="1" applyAlignment="1">
      <alignment horizontal="left" vertical="center" wrapText="1"/>
    </xf>
    <xf numFmtId="0" fontId="6" fillId="0" borderId="19" xfId="0" applyFont="1" applyBorder="1" applyAlignment="1">
      <alignment horizontal="left" vertical="center" wrapText="1" indent="1"/>
    </xf>
    <xf numFmtId="165" fontId="11" fillId="0" borderId="2" xfId="2" applyNumberFormat="1" applyFont="1" applyBorder="1" applyAlignment="1">
      <alignment horizontal="left" vertical="center" wrapText="1" indent="1"/>
    </xf>
    <xf numFmtId="41" fontId="8" fillId="0" borderId="42" xfId="0" applyNumberFormat="1" applyFont="1" applyBorder="1" applyAlignment="1">
      <alignment horizontal="left" vertical="center" wrapText="1" indent="2"/>
    </xf>
    <xf numFmtId="41" fontId="8" fillId="0" borderId="43" xfId="0" applyNumberFormat="1" applyFont="1" applyBorder="1" applyAlignment="1">
      <alignment horizontal="left" vertical="center" wrapText="1" indent="2"/>
    </xf>
    <xf numFmtId="41" fontId="9" fillId="0" borderId="0" xfId="0" applyNumberFormat="1" applyFont="1" applyAlignment="1">
      <alignment horizontal="left" vertical="center" wrapText="1"/>
    </xf>
    <xf numFmtId="169" fontId="9" fillId="0" borderId="0" xfId="0" applyNumberFormat="1" applyFont="1" applyAlignment="1">
      <alignment horizontal="left" vertical="center" wrapText="1"/>
    </xf>
    <xf numFmtId="0" fontId="5" fillId="0" borderId="44" xfId="0" applyFont="1" applyBorder="1" applyAlignment="1">
      <alignment horizontal="left" vertical="center" wrapText="1"/>
    </xf>
    <xf numFmtId="41" fontId="9" fillId="0" borderId="45" xfId="0" applyNumberFormat="1" applyFont="1" applyBorder="1" applyAlignment="1">
      <alignment horizontal="left" vertical="center" wrapText="1"/>
    </xf>
    <xf numFmtId="41" fontId="9" fillId="0" borderId="46" xfId="0" applyNumberFormat="1" applyFont="1" applyBorder="1" applyAlignment="1">
      <alignment horizontal="left" vertical="center" wrapText="1"/>
    </xf>
    <xf numFmtId="0" fontId="4" fillId="0" borderId="47" xfId="0" applyFont="1" applyBorder="1" applyAlignment="1">
      <alignment horizontal="left" vertical="center" wrapText="1" indent="1"/>
    </xf>
    <xf numFmtId="41" fontId="8" fillId="0" borderId="48" xfId="0" applyNumberFormat="1" applyFont="1" applyBorder="1" applyAlignment="1">
      <alignment horizontal="left" vertical="center" wrapText="1"/>
    </xf>
    <xf numFmtId="41" fontId="9" fillId="0" borderId="48" xfId="0" applyNumberFormat="1" applyFont="1" applyBorder="1" applyAlignment="1">
      <alignment horizontal="left" vertical="center" wrapText="1"/>
    </xf>
    <xf numFmtId="41" fontId="8" fillId="0" borderId="16" xfId="0" applyNumberFormat="1" applyFont="1" applyBorder="1" applyAlignment="1">
      <alignment horizontal="left" vertical="center" wrapText="1"/>
    </xf>
    <xf numFmtId="0" fontId="5" fillId="0" borderId="47" xfId="0" applyFont="1" applyBorder="1" applyAlignment="1">
      <alignment horizontal="left" vertical="center" wrapText="1"/>
    </xf>
    <xf numFmtId="41" fontId="0" fillId="0" borderId="35" xfId="0" applyNumberFormat="1" applyBorder="1"/>
    <xf numFmtId="167" fontId="1" fillId="0" borderId="6" xfId="3" applyNumberFormat="1" applyFont="1" applyBorder="1"/>
    <xf numFmtId="41" fontId="0" fillId="0" borderId="6" xfId="0" applyNumberFormat="1" applyBorder="1"/>
    <xf numFmtId="41" fontId="0" fillId="0" borderId="34" xfId="0" applyNumberFormat="1" applyBorder="1"/>
    <xf numFmtId="167" fontId="1" fillId="0" borderId="22" xfId="3" applyNumberFormat="1" applyFont="1" applyBorder="1"/>
    <xf numFmtId="41" fontId="0" fillId="0" borderId="22" xfId="0" applyNumberFormat="1" applyBorder="1"/>
    <xf numFmtId="41" fontId="0" fillId="0" borderId="49" xfId="0" applyNumberFormat="1" applyBorder="1"/>
    <xf numFmtId="0" fontId="0" fillId="0" borderId="26" xfId="0" applyBorder="1"/>
    <xf numFmtId="41" fontId="8" fillId="0" borderId="35" xfId="0" applyNumberFormat="1" applyFont="1" applyBorder="1" applyAlignment="1">
      <alignment horizontal="left" vertical="center" wrapText="1"/>
    </xf>
    <xf numFmtId="167" fontId="1" fillId="0" borderId="22" xfId="3" applyNumberFormat="1" applyFont="1" applyFill="1" applyBorder="1"/>
    <xf numFmtId="0" fontId="0" fillId="0" borderId="22" xfId="0" applyBorder="1"/>
    <xf numFmtId="0" fontId="1" fillId="0" borderId="22" xfId="0" applyFont="1" applyBorder="1"/>
    <xf numFmtId="41" fontId="8" fillId="0" borderId="19" xfId="0" applyNumberFormat="1" applyFont="1" applyBorder="1" applyAlignment="1">
      <alignment horizontal="left" vertical="center" wrapText="1"/>
    </xf>
    <xf numFmtId="41" fontId="8" fillId="0" borderId="50" xfId="0" applyNumberFormat="1" applyFont="1" applyBorder="1" applyAlignment="1">
      <alignment horizontal="left" vertical="center" wrapText="1"/>
    </xf>
    <xf numFmtId="41" fontId="8" fillId="0" borderId="19" xfId="0" applyNumberFormat="1" applyFont="1" applyBorder="1" applyAlignment="1">
      <alignment horizontal="left" vertical="center" wrapText="1" indent="2"/>
    </xf>
    <xf numFmtId="41" fontId="8" fillId="0" borderId="51" xfId="0" applyNumberFormat="1" applyFont="1" applyBorder="1" applyAlignment="1">
      <alignment horizontal="left" vertical="center" wrapText="1"/>
    </xf>
    <xf numFmtId="41" fontId="8" fillId="0" borderId="51" xfId="0" applyNumberFormat="1" applyFont="1" applyBorder="1" applyAlignment="1">
      <alignment horizontal="left" vertical="center" wrapText="1" indent="2"/>
    </xf>
    <xf numFmtId="41" fontId="8" fillId="0" borderId="35" xfId="0" applyNumberFormat="1" applyFont="1" applyBorder="1"/>
    <xf numFmtId="0" fontId="4" fillId="0" borderId="0" xfId="0" applyFont="1" applyAlignment="1">
      <alignment horizontal="left" vertical="center" wrapText="1" indent="1"/>
    </xf>
    <xf numFmtId="169" fontId="8" fillId="0" borderId="0" xfId="0" applyNumberFormat="1" applyFont="1" applyAlignment="1">
      <alignment horizontal="left" vertical="center" wrapText="1"/>
    </xf>
    <xf numFmtId="44" fontId="8" fillId="0" borderId="0" xfId="2" applyFont="1" applyBorder="1" applyAlignment="1">
      <alignment horizontal="left" vertical="center" wrapText="1"/>
    </xf>
    <xf numFmtId="165" fontId="0" fillId="0" borderId="0" xfId="0" applyNumberFormat="1"/>
    <xf numFmtId="9" fontId="1" fillId="0" borderId="0" xfId="3" applyFont="1"/>
    <xf numFmtId="168" fontId="1" fillId="0" borderId="0" xfId="2" applyNumberFormat="1" applyFont="1"/>
    <xf numFmtId="168" fontId="3" fillId="0" borderId="0" xfId="2" applyNumberFormat="1" applyFont="1"/>
    <xf numFmtId="168" fontId="0" fillId="0" borderId="0" xfId="2" applyNumberFormat="1" applyFont="1"/>
    <xf numFmtId="164" fontId="3" fillId="3" borderId="0" xfId="1" applyNumberFormat="1" applyFont="1" applyFill="1" applyBorder="1"/>
    <xf numFmtId="164" fontId="3" fillId="3" borderId="0" xfId="1" applyNumberFormat="1" applyFont="1" applyFill="1" applyBorder="1" applyAlignment="1">
      <alignment horizontal="right"/>
    </xf>
    <xf numFmtId="164" fontId="0" fillId="0" borderId="0" xfId="1" applyNumberFormat="1" applyFont="1"/>
    <xf numFmtId="169" fontId="0" fillId="0" borderId="0" xfId="1" applyNumberFormat="1" applyFont="1"/>
    <xf numFmtId="164" fontId="3" fillId="0" borderId="0" xfId="1" applyNumberFormat="1" applyFont="1"/>
    <xf numFmtId="169" fontId="0" fillId="0" borderId="12" xfId="1" applyNumberFormat="1" applyFont="1" applyBorder="1"/>
    <xf numFmtId="169" fontId="3" fillId="0" borderId="0" xfId="1" applyNumberFormat="1" applyFont="1"/>
    <xf numFmtId="170" fontId="0" fillId="0" borderId="0" xfId="1" applyNumberFormat="1" applyFont="1" applyBorder="1"/>
    <xf numFmtId="170" fontId="0" fillId="0" borderId="0" xfId="1" applyNumberFormat="1" applyFont="1"/>
    <xf numFmtId="168" fontId="0" fillId="0" borderId="22" xfId="2" applyNumberFormat="1" applyFont="1" applyBorder="1"/>
    <xf numFmtId="171" fontId="0" fillId="0" borderId="0" xfId="1" applyNumberFormat="1" applyFont="1"/>
    <xf numFmtId="164" fontId="0" fillId="0" borderId="12" xfId="1" applyNumberFormat="1" applyFont="1" applyBorder="1"/>
    <xf numFmtId="167" fontId="0" fillId="0" borderId="0" xfId="3" applyNumberFormat="1" applyFont="1"/>
    <xf numFmtId="167" fontId="0" fillId="0" borderId="12" xfId="3" applyNumberFormat="1" applyFont="1" applyBorder="1"/>
    <xf numFmtId="164" fontId="0" fillId="0" borderId="0" xfId="1" applyNumberFormat="1" applyFont="1" applyBorder="1"/>
    <xf numFmtId="164" fontId="0" fillId="0" borderId="22" xfId="1" applyNumberFormat="1" applyFont="1" applyBorder="1"/>
    <xf numFmtId="164" fontId="31" fillId="0" borderId="0" xfId="1" applyNumberFormat="1" applyFont="1" applyAlignment="1">
      <alignment horizontal="left" indent="1"/>
    </xf>
    <xf numFmtId="164" fontId="12" fillId="0" borderId="0" xfId="1" applyNumberFormat="1" applyFont="1" applyAlignment="1">
      <alignment horizontal="left"/>
    </xf>
    <xf numFmtId="164" fontId="31" fillId="0" borderId="0" xfId="1" applyNumberFormat="1" applyFont="1" applyBorder="1" applyAlignment="1">
      <alignment horizontal="left" indent="1"/>
    </xf>
    <xf numFmtId="164" fontId="31" fillId="0" borderId="0" xfId="1" applyNumberFormat="1" applyFont="1"/>
    <xf numFmtId="164" fontId="12" fillId="0" borderId="0" xfId="1" applyNumberFormat="1" applyFont="1"/>
    <xf numFmtId="164" fontId="12" fillId="0" borderId="0" xfId="1" applyNumberFormat="1" applyFont="1" applyBorder="1" applyAlignment="1">
      <alignment horizontal="left"/>
    </xf>
    <xf numFmtId="164" fontId="31" fillId="0" borderId="0" xfId="1" applyNumberFormat="1" applyFont="1" applyBorder="1" applyAlignment="1">
      <alignment horizontal="left"/>
    </xf>
    <xf numFmtId="164" fontId="3" fillId="3" borderId="0" xfId="1" applyNumberFormat="1" applyFont="1" applyFill="1" applyBorder="1" applyAlignment="1">
      <alignment horizontal="center" vertical="center"/>
    </xf>
    <xf numFmtId="0" fontId="3" fillId="3" borderId="0" xfId="1" applyNumberFormat="1" applyFont="1" applyFill="1" applyBorder="1" applyAlignment="1">
      <alignment horizontal="center"/>
    </xf>
    <xf numFmtId="44" fontId="1" fillId="0" borderId="0" xfId="2" applyFont="1" applyBorder="1"/>
    <xf numFmtId="169" fontId="0" fillId="0" borderId="0" xfId="1" applyNumberFormat="1" applyFont="1" applyBorder="1"/>
    <xf numFmtId="169" fontId="3" fillId="0" borderId="0" xfId="1" applyNumberFormat="1" applyFont="1" applyBorder="1"/>
    <xf numFmtId="172" fontId="0" fillId="0" borderId="22" xfId="2" applyNumberFormat="1" applyFont="1" applyBorder="1"/>
    <xf numFmtId="166" fontId="1" fillId="0" borderId="26" xfId="0" applyNumberFormat="1" applyFont="1" applyBorder="1"/>
    <xf numFmtId="166" fontId="1" fillId="0" borderId="12" xfId="0" applyNumberFormat="1" applyFont="1" applyBorder="1"/>
    <xf numFmtId="0" fontId="31" fillId="0" borderId="0" xfId="0" applyFont="1" applyAlignment="1">
      <alignment horizontal="left" indent="1"/>
    </xf>
    <xf numFmtId="166" fontId="3" fillId="0" borderId="0" xfId="0" applyNumberFormat="1" applyFont="1"/>
    <xf numFmtId="166" fontId="1" fillId="0" borderId="35" xfId="0" applyNumberFormat="1" applyFont="1" applyBorder="1"/>
    <xf numFmtId="165" fontId="1" fillId="0" borderId="12" xfId="0" applyNumberFormat="1" applyFont="1" applyBorder="1"/>
    <xf numFmtId="166" fontId="1" fillId="0" borderId="52" xfId="0" applyNumberFormat="1" applyFont="1" applyBorder="1"/>
    <xf numFmtId="167" fontId="0" fillId="0" borderId="6" xfId="3" applyNumberFormat="1" applyFont="1" applyBorder="1"/>
    <xf numFmtId="168" fontId="0" fillId="0" borderId="6" xfId="2" applyNumberFormat="1" applyFont="1" applyBorder="1"/>
    <xf numFmtId="164" fontId="3" fillId="0" borderId="11" xfId="1" applyNumberFormat="1" applyFont="1" applyBorder="1"/>
    <xf numFmtId="0" fontId="4" fillId="0" borderId="53" xfId="0" applyFont="1" applyBorder="1" applyAlignment="1">
      <alignment horizontal="left" vertical="center" wrapText="1" indent="1"/>
    </xf>
    <xf numFmtId="41" fontId="8" fillId="0" borderId="9" xfId="0" applyNumberFormat="1" applyFont="1" applyBorder="1" applyAlignment="1">
      <alignment horizontal="left" vertical="center" wrapText="1"/>
    </xf>
    <xf numFmtId="0" fontId="7" fillId="0" borderId="0" xfId="0" applyFont="1" applyAlignment="1">
      <alignment horizontal="left"/>
    </xf>
    <xf numFmtId="0" fontId="7" fillId="0" borderId="0" xfId="0" applyFont="1"/>
    <xf numFmtId="41" fontId="8" fillId="0" borderId="12" xfId="2" applyNumberFormat="1" applyFont="1" applyBorder="1"/>
    <xf numFmtId="168" fontId="8" fillId="0" borderId="6" xfId="2" applyNumberFormat="1" applyFont="1" applyBorder="1"/>
    <xf numFmtId="0" fontId="4" fillId="0" borderId="54" xfId="0" applyFont="1" applyBorder="1" applyAlignment="1">
      <alignment horizontal="left" vertical="center" wrapText="1" indent="1"/>
    </xf>
    <xf numFmtId="0" fontId="4" fillId="0" borderId="56" xfId="0" applyFont="1" applyBorder="1" applyAlignment="1">
      <alignment horizontal="left" vertical="center" wrapText="1" indent="1"/>
    </xf>
    <xf numFmtId="167" fontId="9" fillId="0" borderId="9" xfId="3" applyNumberFormat="1" applyFont="1" applyBorder="1" applyAlignment="1">
      <alignment horizontal="left" vertical="center" wrapText="1"/>
    </xf>
    <xf numFmtId="41" fontId="9" fillId="0" borderId="26" xfId="0" applyNumberFormat="1" applyFont="1" applyBorder="1" applyAlignment="1">
      <alignment horizontal="left" vertical="center" wrapText="1"/>
    </xf>
    <xf numFmtId="0" fontId="5" fillId="0" borderId="57" xfId="0" applyFont="1" applyBorder="1" applyAlignment="1">
      <alignment horizontal="left" vertical="center" wrapText="1"/>
    </xf>
    <xf numFmtId="41" fontId="0" fillId="0" borderId="0" xfId="3" applyNumberFormat="1" applyFont="1"/>
    <xf numFmtId="0" fontId="31" fillId="0" borderId="0" xfId="0" applyFont="1"/>
    <xf numFmtId="0" fontId="4" fillId="0" borderId="0" xfId="0" applyFont="1" applyAlignment="1">
      <alignment horizontal="left" vertical="center" wrapText="1"/>
    </xf>
    <xf numFmtId="41" fontId="8" fillId="0" borderId="43" xfId="0" applyNumberFormat="1" applyFont="1" applyBorder="1" applyAlignment="1">
      <alignment horizontal="left" vertical="center" wrapText="1"/>
    </xf>
    <xf numFmtId="41" fontId="8" fillId="0" borderId="42" xfId="0" applyNumberFormat="1" applyFont="1" applyBorder="1" applyAlignment="1">
      <alignment horizontal="left" vertical="center" wrapText="1"/>
    </xf>
    <xf numFmtId="41" fontId="9" fillId="0" borderId="1" xfId="0" applyNumberFormat="1" applyFont="1" applyBorder="1" applyAlignment="1">
      <alignment horizontal="left" vertical="center" wrapText="1"/>
    </xf>
    <xf numFmtId="41" fontId="9" fillId="0" borderId="55" xfId="0" applyNumberFormat="1" applyFont="1" applyBorder="1" applyAlignment="1">
      <alignment horizontal="left" vertical="center" wrapText="1"/>
    </xf>
    <xf numFmtId="167" fontId="9" fillId="0" borderId="15" xfId="3" applyNumberFormat="1" applyFont="1" applyBorder="1" applyAlignment="1">
      <alignment horizontal="left" vertical="center" wrapText="1"/>
    </xf>
    <xf numFmtId="173" fontId="0" fillId="0" borderId="0" xfId="1" applyNumberFormat="1" applyFont="1"/>
    <xf numFmtId="170" fontId="0" fillId="0" borderId="22" xfId="1" applyNumberFormat="1" applyFont="1" applyBorder="1"/>
    <xf numFmtId="0" fontId="32" fillId="0" borderId="0" xfId="0" applyFont="1"/>
    <xf numFmtId="0" fontId="32" fillId="0" borderId="0" xfId="0" applyFont="1" applyAlignment="1">
      <alignment horizontal="left" indent="1"/>
    </xf>
    <xf numFmtId="0" fontId="33" fillId="0" borderId="0" xfId="0" applyFont="1"/>
    <xf numFmtId="168" fontId="8" fillId="0" borderId="0" xfId="2" applyNumberFormat="1" applyFont="1" applyBorder="1"/>
    <xf numFmtId="41" fontId="8" fillId="0" borderId="0" xfId="2" applyNumberFormat="1" applyFont="1" applyBorder="1"/>
    <xf numFmtId="0" fontId="8" fillId="0" borderId="0" xfId="0" applyFont="1" applyAlignment="1">
      <alignment horizontal="left" indent="1"/>
    </xf>
    <xf numFmtId="41" fontId="9" fillId="0" borderId="0" xfId="2" applyNumberFormat="1" applyFont="1" applyBorder="1"/>
    <xf numFmtId="41" fontId="9" fillId="0" borderId="11" xfId="2" applyNumberFormat="1" applyFont="1" applyBorder="1"/>
    <xf numFmtId="165" fontId="9" fillId="0" borderId="0" xfId="2" applyNumberFormat="1" applyFont="1" applyBorder="1"/>
    <xf numFmtId="167" fontId="9" fillId="0" borderId="0" xfId="3" applyNumberFormat="1" applyFont="1" applyBorder="1"/>
    <xf numFmtId="9" fontId="9" fillId="0" borderId="0" xfId="2" applyNumberFormat="1" applyFont="1" applyBorder="1"/>
    <xf numFmtId="41" fontId="9" fillId="0" borderId="12" xfId="2" applyNumberFormat="1" applyFont="1" applyBorder="1"/>
    <xf numFmtId="171" fontId="0" fillId="0" borderId="0" xfId="1" applyNumberFormat="1" applyFont="1" applyBorder="1"/>
    <xf numFmtId="43" fontId="0" fillId="0" borderId="0" xfId="1" applyFont="1" applyBorder="1"/>
    <xf numFmtId="44" fontId="0" fillId="0" borderId="0" xfId="2" applyFont="1"/>
    <xf numFmtId="44" fontId="0" fillId="0" borderId="0" xfId="2" applyFont="1" applyBorder="1"/>
    <xf numFmtId="164" fontId="31" fillId="0" borderId="0" xfId="1" applyNumberFormat="1" applyFont="1" applyBorder="1"/>
    <xf numFmtId="171" fontId="31" fillId="0" borderId="0" xfId="1" applyNumberFormat="1" applyFont="1" applyAlignment="1">
      <alignment horizontal="left" indent="2"/>
    </xf>
    <xf numFmtId="171" fontId="31" fillId="0" borderId="0" xfId="1" applyNumberFormat="1" applyFont="1" applyAlignment="1">
      <alignment horizontal="left" indent="1"/>
    </xf>
    <xf numFmtId="171" fontId="31" fillId="0" borderId="0" xfId="1" applyNumberFormat="1" applyFont="1"/>
    <xf numFmtId="164" fontId="0" fillId="0" borderId="6" xfId="1" applyNumberFormat="1" applyFont="1" applyBorder="1"/>
    <xf numFmtId="164" fontId="34" fillId="6" borderId="0" xfId="8" applyNumberFormat="1" applyBorder="1"/>
    <xf numFmtId="44" fontId="34" fillId="6" borderId="0" xfId="8" applyNumberFormat="1" applyBorder="1"/>
    <xf numFmtId="9" fontId="0" fillId="0" borderId="0" xfId="3" applyFont="1" applyBorder="1"/>
    <xf numFmtId="167" fontId="0" fillId="0" borderId="0" xfId="3" applyNumberFormat="1" applyFont="1" applyBorder="1"/>
    <xf numFmtId="171" fontId="12" fillId="0" borderId="0" xfId="1" applyNumberFormat="1" applyFont="1"/>
    <xf numFmtId="171" fontId="12" fillId="0" borderId="0" xfId="1" applyNumberFormat="1" applyFont="1" applyAlignment="1">
      <alignment horizontal="left"/>
    </xf>
    <xf numFmtId="0" fontId="3" fillId="3" borderId="1" xfId="1" applyNumberFormat="1" applyFont="1" applyFill="1" applyBorder="1" applyAlignment="1">
      <alignment horizontal="center" vertical="center"/>
    </xf>
    <xf numFmtId="0" fontId="5" fillId="0" borderId="0" xfId="0" applyFont="1" applyAlignment="1">
      <alignment horizontal="left" vertical="center"/>
    </xf>
    <xf numFmtId="0" fontId="4" fillId="0" borderId="0" xfId="0" applyFont="1" applyAlignment="1">
      <alignment horizontal="left" vertical="center" indent="1"/>
    </xf>
    <xf numFmtId="171" fontId="0" fillId="0" borderId="0" xfId="0" applyNumberFormat="1"/>
    <xf numFmtId="0" fontId="4" fillId="0" borderId="4" xfId="0" applyFont="1" applyBorder="1" applyAlignment="1">
      <alignment horizontal="left" vertical="center" wrapText="1" indent="1"/>
    </xf>
    <xf numFmtId="41" fontId="35" fillId="2" borderId="0" xfId="4" applyNumberFormat="1" applyFont="1"/>
    <xf numFmtId="0" fontId="35" fillId="2" borderId="0" xfId="4" applyFont="1" applyAlignment="1">
      <alignment horizontal="left" vertical="center" wrapText="1"/>
    </xf>
    <xf numFmtId="168" fontId="9" fillId="0" borderId="0" xfId="2" applyNumberFormat="1" applyFont="1" applyBorder="1" applyAlignment="1">
      <alignment horizontal="left" vertical="center" wrapText="1"/>
    </xf>
    <xf numFmtId="41" fontId="3" fillId="3" borderId="0" xfId="1" applyNumberFormat="1" applyFont="1" applyFill="1"/>
    <xf numFmtId="41" fontId="3" fillId="3" borderId="0" xfId="1" applyNumberFormat="1" applyFont="1" applyFill="1" applyAlignment="1">
      <alignment horizontal="right"/>
    </xf>
    <xf numFmtId="41" fontId="9" fillId="0" borderId="0" xfId="2" applyNumberFormat="1" applyFont="1" applyBorder="1" applyAlignment="1">
      <alignment horizontal="left" vertical="center" wrapText="1"/>
    </xf>
    <xf numFmtId="41" fontId="8" fillId="0" borderId="0" xfId="2" applyNumberFormat="1" applyFont="1" applyBorder="1" applyAlignment="1">
      <alignment horizontal="left" vertical="center" wrapText="1"/>
    </xf>
    <xf numFmtId="41" fontId="9" fillId="0" borderId="4" xfId="2" applyNumberFormat="1" applyFont="1" applyBorder="1" applyAlignment="1">
      <alignment horizontal="left" vertical="center" wrapText="1"/>
    </xf>
    <xf numFmtId="41" fontId="36" fillId="0" borderId="2" xfId="0" applyNumberFormat="1" applyFont="1" applyBorder="1" applyAlignment="1">
      <alignment horizontal="left" vertical="center" wrapText="1"/>
    </xf>
    <xf numFmtId="41" fontId="36" fillId="0" borderId="2" xfId="0" applyNumberFormat="1" applyFont="1" applyBorder="1" applyAlignment="1">
      <alignment horizontal="left" vertical="center" wrapText="1" indent="2"/>
    </xf>
    <xf numFmtId="41" fontId="9" fillId="0" borderId="13" xfId="2" applyNumberFormat="1" applyFont="1" applyBorder="1" applyAlignment="1">
      <alignment horizontal="left" vertical="center" wrapText="1"/>
    </xf>
    <xf numFmtId="165" fontId="36" fillId="0" borderId="2" xfId="0" applyNumberFormat="1" applyFont="1" applyBorder="1" applyAlignment="1">
      <alignment horizontal="left" vertical="center" wrapText="1"/>
    </xf>
    <xf numFmtId="41" fontId="36" fillId="0" borderId="3" xfId="0" applyNumberFormat="1" applyFont="1" applyBorder="1" applyAlignment="1">
      <alignment horizontal="left" vertical="center" wrapText="1" indent="2"/>
    </xf>
    <xf numFmtId="41" fontId="36" fillId="0" borderId="3" xfId="0" applyNumberFormat="1" applyFont="1" applyBorder="1" applyAlignment="1">
      <alignment horizontal="left" vertical="center" wrapText="1"/>
    </xf>
    <xf numFmtId="169" fontId="9" fillId="0" borderId="58" xfId="0" applyNumberFormat="1" applyFont="1" applyBorder="1" applyAlignment="1">
      <alignment horizontal="left" vertical="center" wrapText="1"/>
    </xf>
    <xf numFmtId="167" fontId="9" fillId="0" borderId="0" xfId="3" applyNumberFormat="1" applyFont="1" applyBorder="1" applyAlignment="1">
      <alignment horizontal="left" vertical="center" wrapText="1"/>
    </xf>
    <xf numFmtId="167" fontId="3" fillId="0" borderId="42" xfId="3" applyNumberFormat="1" applyFont="1" applyBorder="1"/>
    <xf numFmtId="41" fontId="37" fillId="0" borderId="3" xfId="0" applyNumberFormat="1" applyFont="1" applyBorder="1" applyAlignment="1">
      <alignment horizontal="left" vertical="center" wrapText="1"/>
    </xf>
    <xf numFmtId="41" fontId="37" fillId="0" borderId="2" xfId="0" applyNumberFormat="1" applyFont="1" applyBorder="1" applyAlignment="1">
      <alignment horizontal="left" vertical="center" wrapText="1"/>
    </xf>
    <xf numFmtId="167" fontId="8" fillId="0" borderId="23" xfId="3" applyNumberFormat="1" applyFont="1" applyBorder="1"/>
    <xf numFmtId="167" fontId="8" fillId="0" borderId="13" xfId="3" applyNumberFormat="1" applyFont="1" applyBorder="1"/>
    <xf numFmtId="167" fontId="8" fillId="0" borderId="6" xfId="3" applyNumberFormat="1" applyFont="1" applyBorder="1"/>
    <xf numFmtId="41" fontId="3" fillId="0" borderId="13" xfId="2" applyNumberFormat="1" applyFont="1" applyBorder="1" applyAlignment="1">
      <alignment horizontal="left" vertical="center" wrapText="1"/>
    </xf>
    <xf numFmtId="167" fontId="1" fillId="0" borderId="13" xfId="3" applyNumberFormat="1" applyFont="1" applyBorder="1"/>
    <xf numFmtId="41" fontId="36" fillId="0" borderId="15" xfId="0" applyNumberFormat="1" applyFont="1" applyBorder="1" applyAlignment="1">
      <alignment horizontal="left" vertical="center" wrapText="1"/>
    </xf>
    <xf numFmtId="0" fontId="5" fillId="0" borderId="9" xfId="0" applyFont="1" applyBorder="1" applyAlignment="1">
      <alignment horizontal="right" vertical="center" wrapText="1"/>
    </xf>
    <xf numFmtId="41" fontId="9" fillId="0" borderId="59" xfId="0" applyNumberFormat="1" applyFont="1" applyBorder="1" applyAlignment="1">
      <alignment horizontal="left" vertical="center" wrapText="1"/>
    </xf>
    <xf numFmtId="41" fontId="8" fillId="0" borderId="58" xfId="0" applyNumberFormat="1" applyFont="1" applyBorder="1" applyAlignment="1">
      <alignment horizontal="left" vertical="center" wrapText="1"/>
    </xf>
    <xf numFmtId="0" fontId="5" fillId="0" borderId="42" xfId="0" applyFont="1" applyBorder="1" applyAlignment="1">
      <alignment horizontal="left" vertical="center" wrapText="1"/>
    </xf>
    <xf numFmtId="41" fontId="9" fillId="0" borderId="60" xfId="0" applyNumberFormat="1" applyFont="1" applyBorder="1" applyAlignment="1">
      <alignment horizontal="left" vertical="center" wrapText="1"/>
    </xf>
    <xf numFmtId="41" fontId="8" fillId="0" borderId="16" xfId="2" applyNumberFormat="1" applyFont="1" applyBorder="1"/>
    <xf numFmtId="41" fontId="9" fillId="0" borderId="0" xfId="2" applyNumberFormat="1" applyFont="1"/>
    <xf numFmtId="41" fontId="9" fillId="0" borderId="16" xfId="2" applyNumberFormat="1" applyFont="1" applyBorder="1"/>
    <xf numFmtId="167" fontId="9" fillId="0" borderId="23" xfId="3" applyNumberFormat="1" applyFont="1" applyBorder="1"/>
    <xf numFmtId="41" fontId="8" fillId="0" borderId="61" xfId="0" applyNumberFormat="1" applyFont="1" applyBorder="1" applyAlignment="1">
      <alignment horizontal="left" vertical="center" wrapText="1"/>
    </xf>
    <xf numFmtId="0" fontId="7" fillId="0" borderId="0" xfId="0" applyFont="1" applyAlignment="1">
      <alignment horizontal="right"/>
    </xf>
    <xf numFmtId="175" fontId="3" fillId="3" borderId="0" xfId="1" applyNumberFormat="1" applyFont="1" applyFill="1"/>
    <xf numFmtId="44" fontId="9" fillId="0" borderId="0" xfId="2" applyFont="1" applyBorder="1" applyAlignment="1">
      <alignment horizontal="left" vertical="center" wrapText="1"/>
    </xf>
    <xf numFmtId="44" fontId="3" fillId="0" borderId="0" xfId="2" applyFont="1"/>
    <xf numFmtId="44" fontId="0" fillId="0" borderId="0" xfId="3" applyNumberFormat="1" applyFont="1" applyBorder="1"/>
    <xf numFmtId="43" fontId="0" fillId="0" borderId="0" xfId="3" applyNumberFormat="1" applyFont="1" applyBorder="1"/>
    <xf numFmtId="167" fontId="32" fillId="0" borderId="0" xfId="3" applyNumberFormat="1" applyFont="1"/>
    <xf numFmtId="0" fontId="38" fillId="0" borderId="0" xfId="0" applyFont="1"/>
    <xf numFmtId="176" fontId="8" fillId="0" borderId="0" xfId="0" applyNumberFormat="1" applyFont="1"/>
    <xf numFmtId="167" fontId="3" fillId="0" borderId="0" xfId="3" applyNumberFormat="1" applyFont="1" applyBorder="1" applyAlignment="1">
      <alignment horizontal="right"/>
    </xf>
    <xf numFmtId="167" fontId="0" fillId="0" borderId="0" xfId="3" applyNumberFormat="1" applyFont="1" applyBorder="1" applyAlignment="1">
      <alignment horizontal="right"/>
    </xf>
    <xf numFmtId="174" fontId="8" fillId="0" borderId="0" xfId="2" applyNumberFormat="1" applyFont="1" applyBorder="1"/>
    <xf numFmtId="0" fontId="17" fillId="0" borderId="0" xfId="5"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34" fillId="6" borderId="45" xfId="8" applyBorder="1" applyAlignment="1">
      <alignment horizontal="center" vertical="center" wrapText="1"/>
    </xf>
    <xf numFmtId="0" fontId="34" fillId="6" borderId="0" xfId="8" applyAlignment="1">
      <alignment horizontal="center" vertical="center" wrapText="1"/>
    </xf>
    <xf numFmtId="0" fontId="1" fillId="7" borderId="0" xfId="9"/>
  </cellXfs>
  <cellStyles count="10">
    <cellStyle name="20% - Accent1" xfId="9" builtinId="30"/>
    <cellStyle name="Accent6" xfId="7" builtinId="49"/>
    <cellStyle name="Bad" xfId="4" builtinId="27"/>
    <cellStyle name="Comma" xfId="1" builtinId="3"/>
    <cellStyle name="Currency" xfId="2" builtinId="4"/>
    <cellStyle name="Good" xfId="8" builtinId="26"/>
    <cellStyle name="Hyperlink" xfId="5" builtinId="8"/>
    <cellStyle name="Neutral" xfId="6" builtinId="28"/>
    <cellStyle name="Normal" xfId="0" builtinId="0"/>
    <cellStyle name="Percent" xfId="3" builtinId="5"/>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SupportingPropertyBagStructure" Target="richData/rdsupportingpropertybagstructure.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ichStyles" Target="richData/richStyl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worksheet" Target="worksheets/sheet10.xml"/><Relationship Id="rId19" Type="http://schemas.microsoft.com/office/2017/06/relationships/rdSupportingPropertyBag" Target="richData/rdsupporting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581025</xdr:colOff>
      <xdr:row>47</xdr:row>
      <xdr:rowOff>0</xdr:rowOff>
    </xdr:from>
    <xdr:to>
      <xdr:col>14</xdr:col>
      <xdr:colOff>334447</xdr:colOff>
      <xdr:row>88</xdr:row>
      <xdr:rowOff>182090</xdr:rowOff>
    </xdr:to>
    <xdr:pic>
      <xdr:nvPicPr>
        <xdr:cNvPr id="6" name="Picture 5">
          <a:extLst>
            <a:ext uri="{FF2B5EF4-FFF2-40B4-BE49-F238E27FC236}">
              <a16:creationId xmlns:a16="http://schemas.microsoft.com/office/drawing/2014/main" id="{478F8650-A083-0D3E-5EC3-E4644E3219C4}"/>
            </a:ext>
          </a:extLst>
        </xdr:cNvPr>
        <xdr:cNvPicPr>
          <a:picLocks noChangeAspect="1"/>
        </xdr:cNvPicPr>
      </xdr:nvPicPr>
      <xdr:blipFill>
        <a:blip xmlns:r="http://schemas.openxmlformats.org/officeDocument/2006/relationships" r:embed="rId1"/>
        <a:stretch>
          <a:fillRect/>
        </a:stretch>
      </xdr:blipFill>
      <xdr:spPr>
        <a:xfrm>
          <a:off x="1190625" y="8953500"/>
          <a:ext cx="7678222" cy="7992590"/>
        </a:xfrm>
        <a:prstGeom prst="rect">
          <a:avLst/>
        </a:prstGeom>
      </xdr:spPr>
    </xdr:pic>
    <xdr:clientData/>
  </xdr:twoCellAnchor>
  <xdr:twoCellAnchor editAs="oneCell">
    <xdr:from>
      <xdr:col>16</xdr:col>
      <xdr:colOff>447675</xdr:colOff>
      <xdr:row>1</xdr:row>
      <xdr:rowOff>95250</xdr:rowOff>
    </xdr:from>
    <xdr:to>
      <xdr:col>29</xdr:col>
      <xdr:colOff>20096</xdr:colOff>
      <xdr:row>27</xdr:row>
      <xdr:rowOff>181678</xdr:rowOff>
    </xdr:to>
    <xdr:pic>
      <xdr:nvPicPr>
        <xdr:cNvPr id="7" name="Picture 6">
          <a:extLst>
            <a:ext uri="{FF2B5EF4-FFF2-40B4-BE49-F238E27FC236}">
              <a16:creationId xmlns:a16="http://schemas.microsoft.com/office/drawing/2014/main" id="{682C379A-7288-20A6-9C94-A35215C9FE74}"/>
            </a:ext>
          </a:extLst>
        </xdr:cNvPr>
        <xdr:cNvPicPr>
          <a:picLocks noChangeAspect="1"/>
        </xdr:cNvPicPr>
      </xdr:nvPicPr>
      <xdr:blipFill>
        <a:blip xmlns:r="http://schemas.openxmlformats.org/officeDocument/2006/relationships" r:embed="rId2"/>
        <a:stretch>
          <a:fillRect/>
        </a:stretch>
      </xdr:blipFill>
      <xdr:spPr>
        <a:xfrm>
          <a:off x="10201275" y="285750"/>
          <a:ext cx="7497221" cy="5039428"/>
        </a:xfrm>
        <a:prstGeom prst="rect">
          <a:avLst/>
        </a:prstGeom>
      </xdr:spPr>
    </xdr:pic>
    <xdr:clientData/>
  </xdr:twoCellAnchor>
  <xdr:twoCellAnchor editAs="oneCell">
    <xdr:from>
      <xdr:col>1</xdr:col>
      <xdr:colOff>0</xdr:colOff>
      <xdr:row>1</xdr:row>
      <xdr:rowOff>0</xdr:rowOff>
    </xdr:from>
    <xdr:to>
      <xdr:col>14</xdr:col>
      <xdr:colOff>410738</xdr:colOff>
      <xdr:row>42</xdr:row>
      <xdr:rowOff>29669</xdr:rowOff>
    </xdr:to>
    <xdr:pic>
      <xdr:nvPicPr>
        <xdr:cNvPr id="9" name="Picture 8">
          <a:extLst>
            <a:ext uri="{FF2B5EF4-FFF2-40B4-BE49-F238E27FC236}">
              <a16:creationId xmlns:a16="http://schemas.microsoft.com/office/drawing/2014/main" id="{07B684E4-356C-439B-A836-7154C76D81C0}"/>
            </a:ext>
          </a:extLst>
        </xdr:cNvPr>
        <xdr:cNvPicPr>
          <a:picLocks noChangeAspect="1"/>
        </xdr:cNvPicPr>
      </xdr:nvPicPr>
      <xdr:blipFill>
        <a:blip xmlns:r="http://schemas.openxmlformats.org/officeDocument/2006/relationships" r:embed="rId3"/>
        <a:stretch>
          <a:fillRect/>
        </a:stretch>
      </xdr:blipFill>
      <xdr:spPr>
        <a:xfrm>
          <a:off x="609600" y="190500"/>
          <a:ext cx="8335538" cy="7840169"/>
        </a:xfrm>
        <a:prstGeom prst="rect">
          <a:avLst/>
        </a:prstGeom>
      </xdr:spPr>
    </xdr:pic>
    <xdr:clientData/>
  </xdr:twoCellAnchor>
  <xdr:twoCellAnchor editAs="oneCell">
    <xdr:from>
      <xdr:col>15</xdr:col>
      <xdr:colOff>0</xdr:colOff>
      <xdr:row>47</xdr:row>
      <xdr:rowOff>0</xdr:rowOff>
    </xdr:from>
    <xdr:to>
      <xdr:col>28</xdr:col>
      <xdr:colOff>582212</xdr:colOff>
      <xdr:row>90</xdr:row>
      <xdr:rowOff>134512</xdr:rowOff>
    </xdr:to>
    <xdr:pic>
      <xdr:nvPicPr>
        <xdr:cNvPr id="10" name="Picture 9">
          <a:extLst>
            <a:ext uri="{FF2B5EF4-FFF2-40B4-BE49-F238E27FC236}">
              <a16:creationId xmlns:a16="http://schemas.microsoft.com/office/drawing/2014/main" id="{DD00D18B-FA65-4615-B1BC-BD566709D930}"/>
            </a:ext>
          </a:extLst>
        </xdr:cNvPr>
        <xdr:cNvPicPr>
          <a:picLocks noChangeAspect="1"/>
        </xdr:cNvPicPr>
      </xdr:nvPicPr>
      <xdr:blipFill>
        <a:blip xmlns:r="http://schemas.openxmlformats.org/officeDocument/2006/relationships" r:embed="rId4"/>
        <a:stretch>
          <a:fillRect/>
        </a:stretch>
      </xdr:blipFill>
      <xdr:spPr>
        <a:xfrm>
          <a:off x="9144000" y="8953500"/>
          <a:ext cx="8507012" cy="83260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ric Curtis" id="{20BB564E-4135-4CD8-933C-B1313651D1ED}" userId="953f092d0545632c" providerId="Windows Liv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3">
  <rv s="0">
    <v>https://www.bing.com/financeapi/forcetrigger?t=a1wm77&amp;q=XNYS%3aKOP&amp;form=skydnc</v>
    <v>Learn more on Bing</v>
  </rv>
  <rv s="1">
    <v>en-US</v>
    <v>a1wm77</v>
    <v>268435456</v>
    <v>1</v>
    <v>Powered by Refinitiv</v>
    <v>0</v>
    <v>Koppers Holdings Inc. (XNYS:KOP)</v>
    <v>2</v>
    <v>3</v>
    <v>Finance</v>
    <v>4</v>
    <v>41.91</v>
    <v>23.69</v>
    <v>1.8529</v>
    <v>0.54</v>
    <v>1.4446000000000001E-2</v>
    <v>USD</v>
    <v>Koppers Holdings Inc. is an integrated global provider of treated wood products, wood preservation chemicals and carbon compounds. It has three business segments: Railroad and Utility Products and Services (RUPS), Performance Chemicals (PC) and Carbon Materials and Chemicals (CMC). Its RUPS segment sells treated and untreated wood products, rail joint bars and services primarily to the railroad markets in the United States and Canada and treated wood products and services to the utility markets. Its PC segment develops, manufactures, and markets wood preservation chemicals and wood treatment technologies and services to a diverse range of end markets including infrastructure, residential and commercial construction, and agriculture. The Company’s CMC segment is primarily a manufacturer of creosote, carbon pitch, naphthalene, phthalic anhydride and carbon black feedstock. The Company has manufacturing capabilities in North America, South America, Australasia and Europe.</v>
    <v>2119</v>
    <v>New York Stock Exchange</v>
    <v>XNYS</v>
    <v>XNYS</v>
    <v>436 7th Ave, PITTSBURGH, PA, 15219 US</v>
    <v>39.027700000000003</v>
    <v>Chemicals</v>
    <v>Stock</v>
    <v>45233.721983032032</v>
    <v>0</v>
    <v>36.700000000000003</v>
    <v>791475340</v>
    <v>Koppers Holdings Inc.</v>
    <v>Koppers Holdings Inc.</v>
    <v>37.4</v>
    <v>9.5823999999999998</v>
    <v>37.380000000000003</v>
    <v>37.92</v>
    <v>20872240</v>
    <v>KOP</v>
    <v>Koppers Holdings Inc. (XNYS:KOP)</v>
    <v>38644</v>
    <v>92261</v>
    <v>2004</v>
  </rv>
  <rv s="2">
    <v>1</v>
  </rv>
</rvData>
</file>

<file path=xl/richData/rdrichvaluestructure.xml><?xml version="1.0" encoding="utf-8"?>
<rvStructures xmlns="http://schemas.microsoft.com/office/spreadsheetml/2017/richdata" count="3">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
    <k n="%cvi" t="r"/>
  </s>
</rvStructures>
</file>

<file path=xl/richData/rdsupportingpropertybag.xml><?xml version="1.0" encoding="utf-8"?>
<supportingPropertyBags xmlns="http://schemas.microsoft.com/office/spreadsheetml/2017/richdata2">
  <spbArrays count="1">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spbArrays>
  <spbData count="5">
    <spb s="0">
      <v>0</v>
      <v>Name</v>
      <v>LearnMoreOnLink</v>
    </spb>
    <spb s="1">
      <v>0</v>
      <v>0</v>
      <v>0</v>
    </spb>
    <spb s="2">
      <v>1</v>
      <v>1</v>
      <v>1</v>
      <v>1</v>
    </spb>
    <spb s="3">
      <v>1</v>
      <v>2</v>
      <v>2</v>
      <v>1</v>
      <v>3</v>
      <v>1</v>
      <v>1</v>
      <v>1</v>
      <v>4</v>
      <v>4</v>
      <v>5</v>
      <v>6</v>
      <v>1</v>
      <v>1</v>
      <v>1</v>
      <v>4</v>
      <v>7</v>
      <v>8</v>
      <v>9</v>
      <v>4</v>
    </spb>
    <spb s="4">
      <v>Real-Time Nasdaq Last Sale</v>
      <v>from previous close</v>
      <v>from previous close</v>
      <v>Source: Nasdaq Last Sale</v>
      <v>GMT</v>
    </spb>
  </spbData>
</supportingPropertyBags>
</file>

<file path=xl/richData/rdsupportingpropertybagstructure.xml><?xml version="1.0" encoding="utf-8"?>
<spbStructures xmlns="http://schemas.microsoft.com/office/spreadsheetml/2017/richdata2" count="5">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ExchangeID" t="s"/>
    <k n="Last trade tim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7">
    <x:dxf>
      <x:numFmt numFmtId="2" formatCode="0.00"/>
    </x:dxf>
    <x:dxf>
      <x:numFmt numFmtId="0" formatCode="General"/>
    </x:dxf>
    <x:dxf>
      <x:numFmt numFmtId="27" formatCode="m/d/yyyy\ h:mm"/>
    </x:dxf>
    <x:dxf>
      <x:numFmt numFmtId="14" formatCode="0.00%"/>
    </x:dxf>
    <x:dxf>
      <x:numFmt numFmtId="3" formatCode="#,##0"/>
    </x:dxf>
    <x:dxf>
      <x:numFmt numFmtId="4" formatCode="#,##0.00"/>
    </x:dxf>
    <x:dxf>
      <x:numFmt numFmtId="1" formatCode="0"/>
    </x:dxf>
  </dxfs>
  <richProperties>
    <rPr n="NumberFormat" t="s"/>
    <rPr n="IsTitleField" t="b"/>
  </richProperties>
  <richStyles>
    <rSty dxfid="1">
      <rpv i="0">_([$$-en-US]* #,##0.00_);_([$$-en-US]* (#,##0.00);_([$$-en-US]* "-"??_);_(@_)</rpv>
    </rSty>
    <rSty dxfid="5">
      <rpv i="0">#,##0.00</rpv>
    </rSty>
    <rSty>
      <rpv i="1">1</rpv>
    </rSty>
    <rSty dxfid="4">
      <rpv i="0">#,##0</rpv>
    </rSty>
    <rSty dxfid="3"/>
    <rSty dxfid="1">
      <rpv i="0">_([$$-en-US]* #,##0_);_([$$-en-US]* (#,##0);_([$$-en-US]* "-"_);_(@_)</rpv>
    </rSty>
    <rSty dxfid="2"/>
    <rSty dxfid="6">
      <rpv i="0">0</rpv>
    </rSty>
    <rSty dxfid="0">
      <rpv i="0">0.00</rpv>
    </rSty>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19" dT="2023-10-11T23:56:46.93" personId="{20BB564E-4135-4CD8-933C-B1313651D1ED}" id="{9CC989E9-81A1-4526-A2AD-AE6D305534B9}">
    <text>How many days can the company survive if it only had its liquid assets.</text>
  </threadedComment>
</ThreadedComments>
</file>

<file path=xl/threadedComments/threadedComment2.xml><?xml version="1.0" encoding="utf-8"?>
<ThreadedComments xmlns="http://schemas.microsoft.com/office/spreadsheetml/2018/threadedcomments" xmlns:x="http://schemas.openxmlformats.org/spreadsheetml/2006/main">
  <threadedComment ref="A320" dT="2023-10-11T23:56:46.93" personId="{20BB564E-4135-4CD8-933C-B1313651D1ED}" id="{791C00B3-E4FC-4905-97DF-5B3646279DFD}">
    <text>How many days can the company survive if it only had its liquid assets.</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cfainstitute.org/-/media/documents/support/research-challenge/challenge/research-challenge-official-rules.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investors.koppers.com/financial-information/quarterly-result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17D6B-FA7E-4DE3-AAD9-4C278DA7E7C7}">
  <dimension ref="A2:N92"/>
  <sheetViews>
    <sheetView workbookViewId="0">
      <selection activeCell="E13" sqref="E13"/>
    </sheetView>
  </sheetViews>
  <sheetFormatPr defaultRowHeight="15" x14ac:dyDescent="0.25"/>
  <sheetData>
    <row r="2" spans="1:14" x14ac:dyDescent="0.25">
      <c r="A2" t="s">
        <v>259</v>
      </c>
      <c r="B2" s="375" t="s">
        <v>216</v>
      </c>
      <c r="C2" s="375"/>
      <c r="D2" s="375"/>
      <c r="E2" s="375"/>
      <c r="F2" s="375"/>
      <c r="G2" s="375"/>
      <c r="H2" s="375"/>
      <c r="I2" s="375"/>
      <c r="J2" s="375"/>
      <c r="K2" s="375"/>
      <c r="L2" s="375"/>
      <c r="M2" s="375"/>
      <c r="N2" s="375"/>
    </row>
    <row r="4" spans="1:14" x14ac:dyDescent="0.25">
      <c r="B4" s="88" t="s">
        <v>165</v>
      </c>
    </row>
    <row r="5" spans="1:14" x14ac:dyDescent="0.25">
      <c r="B5" s="87" t="s">
        <v>166</v>
      </c>
    </row>
    <row r="6" spans="1:14" x14ac:dyDescent="0.25">
      <c r="B6" s="89" t="s">
        <v>167</v>
      </c>
    </row>
    <row r="7" spans="1:14" x14ac:dyDescent="0.25">
      <c r="B7" s="89" t="s">
        <v>168</v>
      </c>
    </row>
    <row r="8" spans="1:14" x14ac:dyDescent="0.25">
      <c r="B8" s="89" t="s">
        <v>169</v>
      </c>
    </row>
    <row r="9" spans="1:14" x14ac:dyDescent="0.25">
      <c r="B9" s="89" t="s">
        <v>170</v>
      </c>
    </row>
    <row r="10" spans="1:14" x14ac:dyDescent="0.25">
      <c r="B10" s="89" t="s">
        <v>171</v>
      </c>
    </row>
    <row r="11" spans="1:14" x14ac:dyDescent="0.25">
      <c r="B11" s="87" t="s">
        <v>172</v>
      </c>
    </row>
    <row r="12" spans="1:14" x14ac:dyDescent="0.25">
      <c r="B12" s="87"/>
    </row>
    <row r="13" spans="1:14" x14ac:dyDescent="0.25">
      <c r="B13" s="88" t="s">
        <v>173</v>
      </c>
    </row>
    <row r="14" spans="1:14" x14ac:dyDescent="0.25">
      <c r="B14" s="87" t="s">
        <v>174</v>
      </c>
    </row>
    <row r="15" spans="1:14" x14ac:dyDescent="0.25">
      <c r="B15" s="87" t="s">
        <v>175</v>
      </c>
    </row>
    <row r="16" spans="1:14" x14ac:dyDescent="0.25">
      <c r="B16" s="89" t="s">
        <v>176</v>
      </c>
    </row>
    <row r="17" spans="2:2" x14ac:dyDescent="0.25">
      <c r="B17" s="89" t="s">
        <v>177</v>
      </c>
    </row>
    <row r="18" spans="2:2" x14ac:dyDescent="0.25">
      <c r="B18" s="89" t="s">
        <v>178</v>
      </c>
    </row>
    <row r="19" spans="2:2" x14ac:dyDescent="0.25">
      <c r="B19" s="89" t="s">
        <v>179</v>
      </c>
    </row>
    <row r="20" spans="2:2" x14ac:dyDescent="0.25">
      <c r="B20" s="87" t="s">
        <v>180</v>
      </c>
    </row>
    <row r="21" spans="2:2" x14ac:dyDescent="0.25">
      <c r="B21" s="89" t="s">
        <v>181</v>
      </c>
    </row>
    <row r="22" spans="2:2" x14ac:dyDescent="0.25">
      <c r="B22" s="89" t="s">
        <v>182</v>
      </c>
    </row>
    <row r="23" spans="2:2" x14ac:dyDescent="0.25">
      <c r="B23" s="89" t="s">
        <v>183</v>
      </c>
    </row>
    <row r="24" spans="2:2" x14ac:dyDescent="0.25">
      <c r="B24" s="89"/>
    </row>
    <row r="25" spans="2:2" x14ac:dyDescent="0.25">
      <c r="B25" s="88" t="s">
        <v>184</v>
      </c>
    </row>
    <row r="26" spans="2:2" x14ac:dyDescent="0.25">
      <c r="B26" s="87" t="s">
        <v>185</v>
      </c>
    </row>
    <row r="27" spans="2:2" x14ac:dyDescent="0.25">
      <c r="B27" s="89" t="s">
        <v>186</v>
      </c>
    </row>
    <row r="28" spans="2:2" x14ac:dyDescent="0.25">
      <c r="B28" s="89" t="s">
        <v>187</v>
      </c>
    </row>
    <row r="29" spans="2:2" x14ac:dyDescent="0.25">
      <c r="B29" s="89" t="s">
        <v>188</v>
      </c>
    </row>
    <row r="30" spans="2:2" x14ac:dyDescent="0.25">
      <c r="B30" s="89" t="s">
        <v>189</v>
      </c>
    </row>
    <row r="31" spans="2:2" x14ac:dyDescent="0.25">
      <c r="B31" s="89" t="s">
        <v>190</v>
      </c>
    </row>
    <row r="32" spans="2:2" x14ac:dyDescent="0.25">
      <c r="B32" s="89" t="s">
        <v>191</v>
      </c>
    </row>
    <row r="33" spans="2:2" x14ac:dyDescent="0.25">
      <c r="B33" s="89"/>
    </row>
    <row r="34" spans="2:2" x14ac:dyDescent="0.25">
      <c r="B34" s="88" t="s">
        <v>192</v>
      </c>
    </row>
    <row r="35" spans="2:2" x14ac:dyDescent="0.25">
      <c r="B35" s="87" t="s">
        <v>193</v>
      </c>
    </row>
    <row r="36" spans="2:2" x14ac:dyDescent="0.25">
      <c r="B36" s="89" t="s">
        <v>194</v>
      </c>
    </row>
    <row r="37" spans="2:2" x14ac:dyDescent="0.25">
      <c r="B37" s="89" t="s">
        <v>195</v>
      </c>
    </row>
    <row r="38" spans="2:2" x14ac:dyDescent="0.25">
      <c r="B38" s="89" t="s">
        <v>196</v>
      </c>
    </row>
    <row r="39" spans="2:2" x14ac:dyDescent="0.25">
      <c r="B39" s="89" t="s">
        <v>197</v>
      </c>
    </row>
    <row r="40" spans="2:2" x14ac:dyDescent="0.25">
      <c r="B40" s="89" t="s">
        <v>198</v>
      </c>
    </row>
    <row r="41" spans="2:2" x14ac:dyDescent="0.25">
      <c r="B41" s="89" t="s">
        <v>199</v>
      </c>
    </row>
    <row r="42" spans="2:2" x14ac:dyDescent="0.25">
      <c r="B42" s="89" t="s">
        <v>200</v>
      </c>
    </row>
    <row r="43" spans="2:2" x14ac:dyDescent="0.25">
      <c r="B43" s="89" t="s">
        <v>201</v>
      </c>
    </row>
    <row r="44" spans="2:2" x14ac:dyDescent="0.25">
      <c r="B44" s="89" t="s">
        <v>202</v>
      </c>
    </row>
    <row r="45" spans="2:2" x14ac:dyDescent="0.25">
      <c r="B45" s="89"/>
    </row>
    <row r="46" spans="2:2" x14ac:dyDescent="0.25">
      <c r="B46" s="88" t="s">
        <v>203</v>
      </c>
    </row>
    <row r="47" spans="2:2" x14ac:dyDescent="0.25">
      <c r="B47" s="87" t="s">
        <v>204</v>
      </c>
    </row>
    <row r="48" spans="2:2" x14ac:dyDescent="0.25">
      <c r="B48" s="89" t="s">
        <v>205</v>
      </c>
    </row>
    <row r="49" spans="2:2" x14ac:dyDescent="0.25">
      <c r="B49" s="89" t="s">
        <v>206</v>
      </c>
    </row>
    <row r="50" spans="2:2" x14ac:dyDescent="0.25">
      <c r="B50" s="89" t="s">
        <v>207</v>
      </c>
    </row>
    <row r="51" spans="2:2" x14ac:dyDescent="0.25">
      <c r="B51" s="89" t="s">
        <v>208</v>
      </c>
    </row>
    <row r="52" spans="2:2" x14ac:dyDescent="0.25">
      <c r="B52" s="89" t="s">
        <v>209</v>
      </c>
    </row>
    <row r="53" spans="2:2" x14ac:dyDescent="0.25">
      <c r="B53" s="89" t="s">
        <v>210</v>
      </c>
    </row>
    <row r="54" spans="2:2" x14ac:dyDescent="0.25">
      <c r="B54" s="89" t="s">
        <v>211</v>
      </c>
    </row>
    <row r="55" spans="2:2" x14ac:dyDescent="0.25">
      <c r="B55" s="89" t="s">
        <v>212</v>
      </c>
    </row>
    <row r="56" spans="2:2" x14ac:dyDescent="0.25">
      <c r="B56" s="89" t="s">
        <v>213</v>
      </c>
    </row>
    <row r="57" spans="2:2" x14ac:dyDescent="0.25">
      <c r="B57" s="89" t="s">
        <v>214</v>
      </c>
    </row>
    <row r="58" spans="2:2" x14ac:dyDescent="0.25">
      <c r="B58" s="89" t="s">
        <v>215</v>
      </c>
    </row>
    <row r="60" spans="2:2" x14ac:dyDescent="0.25">
      <c r="B60" s="88" t="s">
        <v>217</v>
      </c>
    </row>
    <row r="61" spans="2:2" x14ac:dyDescent="0.25">
      <c r="B61" s="87" t="s">
        <v>218</v>
      </c>
    </row>
    <row r="62" spans="2:2" x14ac:dyDescent="0.25">
      <c r="B62" s="89" t="s">
        <v>219</v>
      </c>
    </row>
    <row r="63" spans="2:2" x14ac:dyDescent="0.25">
      <c r="B63" s="89" t="s">
        <v>220</v>
      </c>
    </row>
    <row r="64" spans="2:2" x14ac:dyDescent="0.25">
      <c r="B64" s="89" t="s">
        <v>221</v>
      </c>
    </row>
    <row r="65" spans="2:2" x14ac:dyDescent="0.25">
      <c r="B65" s="91" t="s">
        <v>222</v>
      </c>
    </row>
    <row r="66" spans="2:2" x14ac:dyDescent="0.25">
      <c r="B66" s="91" t="s">
        <v>223</v>
      </c>
    </row>
    <row r="67" spans="2:2" x14ac:dyDescent="0.25">
      <c r="B67" s="91" t="s">
        <v>224</v>
      </c>
    </row>
    <row r="68" spans="2:2" x14ac:dyDescent="0.25">
      <c r="B68" s="91" t="s">
        <v>225</v>
      </c>
    </row>
    <row r="69" spans="2:2" x14ac:dyDescent="0.25">
      <c r="B69" s="91" t="s">
        <v>226</v>
      </c>
    </row>
    <row r="70" spans="2:2" x14ac:dyDescent="0.25">
      <c r="B70" s="91" t="s">
        <v>227</v>
      </c>
    </row>
    <row r="71" spans="2:2" x14ac:dyDescent="0.25">
      <c r="B71" s="89" t="s">
        <v>228</v>
      </c>
    </row>
    <row r="72" spans="2:2" x14ac:dyDescent="0.25">
      <c r="B72" s="89" t="s">
        <v>229</v>
      </c>
    </row>
    <row r="73" spans="2:2" x14ac:dyDescent="0.25">
      <c r="B73" s="89" t="s">
        <v>230</v>
      </c>
    </row>
    <row r="74" spans="2:2" x14ac:dyDescent="0.25">
      <c r="B74" s="89" t="s">
        <v>231</v>
      </c>
    </row>
    <row r="75" spans="2:2" x14ac:dyDescent="0.25">
      <c r="B75" s="89" t="s">
        <v>232</v>
      </c>
    </row>
    <row r="76" spans="2:2" x14ac:dyDescent="0.25">
      <c r="B76" s="89" t="s">
        <v>233</v>
      </c>
    </row>
    <row r="77" spans="2:2" x14ac:dyDescent="0.25">
      <c r="B77" s="91" t="s">
        <v>234</v>
      </c>
    </row>
    <row r="78" spans="2:2" x14ac:dyDescent="0.25">
      <c r="B78" s="91" t="s">
        <v>235</v>
      </c>
    </row>
    <row r="79" spans="2:2" x14ac:dyDescent="0.25">
      <c r="B79" s="91" t="s">
        <v>236</v>
      </c>
    </row>
    <row r="80" spans="2:2" x14ac:dyDescent="0.25">
      <c r="B80" s="91" t="s">
        <v>237</v>
      </c>
    </row>
    <row r="81" spans="2:2" x14ac:dyDescent="0.25">
      <c r="B81" s="91" t="s">
        <v>238</v>
      </c>
    </row>
    <row r="82" spans="2:2" x14ac:dyDescent="0.25">
      <c r="B82" s="91" t="s">
        <v>239</v>
      </c>
    </row>
    <row r="83" spans="2:2" x14ac:dyDescent="0.25">
      <c r="B83" s="92" t="s">
        <v>240</v>
      </c>
    </row>
    <row r="85" spans="2:2" x14ac:dyDescent="0.25">
      <c r="B85" s="88" t="s">
        <v>248</v>
      </c>
    </row>
    <row r="86" spans="2:2" x14ac:dyDescent="0.25">
      <c r="B86" s="87" t="s">
        <v>241</v>
      </c>
    </row>
    <row r="87" spans="2:2" x14ac:dyDescent="0.25">
      <c r="B87" s="87" t="s">
        <v>242</v>
      </c>
    </row>
    <row r="88" spans="2:2" x14ac:dyDescent="0.25">
      <c r="B88" s="92" t="s">
        <v>243</v>
      </c>
    </row>
    <row r="89" spans="2:2" x14ac:dyDescent="0.25">
      <c r="B89" s="92" t="s">
        <v>244</v>
      </c>
    </row>
    <row r="90" spans="2:2" x14ac:dyDescent="0.25">
      <c r="B90" s="92" t="s">
        <v>245</v>
      </c>
    </row>
    <row r="91" spans="2:2" x14ac:dyDescent="0.25">
      <c r="B91" s="92" t="s">
        <v>246</v>
      </c>
    </row>
    <row r="92" spans="2:2" x14ac:dyDescent="0.25">
      <c r="B92" s="92" t="s">
        <v>247</v>
      </c>
    </row>
  </sheetData>
  <mergeCells count="1">
    <mergeCell ref="B2:N2"/>
  </mergeCells>
  <hyperlinks>
    <hyperlink ref="B2" r:id="rId1" xr:uid="{7FA60B53-AB84-48BE-99DA-DD06CC58580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E6DF-B4CD-4FD2-A7BD-7E5FF791A21B}">
  <dimension ref="A1:C35"/>
  <sheetViews>
    <sheetView workbookViewId="0">
      <selection activeCell="C3" sqref="C3"/>
    </sheetView>
  </sheetViews>
  <sheetFormatPr defaultRowHeight="15" x14ac:dyDescent="0.25"/>
  <cols>
    <col min="2" max="2" width="12.140625" customWidth="1"/>
    <col min="3" max="3" width="255.5703125" customWidth="1"/>
  </cols>
  <sheetData>
    <row r="1" spans="1:3" ht="45" customHeight="1" x14ac:dyDescent="0.25">
      <c r="A1" s="184" t="s">
        <v>307</v>
      </c>
      <c r="B1" s="185" t="s">
        <v>310</v>
      </c>
      <c r="C1" s="184" t="s">
        <v>308</v>
      </c>
    </row>
    <row r="2" spans="1:3" ht="45" customHeight="1" x14ac:dyDescent="0.25">
      <c r="A2" s="174" t="s">
        <v>309</v>
      </c>
      <c r="B2" s="174" t="s">
        <v>311</v>
      </c>
      <c r="C2" s="174" t="s">
        <v>306</v>
      </c>
    </row>
    <row r="3" spans="1:3" ht="45" customHeight="1" x14ac:dyDescent="0.25">
      <c r="A3" s="174"/>
      <c r="B3" s="174"/>
      <c r="C3" s="174"/>
    </row>
    <row r="4" spans="1:3" ht="45" customHeight="1" x14ac:dyDescent="0.25">
      <c r="A4" s="174"/>
      <c r="B4" s="174"/>
      <c r="C4" s="174"/>
    </row>
    <row r="5" spans="1:3" ht="45" customHeight="1" x14ac:dyDescent="0.25">
      <c r="A5" s="174"/>
      <c r="B5" s="174"/>
      <c r="C5" s="174"/>
    </row>
    <row r="6" spans="1:3" ht="45" customHeight="1" x14ac:dyDescent="0.25">
      <c r="A6" s="174"/>
      <c r="B6" s="174"/>
      <c r="C6" s="174"/>
    </row>
    <row r="7" spans="1:3" ht="45" customHeight="1" x14ac:dyDescent="0.25">
      <c r="A7" s="174"/>
      <c r="B7" s="174"/>
      <c r="C7" s="174"/>
    </row>
    <row r="8" spans="1:3" ht="45" customHeight="1" x14ac:dyDescent="0.25">
      <c r="A8" s="174"/>
      <c r="B8" s="174"/>
      <c r="C8" s="174"/>
    </row>
    <row r="9" spans="1:3" ht="45" customHeight="1" x14ac:dyDescent="0.25">
      <c r="A9" s="174"/>
      <c r="B9" s="174"/>
      <c r="C9" s="174"/>
    </row>
    <row r="10" spans="1:3" ht="45" customHeight="1" x14ac:dyDescent="0.25">
      <c r="A10" s="174"/>
      <c r="B10" s="174"/>
      <c r="C10" s="174"/>
    </row>
    <row r="11" spans="1:3" ht="45" customHeight="1" x14ac:dyDescent="0.25">
      <c r="A11" s="174"/>
      <c r="B11" s="174"/>
      <c r="C11" s="174"/>
    </row>
    <row r="12" spans="1:3" ht="45" customHeight="1" x14ac:dyDescent="0.25">
      <c r="A12" s="174"/>
      <c r="B12" s="174"/>
      <c r="C12" s="174"/>
    </row>
    <row r="13" spans="1:3" ht="45" customHeight="1" x14ac:dyDescent="0.25"/>
    <row r="14" spans="1:3" ht="45" customHeight="1" x14ac:dyDescent="0.25"/>
    <row r="15" spans="1:3" ht="45" customHeight="1" x14ac:dyDescent="0.25"/>
    <row r="16" spans="1:3" ht="45" customHeight="1" x14ac:dyDescent="0.25"/>
    <row r="17" ht="45" customHeight="1" x14ac:dyDescent="0.25"/>
    <row r="18" ht="45" customHeight="1" x14ac:dyDescent="0.25"/>
    <row r="19" ht="45" customHeight="1" x14ac:dyDescent="0.25"/>
    <row r="20" ht="45" customHeight="1" x14ac:dyDescent="0.25"/>
    <row r="21" ht="45" customHeight="1" x14ac:dyDescent="0.25"/>
    <row r="22" ht="45" customHeight="1" x14ac:dyDescent="0.25"/>
    <row r="23" ht="45" customHeight="1" x14ac:dyDescent="0.25"/>
    <row r="24" ht="45" customHeight="1" x14ac:dyDescent="0.25"/>
    <row r="25" ht="45" customHeight="1" x14ac:dyDescent="0.25"/>
    <row r="26" ht="45" customHeight="1" x14ac:dyDescent="0.25"/>
    <row r="27" ht="45" customHeight="1" x14ac:dyDescent="0.25"/>
    <row r="28" ht="45" customHeight="1" x14ac:dyDescent="0.25"/>
    <row r="29" ht="45" customHeight="1" x14ac:dyDescent="0.25"/>
    <row r="30" ht="45" customHeight="1" x14ac:dyDescent="0.25"/>
    <row r="31" ht="45" customHeight="1" x14ac:dyDescent="0.25"/>
    <row r="32" ht="45" customHeight="1" x14ac:dyDescent="0.25"/>
    <row r="33" ht="45" customHeight="1" x14ac:dyDescent="0.25"/>
    <row r="34" ht="45" customHeight="1" x14ac:dyDescent="0.25"/>
    <row r="35" ht="45" customHeight="1"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D7FB-DF5C-412E-AAAB-166582461E50}">
  <dimension ref="A1:O37"/>
  <sheetViews>
    <sheetView workbookViewId="0">
      <selection activeCell="O32" sqref="O32"/>
    </sheetView>
  </sheetViews>
  <sheetFormatPr defaultRowHeight="15" x14ac:dyDescent="0.25"/>
  <sheetData>
    <row r="1" spans="1:15" x14ac:dyDescent="0.25">
      <c r="A1" s="93" t="s">
        <v>257</v>
      </c>
      <c r="I1" s="93" t="s">
        <v>256</v>
      </c>
    </row>
    <row r="2" spans="1:15" x14ac:dyDescent="0.25">
      <c r="A2" s="376">
        <v>1</v>
      </c>
      <c r="B2" s="376" t="s">
        <v>249</v>
      </c>
      <c r="C2" s="376"/>
      <c r="D2" s="376"/>
      <c r="E2" s="376"/>
      <c r="F2" s="376"/>
      <c r="G2" s="376">
        <v>20</v>
      </c>
      <c r="I2" s="376">
        <v>1</v>
      </c>
      <c r="J2" s="376" t="s">
        <v>249</v>
      </c>
      <c r="K2" s="376"/>
      <c r="L2" s="376"/>
      <c r="M2" s="376"/>
      <c r="N2" s="376"/>
      <c r="O2" s="376">
        <v>20</v>
      </c>
    </row>
    <row r="3" spans="1:15" x14ac:dyDescent="0.25">
      <c r="A3" s="376"/>
      <c r="B3" s="376"/>
      <c r="C3" s="376"/>
      <c r="D3" s="376"/>
      <c r="E3" s="376"/>
      <c r="F3" s="376"/>
      <c r="G3" s="376"/>
      <c r="I3" s="376"/>
      <c r="J3" s="376"/>
      <c r="K3" s="376"/>
      <c r="L3" s="376"/>
      <c r="M3" s="376"/>
      <c r="N3" s="376"/>
      <c r="O3" s="376"/>
    </row>
    <row r="4" spans="1:15" x14ac:dyDescent="0.25">
      <c r="A4" s="376"/>
      <c r="B4" s="376"/>
      <c r="C4" s="376"/>
      <c r="D4" s="376"/>
      <c r="E4" s="376"/>
      <c r="F4" s="376"/>
      <c r="G4" s="376"/>
      <c r="I4" s="376"/>
      <c r="J4" s="376"/>
      <c r="K4" s="376"/>
      <c r="L4" s="376"/>
      <c r="M4" s="376"/>
      <c r="N4" s="376"/>
      <c r="O4" s="376"/>
    </row>
    <row r="5" spans="1:15" x14ac:dyDescent="0.25">
      <c r="A5" s="376"/>
      <c r="B5" s="376"/>
      <c r="C5" s="376"/>
      <c r="D5" s="376"/>
      <c r="E5" s="376"/>
      <c r="F5" s="376"/>
      <c r="G5" s="376"/>
      <c r="I5" s="376"/>
      <c r="J5" s="376"/>
      <c r="K5" s="376"/>
      <c r="L5" s="376"/>
      <c r="M5" s="376"/>
      <c r="N5" s="376"/>
      <c r="O5" s="376"/>
    </row>
    <row r="6" spans="1:15" x14ac:dyDescent="0.25">
      <c r="A6" s="376"/>
      <c r="B6" s="376"/>
      <c r="C6" s="376"/>
      <c r="D6" s="376"/>
      <c r="E6" s="376"/>
      <c r="F6" s="376"/>
      <c r="G6" s="376"/>
      <c r="I6" s="376"/>
      <c r="J6" s="376"/>
      <c r="K6" s="376"/>
      <c r="L6" s="376"/>
      <c r="M6" s="376"/>
      <c r="N6" s="376"/>
      <c r="O6" s="376"/>
    </row>
    <row r="7" spans="1:15" x14ac:dyDescent="0.25">
      <c r="A7" s="376">
        <v>2</v>
      </c>
      <c r="B7" s="376" t="s">
        <v>250</v>
      </c>
      <c r="C7" s="376"/>
      <c r="D7" s="376"/>
      <c r="E7" s="376"/>
      <c r="F7" s="376"/>
      <c r="G7" s="376">
        <v>20</v>
      </c>
      <c r="I7" s="376">
        <v>2</v>
      </c>
      <c r="J7" s="376" t="s">
        <v>250</v>
      </c>
      <c r="K7" s="376"/>
      <c r="L7" s="376"/>
      <c r="M7" s="376"/>
      <c r="N7" s="376"/>
      <c r="O7" s="376">
        <v>20</v>
      </c>
    </row>
    <row r="8" spans="1:15" x14ac:dyDescent="0.25">
      <c r="A8" s="376"/>
      <c r="B8" s="376"/>
      <c r="C8" s="376"/>
      <c r="D8" s="376"/>
      <c r="E8" s="376"/>
      <c r="F8" s="376"/>
      <c r="G8" s="376"/>
      <c r="I8" s="376"/>
      <c r="J8" s="376"/>
      <c r="K8" s="376"/>
      <c r="L8" s="376"/>
      <c r="M8" s="376"/>
      <c r="N8" s="376"/>
      <c r="O8" s="376"/>
    </row>
    <row r="9" spans="1:15" x14ac:dyDescent="0.25">
      <c r="A9" s="376"/>
      <c r="B9" s="376"/>
      <c r="C9" s="376"/>
      <c r="D9" s="376"/>
      <c r="E9" s="376"/>
      <c r="F9" s="376"/>
      <c r="G9" s="376"/>
      <c r="I9" s="376"/>
      <c r="J9" s="376"/>
      <c r="K9" s="376"/>
      <c r="L9" s="376"/>
      <c r="M9" s="376"/>
      <c r="N9" s="376"/>
      <c r="O9" s="376"/>
    </row>
    <row r="10" spans="1:15" x14ac:dyDescent="0.25">
      <c r="A10" s="376"/>
      <c r="B10" s="376"/>
      <c r="C10" s="376"/>
      <c r="D10" s="376"/>
      <c r="E10" s="376"/>
      <c r="F10" s="376"/>
      <c r="G10" s="376"/>
      <c r="I10" s="376"/>
      <c r="J10" s="376"/>
      <c r="K10" s="376"/>
      <c r="L10" s="376"/>
      <c r="M10" s="376"/>
      <c r="N10" s="376"/>
      <c r="O10" s="376"/>
    </row>
    <row r="11" spans="1:15" x14ac:dyDescent="0.25">
      <c r="A11" s="376"/>
      <c r="B11" s="376"/>
      <c r="C11" s="376"/>
      <c r="D11" s="376"/>
      <c r="E11" s="376"/>
      <c r="F11" s="376"/>
      <c r="G11" s="376"/>
      <c r="I11" s="376"/>
      <c r="J11" s="376"/>
      <c r="K11" s="376"/>
      <c r="L11" s="376"/>
      <c r="M11" s="376"/>
      <c r="N11" s="376"/>
      <c r="O11" s="376"/>
    </row>
    <row r="12" spans="1:15" x14ac:dyDescent="0.25">
      <c r="A12" s="376">
        <v>3</v>
      </c>
      <c r="B12" s="376" t="s">
        <v>251</v>
      </c>
      <c r="C12" s="376"/>
      <c r="D12" s="376"/>
      <c r="E12" s="376"/>
      <c r="F12" s="376"/>
      <c r="G12" s="377">
        <v>10</v>
      </c>
      <c r="I12" s="376">
        <v>3</v>
      </c>
      <c r="J12" s="376" t="s">
        <v>251</v>
      </c>
      <c r="K12" s="376"/>
      <c r="L12" s="376"/>
      <c r="M12" s="376"/>
      <c r="N12" s="376"/>
      <c r="O12" s="377">
        <v>10</v>
      </c>
    </row>
    <row r="13" spans="1:15" x14ac:dyDescent="0.25">
      <c r="A13" s="376"/>
      <c r="B13" s="376"/>
      <c r="C13" s="376"/>
      <c r="D13" s="376"/>
      <c r="E13" s="376"/>
      <c r="F13" s="376"/>
      <c r="G13" s="377"/>
      <c r="I13" s="376"/>
      <c r="J13" s="376"/>
      <c r="K13" s="376"/>
      <c r="L13" s="376"/>
      <c r="M13" s="376"/>
      <c r="N13" s="376"/>
      <c r="O13" s="377"/>
    </row>
    <row r="14" spans="1:15" x14ac:dyDescent="0.25">
      <c r="A14" s="376"/>
      <c r="B14" s="376"/>
      <c r="C14" s="376"/>
      <c r="D14" s="376"/>
      <c r="E14" s="376"/>
      <c r="F14" s="376"/>
      <c r="G14" s="377"/>
      <c r="I14" s="376"/>
      <c r="J14" s="376"/>
      <c r="K14" s="376"/>
      <c r="L14" s="376"/>
      <c r="M14" s="376"/>
      <c r="N14" s="376"/>
      <c r="O14" s="377"/>
    </row>
    <row r="15" spans="1:15" x14ac:dyDescent="0.25">
      <c r="A15" s="376"/>
      <c r="B15" s="376"/>
      <c r="C15" s="376"/>
      <c r="D15" s="376"/>
      <c r="E15" s="376"/>
      <c r="F15" s="376"/>
      <c r="G15" s="377"/>
      <c r="I15" s="376"/>
      <c r="J15" s="376"/>
      <c r="K15" s="376"/>
      <c r="L15" s="376"/>
      <c r="M15" s="376"/>
      <c r="N15" s="376"/>
      <c r="O15" s="377"/>
    </row>
    <row r="16" spans="1:15" x14ac:dyDescent="0.25">
      <c r="A16" s="376"/>
      <c r="B16" s="376"/>
      <c r="C16" s="376"/>
      <c r="D16" s="376"/>
      <c r="E16" s="376"/>
      <c r="F16" s="376"/>
      <c r="G16" s="377"/>
      <c r="I16" s="376"/>
      <c r="J16" s="376"/>
      <c r="K16" s="376"/>
      <c r="L16" s="376"/>
      <c r="M16" s="376"/>
      <c r="N16" s="376"/>
      <c r="O16" s="377"/>
    </row>
    <row r="17" spans="1:15" x14ac:dyDescent="0.25">
      <c r="A17" s="376">
        <v>4</v>
      </c>
      <c r="B17" s="376" t="s">
        <v>252</v>
      </c>
      <c r="C17" s="376"/>
      <c r="D17" s="376"/>
      <c r="E17" s="376"/>
      <c r="F17" s="376"/>
      <c r="G17" s="377">
        <v>20</v>
      </c>
      <c r="I17" s="376">
        <v>4</v>
      </c>
      <c r="J17" s="376" t="s">
        <v>252</v>
      </c>
      <c r="K17" s="376"/>
      <c r="L17" s="376"/>
      <c r="M17" s="376"/>
      <c r="N17" s="376"/>
      <c r="O17" s="377">
        <v>20</v>
      </c>
    </row>
    <row r="18" spans="1:15" x14ac:dyDescent="0.25">
      <c r="A18" s="376"/>
      <c r="B18" s="376"/>
      <c r="C18" s="376"/>
      <c r="D18" s="376"/>
      <c r="E18" s="376"/>
      <c r="F18" s="376"/>
      <c r="G18" s="377"/>
      <c r="I18" s="376"/>
      <c r="J18" s="376"/>
      <c r="K18" s="376"/>
      <c r="L18" s="376"/>
      <c r="M18" s="376"/>
      <c r="N18" s="376"/>
      <c r="O18" s="377"/>
    </row>
    <row r="19" spans="1:15" x14ac:dyDescent="0.25">
      <c r="A19" s="376"/>
      <c r="B19" s="376"/>
      <c r="C19" s="376"/>
      <c r="D19" s="376"/>
      <c r="E19" s="376"/>
      <c r="F19" s="376"/>
      <c r="G19" s="377"/>
      <c r="I19" s="376"/>
      <c r="J19" s="376"/>
      <c r="K19" s="376"/>
      <c r="L19" s="376"/>
      <c r="M19" s="376"/>
      <c r="N19" s="376"/>
      <c r="O19" s="377"/>
    </row>
    <row r="20" spans="1:15" x14ac:dyDescent="0.25">
      <c r="A20" s="376"/>
      <c r="B20" s="376"/>
      <c r="C20" s="376"/>
      <c r="D20" s="376"/>
      <c r="E20" s="376"/>
      <c r="F20" s="376"/>
      <c r="G20" s="377"/>
      <c r="I20" s="376"/>
      <c r="J20" s="376"/>
      <c r="K20" s="376"/>
      <c r="L20" s="376"/>
      <c r="M20" s="376"/>
      <c r="N20" s="376"/>
      <c r="O20" s="377"/>
    </row>
    <row r="21" spans="1:15" x14ac:dyDescent="0.25">
      <c r="A21" s="376"/>
      <c r="B21" s="376"/>
      <c r="C21" s="376"/>
      <c r="D21" s="376"/>
      <c r="E21" s="376"/>
      <c r="F21" s="376"/>
      <c r="G21" s="377"/>
      <c r="I21" s="376"/>
      <c r="J21" s="376"/>
      <c r="K21" s="376"/>
      <c r="L21" s="376"/>
      <c r="M21" s="376"/>
      <c r="N21" s="376"/>
      <c r="O21" s="377"/>
    </row>
    <row r="22" spans="1:15" x14ac:dyDescent="0.25">
      <c r="A22" s="377">
        <v>5</v>
      </c>
      <c r="B22" s="376" t="s">
        <v>253</v>
      </c>
      <c r="C22" s="376"/>
      <c r="D22" s="376"/>
      <c r="E22" s="376"/>
      <c r="F22" s="376"/>
      <c r="G22" s="377">
        <v>20</v>
      </c>
      <c r="I22" s="377">
        <v>6</v>
      </c>
      <c r="J22" s="376" t="s">
        <v>254</v>
      </c>
      <c r="K22" s="376"/>
      <c r="L22" s="376"/>
      <c r="M22" s="376"/>
      <c r="N22" s="376"/>
      <c r="O22" s="377">
        <v>5</v>
      </c>
    </row>
    <row r="23" spans="1:15" x14ac:dyDescent="0.25">
      <c r="A23" s="377"/>
      <c r="B23" s="376"/>
      <c r="C23" s="376"/>
      <c r="D23" s="376"/>
      <c r="E23" s="376"/>
      <c r="F23" s="376"/>
      <c r="G23" s="377"/>
      <c r="I23" s="377"/>
      <c r="J23" s="376"/>
      <c r="K23" s="376"/>
      <c r="L23" s="376"/>
      <c r="M23" s="376"/>
      <c r="N23" s="376"/>
      <c r="O23" s="377"/>
    </row>
    <row r="24" spans="1:15" x14ac:dyDescent="0.25">
      <c r="A24" s="377"/>
      <c r="B24" s="376"/>
      <c r="C24" s="376"/>
      <c r="D24" s="376"/>
      <c r="E24" s="376"/>
      <c r="F24" s="376"/>
      <c r="G24" s="377"/>
      <c r="I24" s="377"/>
      <c r="J24" s="376"/>
      <c r="K24" s="376"/>
      <c r="L24" s="376"/>
      <c r="M24" s="376"/>
      <c r="N24" s="376"/>
      <c r="O24" s="377"/>
    </row>
    <row r="25" spans="1:15" x14ac:dyDescent="0.25">
      <c r="A25" s="377"/>
      <c r="B25" s="376"/>
      <c r="C25" s="376"/>
      <c r="D25" s="376"/>
      <c r="E25" s="376"/>
      <c r="F25" s="376"/>
      <c r="G25" s="377"/>
      <c r="I25" s="377"/>
      <c r="J25" s="376"/>
      <c r="K25" s="376"/>
      <c r="L25" s="376"/>
      <c r="M25" s="376"/>
      <c r="N25" s="376"/>
      <c r="O25" s="377"/>
    </row>
    <row r="26" spans="1:15" x14ac:dyDescent="0.25">
      <c r="A26" s="377"/>
      <c r="B26" s="376"/>
      <c r="C26" s="376"/>
      <c r="D26" s="376"/>
      <c r="E26" s="376"/>
      <c r="F26" s="376"/>
      <c r="G26" s="377"/>
      <c r="I26" s="377"/>
      <c r="J26" s="376"/>
      <c r="K26" s="376"/>
      <c r="L26" s="376"/>
      <c r="M26" s="376"/>
      <c r="N26" s="376"/>
      <c r="O26" s="377"/>
    </row>
    <row r="27" spans="1:15" x14ac:dyDescent="0.25">
      <c r="A27" s="377">
        <v>6</v>
      </c>
      <c r="B27" s="376" t="s">
        <v>254</v>
      </c>
      <c r="C27" s="376"/>
      <c r="D27" s="376"/>
      <c r="E27" s="376"/>
      <c r="F27" s="376"/>
      <c r="G27" s="377">
        <v>5</v>
      </c>
      <c r="I27" s="377">
        <v>7</v>
      </c>
      <c r="J27" s="376" t="s">
        <v>255</v>
      </c>
      <c r="K27" s="376"/>
      <c r="L27" s="376"/>
      <c r="M27" s="376"/>
      <c r="N27" s="376"/>
      <c r="O27" s="377">
        <v>5</v>
      </c>
    </row>
    <row r="28" spans="1:15" x14ac:dyDescent="0.25">
      <c r="A28" s="377"/>
      <c r="B28" s="376"/>
      <c r="C28" s="376"/>
      <c r="D28" s="376"/>
      <c r="E28" s="376"/>
      <c r="F28" s="376"/>
      <c r="G28" s="377"/>
      <c r="I28" s="377"/>
      <c r="J28" s="376"/>
      <c r="K28" s="376"/>
      <c r="L28" s="376"/>
      <c r="M28" s="376"/>
      <c r="N28" s="376"/>
      <c r="O28" s="377"/>
    </row>
    <row r="29" spans="1:15" x14ac:dyDescent="0.25">
      <c r="A29" s="377"/>
      <c r="B29" s="376"/>
      <c r="C29" s="376"/>
      <c r="D29" s="376"/>
      <c r="E29" s="376"/>
      <c r="F29" s="376"/>
      <c r="G29" s="377"/>
      <c r="I29" s="377"/>
      <c r="J29" s="376"/>
      <c r="K29" s="376"/>
      <c r="L29" s="376"/>
      <c r="M29" s="376"/>
      <c r="N29" s="376"/>
      <c r="O29" s="377"/>
    </row>
    <row r="30" spans="1:15" x14ac:dyDescent="0.25">
      <c r="A30" s="377"/>
      <c r="B30" s="376"/>
      <c r="C30" s="376"/>
      <c r="D30" s="376"/>
      <c r="E30" s="376"/>
      <c r="F30" s="376"/>
      <c r="G30" s="377"/>
      <c r="I30" s="377"/>
      <c r="J30" s="376"/>
      <c r="K30" s="376"/>
      <c r="L30" s="376"/>
      <c r="M30" s="376"/>
      <c r="N30" s="376"/>
      <c r="O30" s="377"/>
    </row>
    <row r="31" spans="1:15" x14ac:dyDescent="0.25">
      <c r="A31" s="377"/>
      <c r="B31" s="376"/>
      <c r="C31" s="376"/>
      <c r="D31" s="376"/>
      <c r="E31" s="376"/>
      <c r="F31" s="376"/>
      <c r="G31" s="377"/>
      <c r="I31" s="377"/>
      <c r="J31" s="376"/>
      <c r="K31" s="376"/>
      <c r="L31" s="376"/>
      <c r="M31" s="376"/>
      <c r="N31" s="376"/>
      <c r="O31" s="377"/>
    </row>
    <row r="32" spans="1:15" x14ac:dyDescent="0.25">
      <c r="A32" s="377">
        <v>7</v>
      </c>
      <c r="B32" s="376" t="s">
        <v>255</v>
      </c>
      <c r="C32" s="376"/>
      <c r="D32" s="376"/>
      <c r="E32" s="376"/>
      <c r="F32" s="376"/>
      <c r="G32" s="377">
        <v>5</v>
      </c>
      <c r="O32">
        <f>SUM(O2:O31)</f>
        <v>80</v>
      </c>
    </row>
    <row r="33" spans="1:7" x14ac:dyDescent="0.25">
      <c r="A33" s="377"/>
      <c r="B33" s="376"/>
      <c r="C33" s="376"/>
      <c r="D33" s="376"/>
      <c r="E33" s="376"/>
      <c r="F33" s="376"/>
      <c r="G33" s="377"/>
    </row>
    <row r="34" spans="1:7" x14ac:dyDescent="0.25">
      <c r="A34" s="377"/>
      <c r="B34" s="376"/>
      <c r="C34" s="376"/>
      <c r="D34" s="376"/>
      <c r="E34" s="376"/>
      <c r="F34" s="376"/>
      <c r="G34" s="377"/>
    </row>
    <row r="35" spans="1:7" x14ac:dyDescent="0.25">
      <c r="A35" s="377"/>
      <c r="B35" s="376"/>
      <c r="C35" s="376"/>
      <c r="D35" s="376"/>
      <c r="E35" s="376"/>
      <c r="F35" s="376"/>
      <c r="G35" s="377"/>
    </row>
    <row r="36" spans="1:7" x14ac:dyDescent="0.25">
      <c r="A36" s="377"/>
      <c r="B36" s="376"/>
      <c r="C36" s="376"/>
      <c r="D36" s="376"/>
      <c r="E36" s="376"/>
      <c r="F36" s="376"/>
      <c r="G36" s="377"/>
    </row>
    <row r="37" spans="1:7" x14ac:dyDescent="0.25">
      <c r="G37">
        <f>SUM(G2:G36)</f>
        <v>100</v>
      </c>
    </row>
  </sheetData>
  <mergeCells count="39">
    <mergeCell ref="I22:I26"/>
    <mergeCell ref="J22:N26"/>
    <mergeCell ref="O22:O26"/>
    <mergeCell ref="I27:I31"/>
    <mergeCell ref="J27:N31"/>
    <mergeCell ref="O27:O31"/>
    <mergeCell ref="I12:I16"/>
    <mergeCell ref="J12:N16"/>
    <mergeCell ref="O12:O16"/>
    <mergeCell ref="I17:I21"/>
    <mergeCell ref="J17:N21"/>
    <mergeCell ref="O17:O21"/>
    <mergeCell ref="G2:G6"/>
    <mergeCell ref="G7:G11"/>
    <mergeCell ref="B2:F6"/>
    <mergeCell ref="B7:F11"/>
    <mergeCell ref="A2:A6"/>
    <mergeCell ref="A7:A11"/>
    <mergeCell ref="I2:I6"/>
    <mergeCell ref="J2:N6"/>
    <mergeCell ref="O2:O6"/>
    <mergeCell ref="I7:I11"/>
    <mergeCell ref="J7:N11"/>
    <mergeCell ref="O7:O11"/>
    <mergeCell ref="B32:F36"/>
    <mergeCell ref="A17:A21"/>
    <mergeCell ref="A12:A16"/>
    <mergeCell ref="G12:G16"/>
    <mergeCell ref="G17:G21"/>
    <mergeCell ref="G22:G26"/>
    <mergeCell ref="G27:G31"/>
    <mergeCell ref="G32:G36"/>
    <mergeCell ref="A32:A36"/>
    <mergeCell ref="A27:A31"/>
    <mergeCell ref="B12:F16"/>
    <mergeCell ref="B17:F21"/>
    <mergeCell ref="B22:F26"/>
    <mergeCell ref="B27:F31"/>
    <mergeCell ref="A22:A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A8ABE-FCFB-4761-89C9-25F9AFE2FD21}">
  <dimension ref="A1:C12"/>
  <sheetViews>
    <sheetView workbookViewId="0">
      <selection activeCell="C10" sqref="C10"/>
    </sheetView>
  </sheetViews>
  <sheetFormatPr defaultRowHeight="15" x14ac:dyDescent="0.25"/>
  <cols>
    <col min="1" max="1" width="9.7109375" bestFit="1" customWidth="1"/>
    <col min="2" max="2" width="31.7109375" bestFit="1" customWidth="1"/>
    <col min="3" max="3" width="226" customWidth="1"/>
  </cols>
  <sheetData>
    <row r="1" spans="1:3" x14ac:dyDescent="0.25">
      <c r="A1" t="s">
        <v>275</v>
      </c>
      <c r="B1" t="s">
        <v>273</v>
      </c>
      <c r="C1" t="s">
        <v>274</v>
      </c>
    </row>
    <row r="2" spans="1:3" x14ac:dyDescent="0.25">
      <c r="A2" s="94">
        <v>45208</v>
      </c>
      <c r="B2" t="s">
        <v>258</v>
      </c>
    </row>
    <row r="3" spans="1:3" s="176" customFormat="1" x14ac:dyDescent="0.25">
      <c r="A3" s="175">
        <v>45233</v>
      </c>
      <c r="B3" s="176" t="s">
        <v>272</v>
      </c>
    </row>
    <row r="4" spans="1:3" s="176" customFormat="1" x14ac:dyDescent="0.25">
      <c r="A4" s="175">
        <v>45261</v>
      </c>
      <c r="B4" s="176" t="s">
        <v>279</v>
      </c>
    </row>
    <row r="5" spans="1:3" x14ac:dyDescent="0.25">
      <c r="A5" s="94">
        <v>45316</v>
      </c>
      <c r="B5" t="s">
        <v>280</v>
      </c>
    </row>
    <row r="6" spans="1:3" x14ac:dyDescent="0.25">
      <c r="A6" s="94">
        <v>45330</v>
      </c>
      <c r="B6" t="s">
        <v>281</v>
      </c>
    </row>
    <row r="7" spans="1:3" x14ac:dyDescent="0.25">
      <c r="A7" t="s">
        <v>276</v>
      </c>
      <c r="B7" t="s">
        <v>277</v>
      </c>
    </row>
    <row r="8" spans="1:3" x14ac:dyDescent="0.25">
      <c r="A8" t="s">
        <v>278</v>
      </c>
      <c r="B8" t="s">
        <v>282</v>
      </c>
      <c r="C8" t="s">
        <v>283</v>
      </c>
    </row>
    <row r="9" spans="1:3" x14ac:dyDescent="0.25">
      <c r="A9" s="94">
        <v>45352</v>
      </c>
      <c r="B9" t="s">
        <v>284</v>
      </c>
    </row>
    <row r="10" spans="1:3" x14ac:dyDescent="0.25">
      <c r="A10" s="94">
        <v>45383</v>
      </c>
      <c r="B10" t="s">
        <v>286</v>
      </c>
    </row>
    <row r="11" spans="1:3" x14ac:dyDescent="0.25">
      <c r="A11" s="94">
        <v>45383</v>
      </c>
      <c r="B11" t="s">
        <v>287</v>
      </c>
    </row>
    <row r="12" spans="1:3" x14ac:dyDescent="0.25">
      <c r="A12" s="94">
        <v>45425</v>
      </c>
      <c r="B12" t="s">
        <v>285</v>
      </c>
    </row>
  </sheetData>
  <hyperlinks>
    <hyperlink ref="B3" r:id="rId1" display="KOP Q3 Pre Market" xr:uid="{0BF32D8D-E458-49B3-B79D-E5A0FED9F0E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FB5B3-43C3-408C-AB8C-E4F3839E1D8F}">
  <dimension ref="B1:B21"/>
  <sheetViews>
    <sheetView workbookViewId="0">
      <selection activeCell="D12" sqref="D12"/>
    </sheetView>
  </sheetViews>
  <sheetFormatPr defaultRowHeight="15" x14ac:dyDescent="0.25"/>
  <sheetData>
    <row r="1" spans="2:2" s="380" customFormat="1" x14ac:dyDescent="0.25">
      <c r="B1" s="380" t="s">
        <v>564</v>
      </c>
    </row>
    <row r="2" spans="2:2" x14ac:dyDescent="0.25">
      <c r="B2" s="87" t="s">
        <v>288</v>
      </c>
    </row>
    <row r="3" spans="2:2" x14ac:dyDescent="0.25">
      <c r="B3" s="89" t="s">
        <v>289</v>
      </c>
    </row>
    <row r="4" spans="2:2" x14ac:dyDescent="0.25">
      <c r="B4" s="178" t="s">
        <v>290</v>
      </c>
    </row>
    <row r="5" spans="2:2" x14ac:dyDescent="0.25">
      <c r="B5" s="179" t="s">
        <v>291</v>
      </c>
    </row>
    <row r="6" spans="2:2" x14ac:dyDescent="0.25">
      <c r="B6" s="179" t="s">
        <v>292</v>
      </c>
    </row>
    <row r="7" spans="2:2" x14ac:dyDescent="0.25">
      <c r="B7" s="180" t="s">
        <v>304</v>
      </c>
    </row>
    <row r="8" spans="2:2" x14ac:dyDescent="0.25">
      <c r="B8" s="178" t="s">
        <v>293</v>
      </c>
    </row>
    <row r="9" spans="2:2" x14ac:dyDescent="0.25">
      <c r="B9" s="179" t="s">
        <v>294</v>
      </c>
    </row>
    <row r="10" spans="2:2" x14ac:dyDescent="0.25">
      <c r="B10" s="179" t="s">
        <v>295</v>
      </c>
    </row>
    <row r="11" spans="2:2" x14ac:dyDescent="0.25">
      <c r="B11" s="179" t="s">
        <v>296</v>
      </c>
    </row>
    <row r="12" spans="2:2" x14ac:dyDescent="0.25">
      <c r="B12" s="181" t="s">
        <v>297</v>
      </c>
    </row>
    <row r="13" spans="2:2" x14ac:dyDescent="0.25">
      <c r="B13" s="89" t="s">
        <v>305</v>
      </c>
    </row>
    <row r="14" spans="2:2" x14ac:dyDescent="0.25">
      <c r="B14" s="89" t="s">
        <v>298</v>
      </c>
    </row>
    <row r="15" spans="2:2" x14ac:dyDescent="0.25">
      <c r="B15" s="89" t="s">
        <v>299</v>
      </c>
    </row>
    <row r="16" spans="2:2" x14ac:dyDescent="0.25">
      <c r="B16" s="89" t="s">
        <v>300</v>
      </c>
    </row>
    <row r="17" spans="2:2" x14ac:dyDescent="0.25">
      <c r="B17" s="181" t="s">
        <v>301</v>
      </c>
    </row>
    <row r="18" spans="2:2" x14ac:dyDescent="0.25">
      <c r="B18" s="89" t="s">
        <v>302</v>
      </c>
    </row>
    <row r="19" spans="2:2" x14ac:dyDescent="0.25">
      <c r="B19" s="182" t="s">
        <v>303</v>
      </c>
    </row>
    <row r="20" spans="2:2" x14ac:dyDescent="0.25">
      <c r="B20" s="183"/>
    </row>
    <row r="21" spans="2:2" s="380" customFormat="1" x14ac:dyDescent="0.25">
      <c r="B21" s="380" t="s">
        <v>262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FB1B4-AA81-4707-A284-181A5B6DB6BF}">
  <dimension ref="J44:U46"/>
  <sheetViews>
    <sheetView workbookViewId="0"/>
  </sheetViews>
  <sheetFormatPr defaultRowHeight="15" x14ac:dyDescent="0.25"/>
  <sheetData>
    <row r="44" spans="10:21" x14ac:dyDescent="0.25">
      <c r="J44" s="15">
        <v>-0.7</v>
      </c>
      <c r="K44" s="129" t="s">
        <v>267</v>
      </c>
      <c r="L44" s="15">
        <v>-2.5</v>
      </c>
      <c r="M44" s="129" t="s">
        <v>267</v>
      </c>
      <c r="N44" s="15">
        <v>-6.2</v>
      </c>
      <c r="Q44">
        <v>50.9</v>
      </c>
      <c r="R44" s="90" t="s">
        <v>269</v>
      </c>
      <c r="S44">
        <v>60.3</v>
      </c>
      <c r="T44" s="90" t="s">
        <v>268</v>
      </c>
      <c r="U44" s="15">
        <f>Q44-S44</f>
        <v>-9.3999999999999986</v>
      </c>
    </row>
    <row r="45" spans="10:21" x14ac:dyDescent="0.25">
      <c r="N45" s="130" t="s">
        <v>268</v>
      </c>
    </row>
    <row r="46" spans="10:21" x14ac:dyDescent="0.25">
      <c r="M46" t="s">
        <v>266</v>
      </c>
      <c r="N46" s="12">
        <f>SUM(J44:N44)</f>
        <v>-9.4</v>
      </c>
      <c r="Q46" t="s">
        <v>270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C10A-926B-4D2E-A770-D969FE1E65A2}">
  <dimension ref="A1:AK178"/>
  <sheetViews>
    <sheetView topLeftCell="A12" zoomScaleNormal="100" workbookViewId="0">
      <selection activeCell="J19" sqref="J19"/>
    </sheetView>
  </sheetViews>
  <sheetFormatPr defaultRowHeight="15" x14ac:dyDescent="0.25"/>
  <cols>
    <col min="1" max="1" width="52.7109375" customWidth="1"/>
    <col min="2" max="2" width="10.28515625" customWidth="1"/>
    <col min="3" max="8" width="11" bestFit="1" customWidth="1"/>
    <col min="9" max="9" width="11" style="61" customWidth="1"/>
    <col min="10" max="10" width="2.5703125" customWidth="1"/>
    <col min="11" max="11" width="9.5703125" customWidth="1"/>
    <col min="12" max="12" width="9.42578125" customWidth="1"/>
    <col min="13" max="14" width="9.5703125" bestFit="1" customWidth="1"/>
    <col min="19" max="19" width="2.85546875" customWidth="1"/>
    <col min="20" max="20" width="9.42578125" customWidth="1"/>
    <col min="31" max="31" width="2.28515625" customWidth="1"/>
    <col min="32" max="32" width="11.7109375" customWidth="1"/>
    <col min="33" max="33" width="11" bestFit="1" customWidth="1"/>
    <col min="34" max="35" width="11" customWidth="1"/>
    <col min="36" max="36" width="11" bestFit="1" customWidth="1"/>
    <col min="37" max="37" width="11" customWidth="1"/>
  </cols>
  <sheetData>
    <row r="1" spans="1:37" s="1" customFormat="1" x14ac:dyDescent="0.25">
      <c r="A1" s="1" t="s">
        <v>111</v>
      </c>
      <c r="B1" s="1" t="s">
        <v>264</v>
      </c>
      <c r="I1" s="331"/>
      <c r="K1" s="1" t="s">
        <v>264</v>
      </c>
      <c r="T1" s="1" t="s">
        <v>264</v>
      </c>
      <c r="AF1" s="1" t="s">
        <v>0</v>
      </c>
    </row>
    <row r="2" spans="1:37" s="1" customFormat="1" x14ac:dyDescent="0.25">
      <c r="A2" s="1" t="s">
        <v>1</v>
      </c>
      <c r="I2" s="331"/>
      <c r="K2" s="1" t="s">
        <v>2</v>
      </c>
      <c r="T2" s="1" t="s">
        <v>74</v>
      </c>
      <c r="AF2" s="1" t="s">
        <v>73</v>
      </c>
    </row>
    <row r="3" spans="1:37" s="1" customFormat="1" x14ac:dyDescent="0.25">
      <c r="A3" s="1" t="s">
        <v>3</v>
      </c>
      <c r="H3" s="2"/>
      <c r="I3" s="332"/>
      <c r="Q3" s="2"/>
      <c r="R3" s="2"/>
      <c r="T3" s="1" t="s">
        <v>536</v>
      </c>
      <c r="U3" s="1" t="s">
        <v>263</v>
      </c>
      <c r="V3" s="1" t="s">
        <v>4</v>
      </c>
      <c r="W3" s="1" t="s">
        <v>5</v>
      </c>
      <c r="X3" s="22" t="s">
        <v>75</v>
      </c>
      <c r="Y3" s="1" t="s">
        <v>6</v>
      </c>
      <c r="Z3" s="1" t="s">
        <v>7</v>
      </c>
      <c r="AA3" s="1" t="s">
        <v>8</v>
      </c>
      <c r="AB3" s="1" t="s">
        <v>9</v>
      </c>
      <c r="AC3" s="1" t="s">
        <v>10</v>
      </c>
      <c r="AD3" s="1" t="s">
        <v>537</v>
      </c>
      <c r="AF3" s="109" t="s">
        <v>262</v>
      </c>
      <c r="AG3" s="109" t="s">
        <v>260</v>
      </c>
      <c r="AH3" s="111" t="s">
        <v>261</v>
      </c>
      <c r="AI3" s="109" t="s">
        <v>262</v>
      </c>
      <c r="AJ3" s="109" t="s">
        <v>260</v>
      </c>
      <c r="AK3" s="109" t="s">
        <v>261</v>
      </c>
    </row>
    <row r="4" spans="1:37" s="1" customFormat="1" ht="15.75" thickBot="1" x14ac:dyDescent="0.3">
      <c r="A4" s="2" t="s">
        <v>11</v>
      </c>
      <c r="B4" s="17" t="s">
        <v>72</v>
      </c>
      <c r="C4" s="3">
        <v>2022</v>
      </c>
      <c r="D4" s="3">
        <v>2021</v>
      </c>
      <c r="E4" s="3">
        <v>2020</v>
      </c>
      <c r="F4" s="3">
        <v>2019</v>
      </c>
      <c r="G4" s="3">
        <v>2018</v>
      </c>
      <c r="H4" s="3">
        <v>2017</v>
      </c>
      <c r="I4" s="3">
        <v>2016</v>
      </c>
      <c r="K4" s="17" t="s">
        <v>72</v>
      </c>
      <c r="L4" s="3">
        <v>2022</v>
      </c>
      <c r="M4" s="3">
        <v>2021</v>
      </c>
      <c r="N4" s="3">
        <v>2020</v>
      </c>
      <c r="O4" s="3">
        <v>2019</v>
      </c>
      <c r="P4" s="3">
        <v>2018</v>
      </c>
      <c r="Q4" s="3">
        <v>2017</v>
      </c>
      <c r="R4" s="3">
        <v>2016</v>
      </c>
      <c r="T4" s="4" t="s">
        <v>12</v>
      </c>
      <c r="U4" s="4" t="s">
        <v>12</v>
      </c>
      <c r="V4" s="4" t="s">
        <v>12</v>
      </c>
      <c r="W4" s="4" t="s">
        <v>13</v>
      </c>
      <c r="X4" s="21" t="s">
        <v>72</v>
      </c>
      <c r="Y4" s="3">
        <v>2022</v>
      </c>
      <c r="Z4" s="3">
        <v>2021</v>
      </c>
      <c r="AA4" s="3">
        <v>2020</v>
      </c>
      <c r="AB4" s="3">
        <v>2019</v>
      </c>
      <c r="AC4" s="3">
        <v>2018</v>
      </c>
      <c r="AD4" s="3">
        <v>2017</v>
      </c>
      <c r="AE4" s="7"/>
      <c r="AF4" s="110">
        <v>2023</v>
      </c>
      <c r="AG4" s="110">
        <v>2023</v>
      </c>
      <c r="AH4" s="112">
        <v>2023</v>
      </c>
      <c r="AI4" s="110">
        <v>2022</v>
      </c>
      <c r="AJ4" s="110">
        <v>2022</v>
      </c>
      <c r="AK4" s="110">
        <v>2022</v>
      </c>
    </row>
    <row r="5" spans="1:37" x14ac:dyDescent="0.25">
      <c r="A5" s="33" t="s">
        <v>79</v>
      </c>
      <c r="B5" s="57"/>
      <c r="C5" s="57"/>
      <c r="D5" s="57"/>
      <c r="E5" s="57"/>
      <c r="F5" s="57"/>
      <c r="G5" s="57"/>
      <c r="H5" s="57"/>
      <c r="J5" s="57"/>
      <c r="K5" s="57"/>
      <c r="L5" s="57"/>
      <c r="M5" s="57"/>
      <c r="N5" s="57"/>
      <c r="O5" s="57"/>
      <c r="P5" s="57"/>
      <c r="Q5" s="57"/>
      <c r="R5" s="57"/>
      <c r="S5" s="57"/>
      <c r="T5" s="57"/>
      <c r="U5" s="57"/>
      <c r="V5" s="57"/>
      <c r="W5" s="57"/>
      <c r="X5" s="57"/>
      <c r="Y5" s="57"/>
      <c r="Z5" s="57"/>
      <c r="AA5" s="57"/>
      <c r="AB5" s="57"/>
      <c r="AC5" s="57"/>
      <c r="AD5" s="57"/>
      <c r="AE5" s="57"/>
      <c r="AF5" s="57"/>
      <c r="AG5" s="57"/>
      <c r="AH5" s="142"/>
      <c r="AI5" s="57"/>
      <c r="AJ5" s="57"/>
      <c r="AK5" s="57"/>
    </row>
    <row r="6" spans="1:37" x14ac:dyDescent="0.25">
      <c r="A6" s="14" t="s">
        <v>14</v>
      </c>
      <c r="B6" s="27">
        <f t="shared" ref="B6:B13" si="0">AG6+AH6+C6-(AJ6+AK6)</f>
        <v>38.299999999999997</v>
      </c>
      <c r="C6" s="28">
        <v>33.299999999999997</v>
      </c>
      <c r="D6" s="28">
        <v>45.5</v>
      </c>
      <c r="E6" s="28">
        <v>38.5</v>
      </c>
      <c r="F6" s="28">
        <v>33</v>
      </c>
      <c r="G6" s="28">
        <v>40.6</v>
      </c>
      <c r="H6" s="28">
        <v>60.3</v>
      </c>
      <c r="I6" s="336">
        <v>20.8</v>
      </c>
      <c r="J6" s="57"/>
      <c r="K6" s="58">
        <f>B6/$B$29</f>
        <v>2.0067064864298441E-2</v>
      </c>
      <c r="L6" s="58">
        <f>C6/$C$29</f>
        <v>1.9457753885707606E-2</v>
      </c>
      <c r="M6" s="58">
        <f>D6/$D$29</f>
        <v>2.7378301943558576E-2</v>
      </c>
      <c r="N6" s="58">
        <f>E6/$E$29</f>
        <v>2.4083573126485677E-2</v>
      </c>
      <c r="O6" s="58">
        <f>F6/$F$29</f>
        <v>2.1091652818611785E-2</v>
      </c>
      <c r="P6" s="58">
        <f>G6/$G$29</f>
        <v>2.7434286100412188E-2</v>
      </c>
      <c r="Q6" s="58">
        <f>H6/$H$29</f>
        <v>5.024162639560073E-2</v>
      </c>
      <c r="R6" s="58">
        <f>I6/$I$29</f>
        <v>1.9126436781609198E-2</v>
      </c>
      <c r="S6" s="57"/>
      <c r="T6" s="58">
        <f>_xlfn.RRI(6,I6,C6)</f>
        <v>8.1592041695750739E-2</v>
      </c>
      <c r="U6" s="58">
        <f>_xlfn.RRI(5.5,H6,B6)</f>
        <v>-7.921069609917375E-2</v>
      </c>
      <c r="V6" s="58">
        <f>_xlfn.RRI(5,H6,C6)</f>
        <v>-0.11197460759608902</v>
      </c>
      <c r="W6" s="58">
        <f>AVERAGE(X6:AD6)</f>
        <v>0.23080709137892433</v>
      </c>
      <c r="X6" s="58">
        <f t="shared" ref="X6:AD7" si="1">(B6-C6)/C6</f>
        <v>0.15015015015015015</v>
      </c>
      <c r="Y6" s="58">
        <f t="shared" si="1"/>
        <v>-0.26813186813186818</v>
      </c>
      <c r="Z6" s="58">
        <f t="shared" si="1"/>
        <v>0.18181818181818182</v>
      </c>
      <c r="AA6" s="58">
        <f t="shared" si="1"/>
        <v>0.16666666666666666</v>
      </c>
      <c r="AB6" s="58">
        <f t="shared" si="1"/>
        <v>-0.18719211822660101</v>
      </c>
      <c r="AC6" s="58">
        <f t="shared" si="1"/>
        <v>-0.32669983416252069</v>
      </c>
      <c r="AD6" s="58">
        <f t="shared" si="1"/>
        <v>1.8990384615384615</v>
      </c>
      <c r="AE6" s="57"/>
      <c r="AF6" s="57"/>
      <c r="AG6" s="28">
        <v>48.2</v>
      </c>
      <c r="AH6" s="143">
        <v>46.4</v>
      </c>
      <c r="AI6" s="134"/>
      <c r="AJ6" s="28">
        <v>40.4</v>
      </c>
      <c r="AK6" s="28">
        <v>49.2</v>
      </c>
    </row>
    <row r="7" spans="1:37" x14ac:dyDescent="0.25">
      <c r="A7" s="14" t="str">
        <f>A147</f>
        <v>Accounts receivable, net (See Note)</v>
      </c>
      <c r="B7" s="118">
        <f t="shared" si="0"/>
        <v>262.60000000000002</v>
      </c>
      <c r="C7" s="8">
        <f t="shared" ref="C7:H7" si="2">C147</f>
        <v>215.7</v>
      </c>
      <c r="D7" s="8">
        <f t="shared" si="2"/>
        <v>182.79999999999998</v>
      </c>
      <c r="E7" s="8">
        <f t="shared" si="2"/>
        <v>175.1</v>
      </c>
      <c r="F7" s="8">
        <f t="shared" si="2"/>
        <v>163.9</v>
      </c>
      <c r="G7" s="8">
        <f t="shared" si="2"/>
        <v>189.7</v>
      </c>
      <c r="H7" s="8">
        <f t="shared" si="2"/>
        <v>159.19999999999999</v>
      </c>
      <c r="I7" s="8">
        <f>I147</f>
        <v>136.79999999999998</v>
      </c>
      <c r="J7" s="57"/>
      <c r="K7" s="58">
        <f t="shared" ref="K7:K52" si="3">B7/$B$29</f>
        <v>0.13758776066226558</v>
      </c>
      <c r="L7" s="58">
        <f t="shared" ref="L7:L52" si="4">C7/$C$29</f>
        <v>0.12603716255697089</v>
      </c>
      <c r="M7" s="58">
        <f t="shared" ref="M7:M52" si="5">D7/$D$29</f>
        <v>0.10999458451170345</v>
      </c>
      <c r="N7" s="58">
        <f t="shared" ref="N7:N52" si="6">E7/$E$29</f>
        <v>0.10953334167396472</v>
      </c>
      <c r="O7" s="58">
        <f t="shared" ref="O7:O52" si="7">F7/$F$29</f>
        <v>0.1047552089991052</v>
      </c>
      <c r="P7" s="58">
        <f t="shared" ref="P7:P52" si="8">G7/$G$29</f>
        <v>0.1281843367795121</v>
      </c>
      <c r="Q7" s="58">
        <f t="shared" ref="Q7:Q52" si="9">H7/$H$29</f>
        <v>0.13264455924012664</v>
      </c>
      <c r="R7" s="58">
        <f t="shared" ref="R7:R52" si="10">I7/$I$29</f>
        <v>0.12579310344827585</v>
      </c>
      <c r="S7" s="57"/>
      <c r="T7" s="58">
        <f t="shared" ref="T7:T52" si="11">_xlfn.RRI(6,I7,C7)</f>
        <v>7.8849027990233411E-2</v>
      </c>
      <c r="U7" s="58">
        <f>_xlfn.RRI(5.5,H7,B7)</f>
        <v>9.5263168178929103E-2</v>
      </c>
      <c r="V7" s="58">
        <f>_xlfn.RRI(5,H7,C7)</f>
        <v>6.2628394073854121E-2</v>
      </c>
      <c r="W7" s="58">
        <f t="shared" ref="W7:W52" si="12">AVERAGE(X7:AD7)</f>
        <v>0.10414862075881867</v>
      </c>
      <c r="X7" s="58">
        <f t="shared" si="1"/>
        <v>0.21743161798794639</v>
      </c>
      <c r="Y7" s="58">
        <f t="shared" si="1"/>
        <v>0.17997811816192566</v>
      </c>
      <c r="Z7" s="58">
        <f t="shared" si="1"/>
        <v>4.3974871501998795E-2</v>
      </c>
      <c r="AA7" s="58">
        <f t="shared" si="1"/>
        <v>6.8334350213544767E-2</v>
      </c>
      <c r="AB7" s="58">
        <f t="shared" si="1"/>
        <v>-0.13600421718502892</v>
      </c>
      <c r="AC7" s="58">
        <f t="shared" si="1"/>
        <v>0.19158291457286433</v>
      </c>
      <c r="AD7" s="58">
        <f t="shared" si="1"/>
        <v>0.16374269005847961</v>
      </c>
      <c r="AE7" s="57"/>
      <c r="AF7" s="57"/>
      <c r="AG7" s="8">
        <f>AG147</f>
        <v>258.3</v>
      </c>
      <c r="AH7" s="144">
        <f>AH147</f>
        <v>241.60000000000002</v>
      </c>
      <c r="AI7" s="135"/>
      <c r="AJ7" s="8">
        <f t="shared" ref="AJ7:AK7" si="13">AJ147</f>
        <v>229.5</v>
      </c>
      <c r="AK7" s="8">
        <f t="shared" si="13"/>
        <v>223.5</v>
      </c>
    </row>
    <row r="8" spans="1:37" x14ac:dyDescent="0.25">
      <c r="A8" s="14" t="s">
        <v>17</v>
      </c>
      <c r="B8" s="118">
        <f t="shared" si="0"/>
        <v>0</v>
      </c>
      <c r="C8" s="8">
        <v>0</v>
      </c>
      <c r="D8" s="8">
        <v>0.1</v>
      </c>
      <c r="E8" s="8">
        <v>1.2</v>
      </c>
      <c r="F8" s="8">
        <v>1.9</v>
      </c>
      <c r="G8" s="8">
        <v>2.8</v>
      </c>
      <c r="H8" s="8">
        <v>1.7</v>
      </c>
      <c r="I8" s="336">
        <v>3.8</v>
      </c>
      <c r="J8" s="57"/>
      <c r="K8" s="58">
        <f t="shared" si="3"/>
        <v>0</v>
      </c>
      <c r="L8" s="58">
        <f t="shared" si="4"/>
        <v>0</v>
      </c>
      <c r="M8" s="58">
        <f>D8/$D$29</f>
        <v>6.0172092183645224E-5</v>
      </c>
      <c r="N8" s="58">
        <f t="shared" si="6"/>
        <v>7.5065682472163142E-4</v>
      </c>
      <c r="O8" s="58">
        <f t="shared" si="7"/>
        <v>1.2143678895564359E-3</v>
      </c>
      <c r="P8" s="58">
        <f t="shared" si="8"/>
        <v>1.8920197310629094E-3</v>
      </c>
      <c r="Q8" s="58">
        <f t="shared" si="9"/>
        <v>1.4164305949008497E-3</v>
      </c>
      <c r="R8" s="58">
        <f t="shared" si="10"/>
        <v>3.4942528735632181E-3</v>
      </c>
      <c r="S8" s="57"/>
      <c r="T8" s="58"/>
      <c r="U8" s="58"/>
      <c r="V8" s="58"/>
      <c r="W8" s="58"/>
      <c r="X8" s="58"/>
      <c r="Y8" s="58"/>
      <c r="Z8" s="58"/>
      <c r="AA8" s="58"/>
      <c r="AB8" s="58"/>
      <c r="AC8" s="58"/>
      <c r="AD8" s="58"/>
      <c r="AE8" s="57"/>
      <c r="AF8" s="57"/>
      <c r="AG8" s="61">
        <v>0</v>
      </c>
      <c r="AH8" s="145">
        <v>0</v>
      </c>
      <c r="AI8" s="61"/>
      <c r="AJ8" s="61">
        <v>0</v>
      </c>
      <c r="AK8" s="61">
        <v>0</v>
      </c>
    </row>
    <row r="9" spans="1:37" x14ac:dyDescent="0.25">
      <c r="A9" s="14" t="str">
        <f>A153</f>
        <v>Inventories, net (See Note)</v>
      </c>
      <c r="B9" s="118">
        <f t="shared" si="0"/>
        <v>451.69999999999993</v>
      </c>
      <c r="C9" s="8">
        <f t="shared" ref="C9:H9" si="14">C153</f>
        <v>355.70000000000005</v>
      </c>
      <c r="D9" s="8">
        <f t="shared" si="14"/>
        <v>313.8</v>
      </c>
      <c r="E9" s="8">
        <f t="shared" si="14"/>
        <v>295.79999999999995</v>
      </c>
      <c r="F9" s="8">
        <f t="shared" si="14"/>
        <v>299.09999999999997</v>
      </c>
      <c r="G9" s="8">
        <f t="shared" si="14"/>
        <v>284.70000000000005</v>
      </c>
      <c r="H9" s="8">
        <f t="shared" si="14"/>
        <v>236.89999999999998</v>
      </c>
      <c r="I9" s="8">
        <f>I153</f>
        <v>228.7</v>
      </c>
      <c r="J9" s="8"/>
      <c r="K9" s="58">
        <f t="shared" si="3"/>
        <v>0.236665618778162</v>
      </c>
      <c r="L9" s="58">
        <f t="shared" si="4"/>
        <v>0.20784153324763352</v>
      </c>
      <c r="M9" s="58">
        <f t="shared" si="5"/>
        <v>0.1888200252722787</v>
      </c>
      <c r="N9" s="58">
        <f t="shared" si="6"/>
        <v>0.18503690729388214</v>
      </c>
      <c r="O9" s="58">
        <f t="shared" si="7"/>
        <v>0.19116707145596315</v>
      </c>
      <c r="P9" s="58">
        <f t="shared" si="8"/>
        <v>0.19237786336914658</v>
      </c>
      <c r="Q9" s="58">
        <f t="shared" si="9"/>
        <v>0.19738376937177135</v>
      </c>
      <c r="R9" s="58">
        <f t="shared" si="10"/>
        <v>0.21029885057471262</v>
      </c>
      <c r="S9" s="57"/>
      <c r="T9" s="58">
        <f t="shared" si="11"/>
        <v>7.6389906770458982E-2</v>
      </c>
      <c r="U9" s="58">
        <f>_xlfn.RRI(5.5,H9,B9)</f>
        <v>0.12450376671350205</v>
      </c>
      <c r="V9" s="58">
        <f>_xlfn.RRI(5,H9,C9)</f>
        <v>8.4685315966525287E-2</v>
      </c>
      <c r="W9" s="58">
        <f t="shared" si="12"/>
        <v>0.10592014452690603</v>
      </c>
      <c r="X9" s="58">
        <f t="shared" ref="X9:AD9" si="15">(B9-C9)/C9</f>
        <v>0.26989035704245112</v>
      </c>
      <c r="Y9" s="58">
        <f t="shared" si="15"/>
        <v>0.13352453792224356</v>
      </c>
      <c r="Z9" s="58">
        <f t="shared" si="15"/>
        <v>6.0851926977687827E-2</v>
      </c>
      <c r="AA9" s="58">
        <f t="shared" si="15"/>
        <v>-1.1033099297893719E-2</v>
      </c>
      <c r="AB9" s="58">
        <f t="shared" si="15"/>
        <v>5.0579557428872213E-2</v>
      </c>
      <c r="AC9" s="58">
        <f t="shared" si="15"/>
        <v>0.20177289995778841</v>
      </c>
      <c r="AD9" s="58">
        <f t="shared" si="15"/>
        <v>3.5854831657192783E-2</v>
      </c>
      <c r="AE9" s="57"/>
      <c r="AF9" s="57"/>
      <c r="AG9" s="8">
        <f>AG153</f>
        <v>373.1</v>
      </c>
      <c r="AH9" s="144">
        <f t="shared" ref="AH9:AK9" si="16">AH153</f>
        <v>379.2</v>
      </c>
      <c r="AI9" s="135"/>
      <c r="AJ9" s="8">
        <f t="shared" si="16"/>
        <v>326.60000000000002</v>
      </c>
      <c r="AK9" s="8">
        <f t="shared" si="16"/>
        <v>329.70000000000005</v>
      </c>
    </row>
    <row r="10" spans="1:37" x14ac:dyDescent="0.25">
      <c r="A10" s="14" t="s">
        <v>22</v>
      </c>
      <c r="B10" s="118">
        <f t="shared" si="0"/>
        <v>0</v>
      </c>
      <c r="C10" s="8">
        <v>0</v>
      </c>
      <c r="D10" s="8">
        <v>0</v>
      </c>
      <c r="E10" s="8">
        <v>0</v>
      </c>
      <c r="F10" s="8">
        <v>0</v>
      </c>
      <c r="G10" s="8">
        <v>0</v>
      </c>
      <c r="H10" s="8">
        <v>0</v>
      </c>
      <c r="I10" s="336">
        <v>8.9</v>
      </c>
      <c r="J10" s="57"/>
      <c r="K10" s="58">
        <f t="shared" si="3"/>
        <v>0</v>
      </c>
      <c r="L10" s="58">
        <f t="shared" si="4"/>
        <v>0</v>
      </c>
      <c r="M10" s="58">
        <f t="shared" si="5"/>
        <v>0</v>
      </c>
      <c r="N10" s="58">
        <f t="shared" si="6"/>
        <v>0</v>
      </c>
      <c r="O10" s="58">
        <f t="shared" si="7"/>
        <v>0</v>
      </c>
      <c r="P10" s="58">
        <f t="shared" si="8"/>
        <v>0</v>
      </c>
      <c r="Q10" s="58">
        <f t="shared" si="9"/>
        <v>0</v>
      </c>
      <c r="R10" s="58">
        <f t="shared" si="10"/>
        <v>8.1839080459770123E-3</v>
      </c>
      <c r="S10" s="57"/>
      <c r="T10" s="58"/>
      <c r="U10" s="58"/>
      <c r="V10" s="58"/>
      <c r="W10" s="58"/>
      <c r="X10" s="58"/>
      <c r="Y10" s="58"/>
      <c r="Z10" s="58"/>
      <c r="AA10" s="58"/>
      <c r="AB10" s="58"/>
      <c r="AC10" s="58"/>
      <c r="AD10" s="58"/>
      <c r="AE10" s="57"/>
      <c r="AF10" s="57"/>
      <c r="AG10" s="61">
        <v>0</v>
      </c>
      <c r="AH10" s="145">
        <v>0</v>
      </c>
      <c r="AI10" s="61"/>
      <c r="AJ10" s="61">
        <v>0</v>
      </c>
      <c r="AK10" s="61">
        <v>0</v>
      </c>
    </row>
    <row r="11" spans="1:37" x14ac:dyDescent="0.25">
      <c r="A11" s="14" t="s">
        <v>23</v>
      </c>
      <c r="B11" s="118">
        <f t="shared" si="0"/>
        <v>38.200000000000003</v>
      </c>
      <c r="C11" s="8">
        <v>29</v>
      </c>
      <c r="D11" s="8">
        <v>25</v>
      </c>
      <c r="E11" s="8">
        <v>15.4</v>
      </c>
      <c r="F11" s="8">
        <v>21.6</v>
      </c>
      <c r="G11" s="8">
        <v>22.5</v>
      </c>
      <c r="H11" s="8">
        <v>48.6</v>
      </c>
      <c r="I11" s="336">
        <v>39.1</v>
      </c>
      <c r="J11" s="57"/>
      <c r="K11" s="58">
        <f t="shared" si="3"/>
        <v>2.0014670439065289E-2</v>
      </c>
      <c r="L11" s="58">
        <f t="shared" si="4"/>
        <v>1.6945191071637253E-2</v>
      </c>
      <c r="M11" s="58">
        <f t="shared" si="5"/>
        <v>1.5043023045911305E-2</v>
      </c>
      <c r="N11" s="58">
        <f t="shared" si="6"/>
        <v>9.6334292505942699E-3</v>
      </c>
      <c r="O11" s="58">
        <f t="shared" si="7"/>
        <v>1.3805445481273168E-2</v>
      </c>
      <c r="P11" s="58">
        <f t="shared" si="8"/>
        <v>1.5203729981755523E-2</v>
      </c>
      <c r="Q11" s="58">
        <f t="shared" si="9"/>
        <v>4.0493251124812529E-2</v>
      </c>
      <c r="R11" s="58">
        <f t="shared" si="10"/>
        <v>3.5954022988505752E-2</v>
      </c>
      <c r="S11" s="57"/>
      <c r="T11" s="58">
        <f t="shared" si="11"/>
        <v>-4.8584534407632773E-2</v>
      </c>
      <c r="U11" s="58">
        <f>_xlfn.RRI(5.5,H11,B11)</f>
        <v>-4.2835144098040012E-2</v>
      </c>
      <c r="V11" s="58">
        <f>_xlfn.RRI(5,H11,C11)</f>
        <v>-9.8112545678620156E-2</v>
      </c>
      <c r="W11" s="58">
        <f t="shared" si="12"/>
        <v>6.8501525790150383E-2</v>
      </c>
      <c r="X11" s="58">
        <f t="shared" ref="X11:AD11" si="17">(B11-C11)/C11</f>
        <v>0.31724137931034491</v>
      </c>
      <c r="Y11" s="58">
        <f t="shared" si="17"/>
        <v>0.16</v>
      </c>
      <c r="Z11" s="58">
        <f t="shared" si="17"/>
        <v>0.62337662337662336</v>
      </c>
      <c r="AA11" s="58">
        <f t="shared" si="17"/>
        <v>-0.28703703703703709</v>
      </c>
      <c r="AB11" s="58">
        <f t="shared" si="17"/>
        <v>-3.9999999999999938E-2</v>
      </c>
      <c r="AC11" s="58">
        <f t="shared" si="17"/>
        <v>-0.53703703703703709</v>
      </c>
      <c r="AD11" s="58">
        <f t="shared" si="17"/>
        <v>0.24296675191815856</v>
      </c>
      <c r="AE11" s="57"/>
      <c r="AF11" s="57"/>
      <c r="AG11" s="8">
        <v>30.2</v>
      </c>
      <c r="AH11" s="144">
        <v>33.700000000000003</v>
      </c>
      <c r="AI11" s="135"/>
      <c r="AJ11" s="8">
        <v>27.9</v>
      </c>
      <c r="AK11" s="8">
        <v>26.8</v>
      </c>
    </row>
    <row r="12" spans="1:37" x14ac:dyDescent="0.25">
      <c r="A12" s="14" t="s">
        <v>24</v>
      </c>
      <c r="B12" s="118">
        <f t="shared" si="0"/>
        <v>0</v>
      </c>
      <c r="C12" s="8">
        <v>0</v>
      </c>
      <c r="D12" s="8">
        <v>-0.1</v>
      </c>
      <c r="E12" s="8">
        <v>0</v>
      </c>
      <c r="F12" s="8">
        <v>0</v>
      </c>
      <c r="G12" s="8">
        <v>0</v>
      </c>
      <c r="H12" s="8">
        <v>0</v>
      </c>
      <c r="I12" s="8">
        <v>0</v>
      </c>
      <c r="J12" s="57"/>
      <c r="K12" s="58">
        <f t="shared" si="3"/>
        <v>0</v>
      </c>
      <c r="L12" s="58">
        <f t="shared" si="4"/>
        <v>0</v>
      </c>
      <c r="M12" s="58">
        <f t="shared" si="5"/>
        <v>-6.0172092183645224E-5</v>
      </c>
      <c r="N12" s="58">
        <f t="shared" si="6"/>
        <v>0</v>
      </c>
      <c r="O12" s="58">
        <f t="shared" si="7"/>
        <v>0</v>
      </c>
      <c r="P12" s="58">
        <f t="shared" si="8"/>
        <v>0</v>
      </c>
      <c r="Q12" s="58">
        <f t="shared" si="9"/>
        <v>0</v>
      </c>
      <c r="R12" s="58">
        <f t="shared" si="10"/>
        <v>0</v>
      </c>
      <c r="S12" s="57"/>
      <c r="T12" s="58"/>
      <c r="U12" s="58"/>
      <c r="V12" s="58"/>
      <c r="W12" s="58"/>
      <c r="X12" s="58"/>
      <c r="Y12" s="58"/>
      <c r="Z12" s="58"/>
      <c r="AA12" s="58"/>
      <c r="AB12" s="58"/>
      <c r="AC12" s="58"/>
      <c r="AD12" s="58"/>
      <c r="AE12" s="57"/>
      <c r="AF12" s="57"/>
      <c r="AG12" s="61">
        <v>0</v>
      </c>
      <c r="AH12" s="145">
        <v>0</v>
      </c>
      <c r="AI12" s="61"/>
      <c r="AJ12" s="61">
        <v>0</v>
      </c>
      <c r="AK12" s="61">
        <v>0</v>
      </c>
    </row>
    <row r="13" spans="1:37" x14ac:dyDescent="0.25">
      <c r="A13" s="14" t="s">
        <v>25</v>
      </c>
      <c r="B13" s="120">
        <f t="shared" si="0"/>
        <v>-55.5</v>
      </c>
      <c r="C13" s="23">
        <v>3.1</v>
      </c>
      <c r="D13" s="23">
        <v>61</v>
      </c>
      <c r="E13" s="23">
        <v>38.5</v>
      </c>
      <c r="F13" s="23">
        <v>0</v>
      </c>
      <c r="G13" s="23">
        <v>0</v>
      </c>
      <c r="H13" s="23">
        <v>0</v>
      </c>
      <c r="I13" s="23">
        <v>0</v>
      </c>
      <c r="J13" s="57"/>
      <c r="K13" s="59">
        <f t="shared" si="3"/>
        <v>-2.9078906004401137E-2</v>
      </c>
      <c r="L13" s="59">
        <f t="shared" si="4"/>
        <v>1.8113824938646721E-3</v>
      </c>
      <c r="M13" s="59">
        <f t="shared" si="5"/>
        <v>3.6704976232023588E-2</v>
      </c>
      <c r="N13" s="59">
        <f t="shared" si="6"/>
        <v>2.4083573126485677E-2</v>
      </c>
      <c r="O13" s="59">
        <f t="shared" si="7"/>
        <v>0</v>
      </c>
      <c r="P13" s="59">
        <f t="shared" si="8"/>
        <v>0</v>
      </c>
      <c r="Q13" s="59">
        <f t="shared" si="9"/>
        <v>0</v>
      </c>
      <c r="R13" s="59">
        <f t="shared" si="10"/>
        <v>0</v>
      </c>
      <c r="S13" s="57"/>
      <c r="T13" s="59"/>
      <c r="U13" s="59"/>
      <c r="V13" s="59"/>
      <c r="W13" s="59"/>
      <c r="X13" s="59"/>
      <c r="Y13" s="59"/>
      <c r="Z13" s="59"/>
      <c r="AA13" s="59"/>
      <c r="AB13" s="59"/>
      <c r="AC13" s="59"/>
      <c r="AD13" s="59"/>
      <c r="AE13" s="57"/>
      <c r="AF13" s="73"/>
      <c r="AG13" s="23">
        <v>3.7</v>
      </c>
      <c r="AH13" s="146">
        <v>9.6999999999999993</v>
      </c>
      <c r="AI13" s="136"/>
      <c r="AJ13" s="23">
        <v>17</v>
      </c>
      <c r="AK13" s="23">
        <v>55</v>
      </c>
    </row>
    <row r="14" spans="1:37" x14ac:dyDescent="0.25">
      <c r="A14" s="6" t="s">
        <v>26</v>
      </c>
      <c r="B14" s="24">
        <f t="shared" ref="B14:I14" si="18">SUM(B6:B13)</f>
        <v>735.3</v>
      </c>
      <c r="C14" s="24">
        <f t="shared" si="18"/>
        <v>636.80000000000007</v>
      </c>
      <c r="D14" s="24">
        <f t="shared" si="18"/>
        <v>628.1</v>
      </c>
      <c r="E14" s="24">
        <f t="shared" si="18"/>
        <v>564.49999999999989</v>
      </c>
      <c r="F14" s="24">
        <f t="shared" si="18"/>
        <v>519.5</v>
      </c>
      <c r="G14" s="24">
        <f t="shared" si="18"/>
        <v>540.30000000000007</v>
      </c>
      <c r="H14" s="24">
        <f t="shared" si="18"/>
        <v>506.7</v>
      </c>
      <c r="I14" s="24">
        <f t="shared" si="18"/>
        <v>438.1</v>
      </c>
      <c r="J14" s="60"/>
      <c r="K14" s="20">
        <f t="shared" si="3"/>
        <v>0.38525620873939015</v>
      </c>
      <c r="L14" s="20">
        <f t="shared" si="4"/>
        <v>0.37209302325581395</v>
      </c>
      <c r="M14" s="20">
        <f t="shared" si="5"/>
        <v>0.37794091100547567</v>
      </c>
      <c r="N14" s="20">
        <f t="shared" si="6"/>
        <v>0.35312148129613408</v>
      </c>
      <c r="O14" s="20">
        <f t="shared" si="7"/>
        <v>0.33203374664450974</v>
      </c>
      <c r="P14" s="20">
        <f t="shared" si="8"/>
        <v>0.36509223596188933</v>
      </c>
      <c r="Q14" s="20">
        <f t="shared" si="9"/>
        <v>0.42217963672721209</v>
      </c>
      <c r="R14" s="20">
        <f t="shared" si="10"/>
        <v>0.40285057471264368</v>
      </c>
      <c r="S14" s="57"/>
      <c r="T14" s="58">
        <f t="shared" si="11"/>
        <v>6.431855504752626E-2</v>
      </c>
      <c r="U14" s="20">
        <f t="shared" ref="U14:U19" si="19">_xlfn.RRI(5.5,H14,B14)</f>
        <v>7.0046088833003672E-2</v>
      </c>
      <c r="V14" s="20">
        <f t="shared" ref="V14:V19" si="20">_xlfn.RRI(5,H14,C14)</f>
        <v>4.6767981741521858E-2</v>
      </c>
      <c r="W14" s="58">
        <f t="shared" si="12"/>
        <v>7.8888331975389164E-2</v>
      </c>
      <c r="X14" s="20">
        <f t="shared" ref="X14:AD19" si="21">(B14-C14)/C14</f>
        <v>0.15467964824120584</v>
      </c>
      <c r="Y14" s="20">
        <f t="shared" si="21"/>
        <v>1.3851297564082224E-2</v>
      </c>
      <c r="Z14" s="20">
        <f t="shared" si="21"/>
        <v>0.11266607617360523</v>
      </c>
      <c r="AA14" s="20">
        <f t="shared" si="21"/>
        <v>8.6621751684311618E-2</v>
      </c>
      <c r="AB14" s="20">
        <f t="shared" si="21"/>
        <v>-3.8497131223394529E-2</v>
      </c>
      <c r="AC14" s="20">
        <f t="shared" si="21"/>
        <v>6.6311426879810703E-2</v>
      </c>
      <c r="AD14" s="20">
        <f t="shared" si="21"/>
        <v>0.15658525450810309</v>
      </c>
      <c r="AE14" s="57"/>
      <c r="AF14" s="57"/>
      <c r="AG14" s="56">
        <f>SUM(AG6:AG13)</f>
        <v>713.50000000000011</v>
      </c>
      <c r="AH14" s="147">
        <f t="shared" ref="AH14:AK14" si="22">SUM(AH6:AH13)</f>
        <v>710.60000000000014</v>
      </c>
      <c r="AI14" s="56"/>
      <c r="AJ14" s="56">
        <f t="shared" si="22"/>
        <v>641.4</v>
      </c>
      <c r="AK14" s="56">
        <f t="shared" si="22"/>
        <v>684.2</v>
      </c>
    </row>
    <row r="15" spans="1:37" x14ac:dyDescent="0.25">
      <c r="A15" s="14" t="s">
        <v>28</v>
      </c>
      <c r="B15" s="177">
        <f>AG15+AH15+C15-(AJ15+AK15)</f>
        <v>19.700000000000003</v>
      </c>
      <c r="C15" s="9">
        <v>15</v>
      </c>
      <c r="D15" s="9">
        <v>15.2</v>
      </c>
      <c r="E15" s="9">
        <v>16.7</v>
      </c>
      <c r="F15" s="9">
        <v>17.399999999999999</v>
      </c>
      <c r="G15" s="9">
        <v>17.5</v>
      </c>
      <c r="H15" s="9">
        <v>17.600000000000001</v>
      </c>
      <c r="I15" s="337">
        <v>17</v>
      </c>
      <c r="J15" s="57"/>
      <c r="K15" s="58">
        <f t="shared" si="3"/>
        <v>1.0321701770931576E-2</v>
      </c>
      <c r="L15" s="58">
        <f t="shared" si="4"/>
        <v>8.7647540025709934E-3</v>
      </c>
      <c r="M15" s="58">
        <f t="shared" si="5"/>
        <v>9.1461580119140736E-3</v>
      </c>
      <c r="N15" s="58">
        <f t="shared" si="6"/>
        <v>1.0446640810709371E-2</v>
      </c>
      <c r="O15" s="58">
        <f t="shared" si="7"/>
        <v>1.112105330435894E-2</v>
      </c>
      <c r="P15" s="58">
        <f t="shared" si="8"/>
        <v>1.1825123319143184E-2</v>
      </c>
      <c r="Q15" s="58">
        <f t="shared" si="9"/>
        <v>1.4664222629561741E-2</v>
      </c>
      <c r="R15" s="58">
        <f t="shared" si="10"/>
        <v>1.5632183908045976E-2</v>
      </c>
      <c r="S15" s="57"/>
      <c r="T15" s="58">
        <f t="shared" si="11"/>
        <v>-2.0644448190417219E-2</v>
      </c>
      <c r="U15" s="58">
        <f t="shared" si="19"/>
        <v>2.0705951319974769E-2</v>
      </c>
      <c r="V15" s="58">
        <f t="shared" si="20"/>
        <v>-3.1464110650661237E-2</v>
      </c>
      <c r="W15" s="58">
        <f t="shared" si="12"/>
        <v>2.771760114407686E-2</v>
      </c>
      <c r="X15" s="58">
        <f t="shared" si="21"/>
        <v>0.31333333333333352</v>
      </c>
      <c r="Y15" s="58">
        <f t="shared" si="21"/>
        <v>-1.3157894736842059E-2</v>
      </c>
      <c r="Z15" s="58">
        <f t="shared" si="21"/>
        <v>-8.9820359281437126E-2</v>
      </c>
      <c r="AA15" s="58">
        <f t="shared" si="21"/>
        <v>-4.0229885057471229E-2</v>
      </c>
      <c r="AB15" s="58">
        <f t="shared" si="21"/>
        <v>-5.7142857142857958E-3</v>
      </c>
      <c r="AC15" s="58">
        <f t="shared" si="21"/>
        <v>-5.6818181818182618E-3</v>
      </c>
      <c r="AD15" s="58">
        <f t="shared" si="21"/>
        <v>3.5294117647058906E-2</v>
      </c>
      <c r="AE15" s="57"/>
      <c r="AF15" s="57"/>
      <c r="AG15" s="9">
        <v>18.2</v>
      </c>
      <c r="AH15" s="148">
        <v>15</v>
      </c>
      <c r="AI15" s="53"/>
      <c r="AJ15" s="9">
        <v>14</v>
      </c>
      <c r="AK15" s="9">
        <v>14.5</v>
      </c>
    </row>
    <row r="16" spans="1:37" x14ac:dyDescent="0.25">
      <c r="A16" s="14" t="s">
        <v>29</v>
      </c>
      <c r="B16" s="118">
        <f>AG16+AH16+C16-(AJ16+AK16)</f>
        <v>90.099999999999966</v>
      </c>
      <c r="C16" s="9">
        <v>80.3</v>
      </c>
      <c r="D16" s="9">
        <v>75.8</v>
      </c>
      <c r="E16" s="9">
        <v>75</v>
      </c>
      <c r="F16" s="9">
        <v>90.6</v>
      </c>
      <c r="G16" s="9">
        <v>65.099999999999994</v>
      </c>
      <c r="H16" s="9">
        <v>63.4</v>
      </c>
      <c r="I16" s="337">
        <v>58.2</v>
      </c>
      <c r="J16" s="57"/>
      <c r="K16" s="58">
        <f t="shared" si="3"/>
        <v>4.7207377135072816E-2</v>
      </c>
      <c r="L16" s="58">
        <f t="shared" si="4"/>
        <v>4.6920649760430054E-2</v>
      </c>
      <c r="M16" s="58">
        <f t="shared" si="5"/>
        <v>4.5610445875203076E-2</v>
      </c>
      <c r="N16" s="58">
        <f t="shared" si="6"/>
        <v>4.6916051545101964E-2</v>
      </c>
      <c r="O16" s="58">
        <f t="shared" si="7"/>
        <v>5.7906174102006894E-2</v>
      </c>
      <c r="P16" s="58">
        <f t="shared" si="8"/>
        <v>4.3989458747212641E-2</v>
      </c>
      <c r="Q16" s="58">
        <f t="shared" si="9"/>
        <v>5.2824529245125811E-2</v>
      </c>
      <c r="R16" s="58">
        <f t="shared" si="10"/>
        <v>5.3517241379310347E-2</v>
      </c>
      <c r="S16" s="57"/>
      <c r="T16" s="58">
        <f t="shared" si="11"/>
        <v>5.5112480362825789E-2</v>
      </c>
      <c r="U16" s="58">
        <f t="shared" si="19"/>
        <v>6.5987016505498541E-2</v>
      </c>
      <c r="V16" s="58">
        <f t="shared" si="20"/>
        <v>4.8395763879995002E-2</v>
      </c>
      <c r="W16" s="58">
        <f t="shared" si="12"/>
        <v>7.5393765761333609E-2</v>
      </c>
      <c r="X16" s="58">
        <f t="shared" si="21"/>
        <v>0.12204234122042303</v>
      </c>
      <c r="Y16" s="58">
        <f t="shared" si="21"/>
        <v>5.9366754617414252E-2</v>
      </c>
      <c r="Z16" s="58">
        <f t="shared" si="21"/>
        <v>1.0666666666666628E-2</v>
      </c>
      <c r="AA16" s="58">
        <f t="shared" si="21"/>
        <v>-0.17218543046357609</v>
      </c>
      <c r="AB16" s="58">
        <f t="shared" si="21"/>
        <v>0.39170506912442399</v>
      </c>
      <c r="AC16" s="58">
        <f t="shared" si="21"/>
        <v>2.6813880126182899E-2</v>
      </c>
      <c r="AD16" s="58">
        <f t="shared" si="21"/>
        <v>8.9347079037800606E-2</v>
      </c>
      <c r="AE16" s="57"/>
      <c r="AF16" s="57"/>
      <c r="AG16" s="9">
        <v>80</v>
      </c>
      <c r="AH16" s="148">
        <v>80.400000000000006</v>
      </c>
      <c r="AI16" s="53"/>
      <c r="AJ16" s="9">
        <v>74.400000000000006</v>
      </c>
      <c r="AK16" s="9">
        <v>76.2</v>
      </c>
    </row>
    <row r="17" spans="1:37" x14ac:dyDescent="0.25">
      <c r="A17" s="14" t="s">
        <v>30</v>
      </c>
      <c r="B17" s="118">
        <f>AG17+AH17+C17-(AJ17+AK17)</f>
        <v>1067.4000000000001</v>
      </c>
      <c r="C17" s="9">
        <v>924.1</v>
      </c>
      <c r="D17" s="9">
        <v>836.8</v>
      </c>
      <c r="E17" s="9">
        <v>812.1</v>
      </c>
      <c r="F17" s="9">
        <v>786.1</v>
      </c>
      <c r="G17" s="9">
        <v>800.9</v>
      </c>
      <c r="H17" s="9">
        <v>756.6</v>
      </c>
      <c r="I17" s="337">
        <v>716</v>
      </c>
      <c r="J17" s="57"/>
      <c r="K17" s="58">
        <f t="shared" si="3"/>
        <v>0.55925809493869871</v>
      </c>
      <c r="L17" s="58">
        <f t="shared" si="4"/>
        <v>0.53996727825172375</v>
      </c>
      <c r="M17" s="58">
        <f t="shared" si="5"/>
        <v>0.50352006739274324</v>
      </c>
      <c r="N17" s="58">
        <f t="shared" si="6"/>
        <v>0.50800700613036409</v>
      </c>
      <c r="O17" s="58">
        <f t="shared" si="7"/>
        <v>0.50242873577911284</v>
      </c>
      <c r="P17" s="58">
        <f t="shared" si="8"/>
        <v>0.54118521521724439</v>
      </c>
      <c r="Q17" s="58">
        <f t="shared" si="9"/>
        <v>0.63039493417763703</v>
      </c>
      <c r="R17" s="58">
        <f t="shared" si="10"/>
        <v>0.65839080459770116</v>
      </c>
      <c r="S17" s="57"/>
      <c r="T17" s="58">
        <f t="shared" si="11"/>
        <v>4.3440424585214243E-2</v>
      </c>
      <c r="U17" s="58">
        <f t="shared" si="19"/>
        <v>6.4571173352800049E-2</v>
      </c>
      <c r="V17" s="58">
        <f t="shared" si="20"/>
        <v>4.080777222680676E-2</v>
      </c>
      <c r="W17" s="58">
        <f t="shared" si="12"/>
        <v>5.9951651624613078E-2</v>
      </c>
      <c r="X17" s="58">
        <f t="shared" si="21"/>
        <v>0.15506979764094803</v>
      </c>
      <c r="Y17" s="58">
        <f t="shared" si="21"/>
        <v>0.10432600382409186</v>
      </c>
      <c r="Z17" s="58">
        <f t="shared" si="21"/>
        <v>3.0414973525427817E-2</v>
      </c>
      <c r="AA17" s="58">
        <f t="shared" si="21"/>
        <v>3.3074672433532626E-2</v>
      </c>
      <c r="AB17" s="58">
        <f t="shared" si="21"/>
        <v>-1.8479210887751223E-2</v>
      </c>
      <c r="AC17" s="58">
        <f t="shared" si="21"/>
        <v>5.8551414221517252E-2</v>
      </c>
      <c r="AD17" s="58">
        <f t="shared" si="21"/>
        <v>5.670391061452517E-2</v>
      </c>
      <c r="AE17" s="57"/>
      <c r="AF17" s="57"/>
      <c r="AG17" s="9">
        <v>954.5</v>
      </c>
      <c r="AH17" s="148">
        <v>929.5</v>
      </c>
      <c r="AI17" s="53"/>
      <c r="AJ17" s="9">
        <v>875.9</v>
      </c>
      <c r="AK17" s="9">
        <v>864.8</v>
      </c>
    </row>
    <row r="18" spans="1:37" x14ac:dyDescent="0.25">
      <c r="A18" s="14" t="s">
        <v>31</v>
      </c>
      <c r="B18" s="120">
        <f>AG18+AH18+C18-(AJ18+AK18)</f>
        <v>-477.50000000000023</v>
      </c>
      <c r="C18" s="10">
        <v>-462.1</v>
      </c>
      <c r="D18" s="10">
        <v>-438.7</v>
      </c>
      <c r="E18" s="10">
        <v>-494.7</v>
      </c>
      <c r="F18" s="10">
        <v>-478.7</v>
      </c>
      <c r="G18" s="10">
        <v>-465.6</v>
      </c>
      <c r="H18" s="10">
        <v>-509.6</v>
      </c>
      <c r="I18" s="340">
        <v>-510.4</v>
      </c>
      <c r="J18" s="60"/>
      <c r="K18" s="59">
        <f t="shared" si="3"/>
        <v>-0.25018338048831623</v>
      </c>
      <c r="L18" s="59">
        <f t="shared" si="4"/>
        <v>-0.27001285497253713</v>
      </c>
      <c r="M18" s="59">
        <f t="shared" si="5"/>
        <v>-0.26397496840965157</v>
      </c>
      <c r="N18" s="59">
        <f t="shared" si="6"/>
        <v>-0.30945827599149256</v>
      </c>
      <c r="O18" s="59">
        <f t="shared" si="7"/>
        <v>-0.30595679406877152</v>
      </c>
      <c r="P18" s="59">
        <f t="shared" si="8"/>
        <v>-0.31461585242246098</v>
      </c>
      <c r="Q18" s="59">
        <f t="shared" si="9"/>
        <v>-0.42459590068321945</v>
      </c>
      <c r="R18" s="59">
        <f t="shared" si="10"/>
        <v>-0.46933333333333332</v>
      </c>
      <c r="S18" s="57"/>
      <c r="T18" s="59">
        <f t="shared" si="11"/>
        <v>-1.6432393072554285E-2</v>
      </c>
      <c r="U18" s="59">
        <f t="shared" si="19"/>
        <v>-1.1759751626954529E-2</v>
      </c>
      <c r="V18" s="59">
        <f t="shared" si="20"/>
        <v>-1.9378728114903154E-2</v>
      </c>
      <c r="W18" s="59">
        <f t="shared" si="12"/>
        <v>-7.554917080873344E-3</v>
      </c>
      <c r="X18" s="59">
        <f t="shared" si="21"/>
        <v>3.3326119887470688E-2</v>
      </c>
      <c r="Y18" s="59">
        <f t="shared" si="21"/>
        <v>5.3339411898791968E-2</v>
      </c>
      <c r="Z18" s="59">
        <f t="shared" si="21"/>
        <v>-0.1131999191429149</v>
      </c>
      <c r="AA18" s="59">
        <f t="shared" si="21"/>
        <v>3.3423856277418007E-2</v>
      </c>
      <c r="AB18" s="59">
        <f t="shared" si="21"/>
        <v>2.8135738831615045E-2</v>
      </c>
      <c r="AC18" s="59">
        <f t="shared" si="21"/>
        <v>-8.6342229199372053E-2</v>
      </c>
      <c r="AD18" s="59">
        <f t="shared" si="21"/>
        <v>-1.5673981191221681E-3</v>
      </c>
      <c r="AE18" s="57"/>
      <c r="AF18" s="73"/>
      <c r="AG18" s="10">
        <v>-457.8</v>
      </c>
      <c r="AH18" s="149">
        <v>-448.9</v>
      </c>
      <c r="AI18" s="54"/>
      <c r="AJ18" s="10">
        <v>-445.5</v>
      </c>
      <c r="AK18" s="10">
        <v>-445.8</v>
      </c>
    </row>
    <row r="19" spans="1:37" x14ac:dyDescent="0.25">
      <c r="A19" s="6" t="s">
        <v>27</v>
      </c>
      <c r="B19" s="24">
        <f>SUM(B15:B18)</f>
        <v>699.69999999999982</v>
      </c>
      <c r="C19" s="24">
        <f>SUM(C15:C18)</f>
        <v>557.29999999999995</v>
      </c>
      <c r="D19" s="24">
        <f t="shared" ref="D19:I19" si="23">SUM(D15:D18)</f>
        <v>489.09999999999997</v>
      </c>
      <c r="E19" s="24">
        <f t="shared" si="23"/>
        <v>409.10000000000008</v>
      </c>
      <c r="F19" s="24">
        <f t="shared" si="23"/>
        <v>415.40000000000003</v>
      </c>
      <c r="G19" s="24">
        <f t="shared" si="23"/>
        <v>417.9</v>
      </c>
      <c r="H19" s="24">
        <f t="shared" si="23"/>
        <v>328</v>
      </c>
      <c r="I19" s="24">
        <f t="shared" si="23"/>
        <v>280.80000000000007</v>
      </c>
      <c r="J19" s="24"/>
      <c r="K19" s="20">
        <f t="shared" si="3"/>
        <v>0.36660379335638682</v>
      </c>
      <c r="L19" s="20">
        <f t="shared" si="4"/>
        <v>0.32563982704218764</v>
      </c>
      <c r="M19" s="20">
        <f t="shared" si="5"/>
        <v>0.29430170287020874</v>
      </c>
      <c r="N19" s="20">
        <f t="shared" si="6"/>
        <v>0.25591142249468291</v>
      </c>
      <c r="O19" s="20">
        <f t="shared" si="7"/>
        <v>0.26549916911670712</v>
      </c>
      <c r="P19" s="20">
        <f t="shared" si="8"/>
        <v>0.28238394486113921</v>
      </c>
      <c r="Q19" s="20">
        <f t="shared" si="9"/>
        <v>0.27328778536910514</v>
      </c>
      <c r="R19" s="20">
        <f t="shared" si="10"/>
        <v>0.25820689655172419</v>
      </c>
      <c r="S19" s="57"/>
      <c r="T19" s="58">
        <f t="shared" si="11"/>
        <v>0.12102506544483038</v>
      </c>
      <c r="U19" s="20">
        <f t="shared" si="19"/>
        <v>0.14769131820256565</v>
      </c>
      <c r="V19" s="20">
        <f t="shared" si="20"/>
        <v>0.11184190864665444</v>
      </c>
      <c r="W19" s="58">
        <f t="shared" si="12"/>
        <v>0.14450525834443134</v>
      </c>
      <c r="X19" s="20">
        <f t="shared" si="21"/>
        <v>0.25551767450206331</v>
      </c>
      <c r="Y19" s="20">
        <f t="shared" si="21"/>
        <v>0.13943978736454712</v>
      </c>
      <c r="Z19" s="20">
        <f t="shared" si="21"/>
        <v>0.1955512099731114</v>
      </c>
      <c r="AA19" s="20">
        <f t="shared" si="21"/>
        <v>-1.5166104959075478E-2</v>
      </c>
      <c r="AB19" s="20">
        <f t="shared" si="21"/>
        <v>-5.9822924144530831E-3</v>
      </c>
      <c r="AC19" s="20">
        <f t="shared" si="21"/>
        <v>0.27408536585365845</v>
      </c>
      <c r="AD19" s="20">
        <f t="shared" si="21"/>
        <v>0.16809116809116781</v>
      </c>
      <c r="AE19" s="57"/>
      <c r="AF19" s="57"/>
      <c r="AG19" s="56">
        <f>SUM(AG15:AG18)</f>
        <v>594.90000000000009</v>
      </c>
      <c r="AH19" s="147">
        <f t="shared" ref="AH19:AK19" si="24">SUM(AH15:AH18)</f>
        <v>576.00000000000011</v>
      </c>
      <c r="AI19" s="56"/>
      <c r="AJ19" s="56">
        <f t="shared" si="24"/>
        <v>518.79999999999995</v>
      </c>
      <c r="AK19" s="56">
        <f t="shared" si="24"/>
        <v>509.7</v>
      </c>
    </row>
    <row r="20" spans="1:37" x14ac:dyDescent="0.25">
      <c r="A20" s="14" t="s">
        <v>32</v>
      </c>
      <c r="B20" s="118">
        <f t="shared" ref="B20:B27" si="25">AG20+AH20+C20-(AJ20+AK20)</f>
        <v>81.600000000000023</v>
      </c>
      <c r="C20" s="8">
        <v>86.3</v>
      </c>
      <c r="D20" s="8">
        <v>91.2</v>
      </c>
      <c r="E20" s="8">
        <v>102.5</v>
      </c>
      <c r="F20" s="8">
        <v>113.5</v>
      </c>
      <c r="G20" s="8">
        <v>0</v>
      </c>
      <c r="H20" s="8">
        <v>0</v>
      </c>
      <c r="I20" s="8">
        <v>0</v>
      </c>
      <c r="J20" s="57"/>
      <c r="K20" s="58">
        <f t="shared" si="3"/>
        <v>4.2753850990254659E-2</v>
      </c>
      <c r="L20" s="58">
        <f t="shared" si="4"/>
        <v>5.0426551361458453E-2</v>
      </c>
      <c r="M20" s="58">
        <f t="shared" si="5"/>
        <v>5.4876948071484445E-2</v>
      </c>
      <c r="N20" s="58">
        <f t="shared" si="6"/>
        <v>6.4118603778306027E-2</v>
      </c>
      <c r="O20" s="58">
        <f t="shared" si="7"/>
        <v>7.2542502876134465E-2</v>
      </c>
      <c r="P20" s="58">
        <f t="shared" si="8"/>
        <v>0</v>
      </c>
      <c r="Q20" s="58">
        <f t="shared" si="9"/>
        <v>0</v>
      </c>
      <c r="R20" s="58">
        <f t="shared" si="10"/>
        <v>0</v>
      </c>
      <c r="S20" s="57"/>
      <c r="T20" s="58"/>
      <c r="U20" s="58"/>
      <c r="V20" s="58"/>
      <c r="W20" s="58"/>
      <c r="X20" s="58"/>
      <c r="Y20" s="58"/>
      <c r="Z20" s="58"/>
      <c r="AA20" s="58"/>
      <c r="AB20" s="58"/>
      <c r="AC20" s="58"/>
      <c r="AD20" s="58"/>
      <c r="AE20" s="57"/>
      <c r="AF20" s="57"/>
      <c r="AG20" s="8">
        <v>84.1</v>
      </c>
      <c r="AH20" s="144">
        <v>85.9</v>
      </c>
      <c r="AI20" s="135"/>
      <c r="AJ20" s="8">
        <v>86.9</v>
      </c>
      <c r="AK20" s="8">
        <v>87.8</v>
      </c>
    </row>
    <row r="21" spans="1:37" x14ac:dyDescent="0.25">
      <c r="A21" s="14" t="s">
        <v>33</v>
      </c>
      <c r="B21" s="118">
        <f t="shared" si="25"/>
        <v>290.89999999999998</v>
      </c>
      <c r="C21" s="8">
        <v>294</v>
      </c>
      <c r="D21" s="8">
        <v>296</v>
      </c>
      <c r="E21" s="8">
        <v>297.8</v>
      </c>
      <c r="F21" s="8">
        <v>296.10000000000002</v>
      </c>
      <c r="G21" s="8">
        <v>296.5</v>
      </c>
      <c r="H21" s="8">
        <v>188.2</v>
      </c>
      <c r="I21" s="336">
        <v>186.4</v>
      </c>
      <c r="J21" s="57"/>
      <c r="K21" s="58">
        <f t="shared" si="3"/>
        <v>0.15241538300324847</v>
      </c>
      <c r="L21" s="58">
        <f t="shared" si="4"/>
        <v>0.17178917845039149</v>
      </c>
      <c r="M21" s="58">
        <f t="shared" si="5"/>
        <v>0.17810939286358984</v>
      </c>
      <c r="N21" s="58">
        <f t="shared" si="6"/>
        <v>0.18628800200175155</v>
      </c>
      <c r="O21" s="58">
        <f t="shared" si="7"/>
        <v>0.18924964847245301</v>
      </c>
      <c r="P21" s="58">
        <f t="shared" si="8"/>
        <v>0.20035137509291168</v>
      </c>
      <c r="Q21" s="58">
        <f t="shared" si="9"/>
        <v>0.15680719880019994</v>
      </c>
      <c r="R21" s="58">
        <f t="shared" si="10"/>
        <v>0.17140229885057473</v>
      </c>
      <c r="S21" s="57"/>
      <c r="T21" s="58">
        <f t="shared" si="11"/>
        <v>7.8905905849355085E-2</v>
      </c>
      <c r="U21" s="58">
        <f>_xlfn.RRI(5.5,H21,B21)</f>
        <v>8.2396054175152722E-2</v>
      </c>
      <c r="V21" s="58">
        <f>_xlfn.RRI(5,H21,C21)</f>
        <v>9.3315593389016405E-2</v>
      </c>
      <c r="W21" s="58">
        <f t="shared" si="12"/>
        <v>8.0879318735879641E-2</v>
      </c>
      <c r="X21" s="58">
        <f t="shared" ref="X21:AD24" si="26">(B21-C21)/C21</f>
        <v>-1.0544217687074907E-2</v>
      </c>
      <c r="Y21" s="58">
        <f t="shared" si="26"/>
        <v>-6.7567567567567571E-3</v>
      </c>
      <c r="Z21" s="58">
        <f t="shared" si="26"/>
        <v>-6.0443250503694132E-3</v>
      </c>
      <c r="AA21" s="58">
        <f t="shared" si="26"/>
        <v>5.7413036136440007E-3</v>
      </c>
      <c r="AB21" s="58">
        <f t="shared" si="26"/>
        <v>-1.3490725126474781E-3</v>
      </c>
      <c r="AC21" s="58">
        <f t="shared" si="26"/>
        <v>0.57545164718384711</v>
      </c>
      <c r="AD21" s="58">
        <f t="shared" si="26"/>
        <v>9.6566523605149304E-3</v>
      </c>
      <c r="AE21" s="57"/>
      <c r="AF21" s="57"/>
      <c r="AG21" s="8">
        <v>293.8</v>
      </c>
      <c r="AH21" s="144">
        <v>294</v>
      </c>
      <c r="AI21" s="135"/>
      <c r="AJ21" s="8">
        <v>294</v>
      </c>
      <c r="AK21" s="8">
        <v>296.89999999999998</v>
      </c>
    </row>
    <row r="22" spans="1:37" x14ac:dyDescent="0.25">
      <c r="A22" s="14" t="s">
        <v>34</v>
      </c>
      <c r="B22" s="118">
        <f t="shared" si="25"/>
        <v>6.5000000000000036</v>
      </c>
      <c r="C22" s="8">
        <v>11.7</v>
      </c>
      <c r="D22" s="8">
        <v>15</v>
      </c>
      <c r="E22" s="8">
        <v>18.399999999999999</v>
      </c>
      <c r="F22" s="8">
        <v>23.7</v>
      </c>
      <c r="G22" s="8">
        <v>15.5</v>
      </c>
      <c r="H22" s="8">
        <v>18.399999999999999</v>
      </c>
      <c r="I22" s="336">
        <v>27.1</v>
      </c>
      <c r="J22" s="57"/>
      <c r="K22" s="58">
        <f t="shared" si="3"/>
        <v>3.4056376401550899E-3</v>
      </c>
      <c r="L22" s="58">
        <f t="shared" si="4"/>
        <v>6.8365081220053752E-3</v>
      </c>
      <c r="M22" s="58">
        <f t="shared" si="5"/>
        <v>9.0258138275467834E-3</v>
      </c>
      <c r="N22" s="58">
        <f t="shared" si="6"/>
        <v>1.1510071312398349E-2</v>
      </c>
      <c r="O22" s="58">
        <f t="shared" si="7"/>
        <v>1.514764156973028E-2</v>
      </c>
      <c r="P22" s="58">
        <f t="shared" si="8"/>
        <v>1.0473680654098249E-2</v>
      </c>
      <c r="Q22" s="58">
        <f t="shared" si="9"/>
        <v>1.5330778203632727E-2</v>
      </c>
      <c r="R22" s="58">
        <f t="shared" si="10"/>
        <v>2.4919540229885059E-2</v>
      </c>
      <c r="S22" s="57"/>
      <c r="T22" s="58">
        <f t="shared" si="11"/>
        <v>-0.13063377894142647</v>
      </c>
      <c r="U22" s="58">
        <f>_xlfn.RRI(5.5,H22,B22)</f>
        <v>-0.17237128262505452</v>
      </c>
      <c r="V22" s="58">
        <f>_xlfn.RRI(5,H22,C22)</f>
        <v>-8.6573498530291615E-2</v>
      </c>
      <c r="W22" s="58">
        <f t="shared" si="12"/>
        <v>-0.14606648472042569</v>
      </c>
      <c r="X22" s="58">
        <f t="shared" si="26"/>
        <v>-0.44444444444444409</v>
      </c>
      <c r="Y22" s="58">
        <f t="shared" si="26"/>
        <v>-0.22000000000000006</v>
      </c>
      <c r="Z22" s="58">
        <f t="shared" si="26"/>
        <v>-0.18478260869565211</v>
      </c>
      <c r="AA22" s="58">
        <f t="shared" si="26"/>
        <v>-0.22362869198312241</v>
      </c>
      <c r="AB22" s="58">
        <f t="shared" si="26"/>
        <v>0.52903225806451604</v>
      </c>
      <c r="AC22" s="58">
        <f t="shared" si="26"/>
        <v>-0.15760869565217384</v>
      </c>
      <c r="AD22" s="58">
        <f t="shared" si="26"/>
        <v>-0.32103321033210341</v>
      </c>
      <c r="AE22" s="57"/>
      <c r="AF22" s="57"/>
      <c r="AG22" s="8">
        <v>11.3</v>
      </c>
      <c r="AH22" s="144">
        <v>11.7</v>
      </c>
      <c r="AI22" s="135"/>
      <c r="AJ22" s="8">
        <v>13.5</v>
      </c>
      <c r="AK22" s="8">
        <v>14.7</v>
      </c>
    </row>
    <row r="23" spans="1:37" x14ac:dyDescent="0.25">
      <c r="A23" s="14" t="s">
        <v>35</v>
      </c>
      <c r="B23" s="118">
        <f t="shared" si="25"/>
        <v>8.7999999999999972</v>
      </c>
      <c r="C23" s="8">
        <v>9.1999999999999993</v>
      </c>
      <c r="D23" s="8">
        <v>11</v>
      </c>
      <c r="E23" s="8">
        <v>24.6</v>
      </c>
      <c r="F23" s="8">
        <v>28</v>
      </c>
      <c r="G23" s="8">
        <v>21.7</v>
      </c>
      <c r="H23" s="8">
        <v>29.3</v>
      </c>
      <c r="I23" s="336">
        <v>13.2</v>
      </c>
      <c r="J23" s="57"/>
      <c r="K23" s="58">
        <f t="shared" si="3"/>
        <v>4.6107094205176564E-3</v>
      </c>
      <c r="L23" s="58">
        <f t="shared" si="4"/>
        <v>5.375715788243543E-3</v>
      </c>
      <c r="M23" s="58">
        <f t="shared" si="5"/>
        <v>6.6189301402009744E-3</v>
      </c>
      <c r="N23" s="58">
        <f t="shared" si="6"/>
        <v>1.5388464906793447E-2</v>
      </c>
      <c r="O23" s="58">
        <f t="shared" si="7"/>
        <v>1.7895947846094846E-2</v>
      </c>
      <c r="P23" s="58">
        <f t="shared" si="8"/>
        <v>1.4663152915737549E-2</v>
      </c>
      <c r="Q23" s="58">
        <f t="shared" si="9"/>
        <v>2.4412597900349942E-2</v>
      </c>
      <c r="R23" s="58">
        <f t="shared" si="10"/>
        <v>1.2137931034482758E-2</v>
      </c>
      <c r="S23" s="57"/>
      <c r="T23" s="58">
        <f t="shared" si="11"/>
        <v>-5.8394508466214523E-2</v>
      </c>
      <c r="U23" s="58">
        <f>_xlfn.RRI(5.5,H23,B23)</f>
        <v>-0.19643517372434927</v>
      </c>
      <c r="V23" s="58">
        <f>_xlfn.RRI(5,H23,C23)</f>
        <v>-0.20679756015834672</v>
      </c>
      <c r="W23" s="58">
        <f t="shared" si="12"/>
        <v>5.2749308631905141E-2</v>
      </c>
      <c r="X23" s="58">
        <f t="shared" si="26"/>
        <v>-4.3478260869565452E-2</v>
      </c>
      <c r="Y23" s="58">
        <f t="shared" si="26"/>
        <v>-0.16363636363636369</v>
      </c>
      <c r="Z23" s="58">
        <f t="shared" si="26"/>
        <v>-0.55284552845528456</v>
      </c>
      <c r="AA23" s="58">
        <f t="shared" si="26"/>
        <v>-0.12142857142857137</v>
      </c>
      <c r="AB23" s="58">
        <f t="shared" si="26"/>
        <v>0.29032258064516131</v>
      </c>
      <c r="AC23" s="58">
        <f t="shared" si="26"/>
        <v>-0.25938566552901027</v>
      </c>
      <c r="AD23" s="58">
        <f t="shared" si="26"/>
        <v>1.2196969696969699</v>
      </c>
      <c r="AE23" s="57"/>
      <c r="AF23" s="57"/>
      <c r="AG23" s="8">
        <v>9.1999999999999993</v>
      </c>
      <c r="AH23" s="144">
        <v>10</v>
      </c>
      <c r="AI23" s="135"/>
      <c r="AJ23" s="8">
        <v>9.1999999999999993</v>
      </c>
      <c r="AK23" s="8">
        <v>10.4</v>
      </c>
    </row>
    <row r="24" spans="1:37" x14ac:dyDescent="0.25">
      <c r="A24" s="14" t="str">
        <f>A165</f>
        <v>Intangibles Assets, Net (See Note)</v>
      </c>
      <c r="B24" s="118">
        <f t="shared" si="25"/>
        <v>85.80000000000004</v>
      </c>
      <c r="C24" s="8">
        <f t="shared" ref="C24:I24" si="27">C165</f>
        <v>116.10000000000001</v>
      </c>
      <c r="D24" s="8">
        <f t="shared" si="27"/>
        <v>131.49999999999997</v>
      </c>
      <c r="E24" s="8">
        <f t="shared" si="27"/>
        <v>149.80000000000001</v>
      </c>
      <c r="F24" s="8">
        <f t="shared" si="27"/>
        <v>168.39999999999995</v>
      </c>
      <c r="G24" s="8">
        <f t="shared" si="27"/>
        <v>188</v>
      </c>
      <c r="H24" s="8">
        <f t="shared" si="27"/>
        <v>129.60000000000002</v>
      </c>
      <c r="I24" s="8">
        <f t="shared" si="27"/>
        <v>141.89999999999998</v>
      </c>
      <c r="J24" s="57"/>
      <c r="K24" s="58">
        <f t="shared" si="3"/>
        <v>4.4954416850047182E-2</v>
      </c>
      <c r="L24" s="58">
        <f t="shared" si="4"/>
        <v>6.78391959798995E-2</v>
      </c>
      <c r="M24" s="58">
        <f t="shared" si="5"/>
        <v>7.9126301221493445E-2</v>
      </c>
      <c r="N24" s="58">
        <f t="shared" si="6"/>
        <v>9.3706993619417006E-2</v>
      </c>
      <c r="O24" s="58">
        <f t="shared" si="7"/>
        <v>0.10763134347437041</v>
      </c>
      <c r="P24" s="58">
        <f t="shared" si="8"/>
        <v>0.12703561051422393</v>
      </c>
      <c r="Q24" s="58">
        <f t="shared" si="9"/>
        <v>0.1079820029995001</v>
      </c>
      <c r="R24" s="58">
        <f t="shared" si="10"/>
        <v>0.13048275862068964</v>
      </c>
      <c r="S24" s="57"/>
      <c r="T24" s="58">
        <f t="shared" si="11"/>
        <v>-3.2892011383622188E-2</v>
      </c>
      <c r="U24" s="58">
        <f>_xlfn.RRI(5.5,H24,B24)</f>
        <v>-7.2245343138144791E-2</v>
      </c>
      <c r="V24" s="58">
        <f>_xlfn.RRI(5,H24,C24)</f>
        <v>-2.1759940095709362E-2</v>
      </c>
      <c r="W24" s="58">
        <f t="shared" si="12"/>
        <v>-5.0146452122930216E-2</v>
      </c>
      <c r="X24" s="58">
        <f t="shared" si="26"/>
        <v>-0.26098191214470257</v>
      </c>
      <c r="Y24" s="58">
        <f t="shared" si="26"/>
        <v>-0.11711026615969557</v>
      </c>
      <c r="Z24" s="58">
        <f t="shared" si="26"/>
        <v>-0.12216288384512709</v>
      </c>
      <c r="AA24" s="58">
        <f t="shared" si="26"/>
        <v>-0.11045130641330132</v>
      </c>
      <c r="AB24" s="58">
        <f t="shared" si="26"/>
        <v>-0.10425531914893645</v>
      </c>
      <c r="AC24" s="58">
        <f t="shared" si="26"/>
        <v>0.45061728395061701</v>
      </c>
      <c r="AD24" s="58">
        <f t="shared" si="26"/>
        <v>-8.6680761099365441E-2</v>
      </c>
      <c r="AE24" s="57"/>
      <c r="AF24" s="57"/>
      <c r="AG24" s="8">
        <v>108.9</v>
      </c>
      <c r="AH24" s="144">
        <v>112.4</v>
      </c>
      <c r="AI24" s="135"/>
      <c r="AJ24" s="8">
        <v>123.5</v>
      </c>
      <c r="AK24" s="8">
        <v>128.1</v>
      </c>
    </row>
    <row r="25" spans="1:37" x14ac:dyDescent="0.25">
      <c r="A25" s="14" t="s">
        <v>45</v>
      </c>
      <c r="B25" s="118">
        <f t="shared" si="25"/>
        <v>0</v>
      </c>
      <c r="C25" s="8">
        <v>0</v>
      </c>
      <c r="D25" s="9">
        <v>0</v>
      </c>
      <c r="E25" s="9">
        <v>0.8</v>
      </c>
      <c r="F25" s="9">
        <v>0.7</v>
      </c>
      <c r="G25" s="9">
        <v>0.7</v>
      </c>
      <c r="H25" s="9">
        <v>0.7</v>
      </c>
      <c r="I25" s="337">
        <v>0.6</v>
      </c>
      <c r="J25" s="57"/>
      <c r="K25" s="58">
        <f t="shared" si="3"/>
        <v>0</v>
      </c>
      <c r="L25" s="58">
        <f t="shared" si="4"/>
        <v>0</v>
      </c>
      <c r="M25" s="58">
        <f t="shared" si="5"/>
        <v>0</v>
      </c>
      <c r="N25" s="58">
        <f t="shared" si="6"/>
        <v>5.0043788314775431E-4</v>
      </c>
      <c r="O25" s="58">
        <f t="shared" si="7"/>
        <v>4.4739869615237116E-4</v>
      </c>
      <c r="P25" s="58">
        <f t="shared" si="8"/>
        <v>4.7300493276572736E-4</v>
      </c>
      <c r="Q25" s="58">
        <f t="shared" si="9"/>
        <v>5.8323612731211462E-4</v>
      </c>
      <c r="R25" s="58">
        <f t="shared" si="10"/>
        <v>5.5172413793103451E-4</v>
      </c>
      <c r="S25" s="57"/>
      <c r="T25" s="58"/>
      <c r="U25" s="58"/>
      <c r="V25" s="58"/>
      <c r="W25" s="58"/>
      <c r="X25" s="58"/>
      <c r="Y25" s="58"/>
      <c r="Z25" s="58"/>
      <c r="AA25" s="58"/>
      <c r="AB25" s="58"/>
      <c r="AC25" s="58"/>
      <c r="AD25" s="58"/>
      <c r="AE25" s="57"/>
      <c r="AF25" s="57"/>
      <c r="AG25" s="113">
        <v>0</v>
      </c>
      <c r="AH25" s="150">
        <v>0</v>
      </c>
      <c r="AI25" s="113"/>
      <c r="AJ25" s="113">
        <v>0</v>
      </c>
      <c r="AK25" s="113">
        <v>0</v>
      </c>
    </row>
    <row r="26" spans="1:37" x14ac:dyDescent="0.25">
      <c r="A26" s="14" t="s">
        <v>70</v>
      </c>
      <c r="B26" s="118">
        <f t="shared" si="25"/>
        <v>0</v>
      </c>
      <c r="C26" s="8">
        <v>0</v>
      </c>
      <c r="D26" s="9">
        <v>0</v>
      </c>
      <c r="E26" s="9">
        <v>-0.8</v>
      </c>
      <c r="F26" s="9">
        <v>-0.7</v>
      </c>
      <c r="G26" s="9">
        <v>-0.7</v>
      </c>
      <c r="H26" s="9">
        <v>-0.7</v>
      </c>
      <c r="I26" s="337">
        <v>-0.6</v>
      </c>
      <c r="J26" s="57"/>
      <c r="K26" s="58">
        <f t="shared" si="3"/>
        <v>0</v>
      </c>
      <c r="L26" s="58">
        <f t="shared" si="4"/>
        <v>0</v>
      </c>
      <c r="M26" s="58">
        <f t="shared" si="5"/>
        <v>0</v>
      </c>
      <c r="N26" s="58">
        <f t="shared" si="6"/>
        <v>-5.0043788314775431E-4</v>
      </c>
      <c r="O26" s="58">
        <f t="shared" si="7"/>
        <v>-4.4739869615237116E-4</v>
      </c>
      <c r="P26" s="58">
        <f t="shared" si="8"/>
        <v>-4.7300493276572736E-4</v>
      </c>
      <c r="Q26" s="58">
        <f t="shared" si="9"/>
        <v>-5.8323612731211462E-4</v>
      </c>
      <c r="R26" s="58">
        <f t="shared" si="10"/>
        <v>-5.5172413793103451E-4</v>
      </c>
      <c r="S26" s="57"/>
      <c r="T26" s="58"/>
      <c r="U26" s="58"/>
      <c r="V26" s="58"/>
      <c r="W26" s="58"/>
      <c r="X26" s="58"/>
      <c r="Y26" s="58"/>
      <c r="Z26" s="58"/>
      <c r="AA26" s="58"/>
      <c r="AB26" s="58"/>
      <c r="AC26" s="58"/>
      <c r="AD26" s="58"/>
      <c r="AE26" s="57"/>
      <c r="AF26" s="57"/>
      <c r="AG26" s="113">
        <v>0</v>
      </c>
      <c r="AH26" s="150">
        <v>0</v>
      </c>
      <c r="AI26" s="113"/>
      <c r="AJ26" s="113">
        <v>0</v>
      </c>
      <c r="AK26" s="113">
        <v>0</v>
      </c>
    </row>
    <row r="27" spans="1:37" x14ac:dyDescent="0.25">
      <c r="A27" s="14" t="s">
        <v>46</v>
      </c>
      <c r="B27" s="120">
        <f t="shared" si="25"/>
        <v>0</v>
      </c>
      <c r="C27" s="23">
        <v>0</v>
      </c>
      <c r="D27" s="23">
        <v>0</v>
      </c>
      <c r="E27" s="23">
        <v>31.9</v>
      </c>
      <c r="F27" s="23">
        <v>0</v>
      </c>
      <c r="G27" s="23">
        <v>0</v>
      </c>
      <c r="H27" s="23">
        <v>0</v>
      </c>
      <c r="I27" s="23">
        <v>0</v>
      </c>
      <c r="J27" s="57"/>
      <c r="K27" s="59">
        <f t="shared" si="3"/>
        <v>0</v>
      </c>
      <c r="L27" s="59">
        <f t="shared" si="4"/>
        <v>0</v>
      </c>
      <c r="M27" s="59">
        <f t="shared" si="5"/>
        <v>0</v>
      </c>
      <c r="N27" s="59">
        <f t="shared" si="6"/>
        <v>1.9954960590516702E-2</v>
      </c>
      <c r="O27" s="59">
        <f t="shared" si="7"/>
        <v>0</v>
      </c>
      <c r="P27" s="59">
        <f t="shared" si="8"/>
        <v>0</v>
      </c>
      <c r="Q27" s="59">
        <f t="shared" si="9"/>
        <v>0</v>
      </c>
      <c r="R27" s="59">
        <f t="shared" si="10"/>
        <v>0</v>
      </c>
      <c r="S27" s="57"/>
      <c r="T27" s="59"/>
      <c r="U27" s="59"/>
      <c r="V27" s="59"/>
      <c r="W27" s="59"/>
      <c r="X27" s="59"/>
      <c r="Y27" s="59"/>
      <c r="Z27" s="59"/>
      <c r="AA27" s="59"/>
      <c r="AB27" s="59"/>
      <c r="AC27" s="59"/>
      <c r="AD27" s="59"/>
      <c r="AE27" s="57"/>
      <c r="AF27" s="73"/>
      <c r="AG27" s="113">
        <v>0</v>
      </c>
      <c r="AH27" s="150">
        <v>0</v>
      </c>
      <c r="AI27" s="113"/>
      <c r="AJ27" s="113">
        <v>0</v>
      </c>
      <c r="AK27" s="113">
        <v>0</v>
      </c>
    </row>
    <row r="28" spans="1:37" x14ac:dyDescent="0.25">
      <c r="A28" s="6" t="s">
        <v>47</v>
      </c>
      <c r="B28" s="25">
        <f>SUM(B19:B27)</f>
        <v>1173.2999999999997</v>
      </c>
      <c r="C28" s="25">
        <f>SUM(C19:C27)</f>
        <v>1074.5999999999999</v>
      </c>
      <c r="D28" s="25">
        <f t="shared" ref="D28:I28" si="28">SUM(D19:D27)</f>
        <v>1033.8</v>
      </c>
      <c r="E28" s="25">
        <f t="shared" si="28"/>
        <v>1034.1000000000001</v>
      </c>
      <c r="F28" s="25">
        <f t="shared" si="28"/>
        <v>1045.1000000000001</v>
      </c>
      <c r="G28" s="25">
        <f t="shared" si="28"/>
        <v>939.6</v>
      </c>
      <c r="H28" s="25">
        <f t="shared" si="28"/>
        <v>693.5</v>
      </c>
      <c r="I28" s="25">
        <f t="shared" si="28"/>
        <v>649.40000000000009</v>
      </c>
      <c r="J28" s="60"/>
      <c r="K28" s="18">
        <f t="shared" si="3"/>
        <v>0.61474379126060985</v>
      </c>
      <c r="L28" s="18">
        <f t="shared" si="4"/>
        <v>0.62790697674418594</v>
      </c>
      <c r="M28" s="18">
        <f t="shared" si="5"/>
        <v>0.62205908899452422</v>
      </c>
      <c r="N28" s="18">
        <f t="shared" si="6"/>
        <v>0.64687851870386603</v>
      </c>
      <c r="O28" s="18">
        <f t="shared" si="7"/>
        <v>0.6679662533554902</v>
      </c>
      <c r="P28" s="18">
        <f t="shared" si="8"/>
        <v>0.63490776403811067</v>
      </c>
      <c r="Q28" s="18">
        <f t="shared" si="9"/>
        <v>0.57782036327278785</v>
      </c>
      <c r="R28" s="18">
        <f t="shared" si="10"/>
        <v>0.59714942528735637</v>
      </c>
      <c r="S28" s="57"/>
      <c r="T28" s="59">
        <f t="shared" si="11"/>
        <v>8.7566342195442459E-2</v>
      </c>
      <c r="U28" s="18">
        <f>_xlfn.RRI(5.5,H28,B28)</f>
        <v>0.10032371597357947</v>
      </c>
      <c r="V28" s="18">
        <f>_xlfn.RRI(5,H28,C28)</f>
        <v>9.1541052851173532E-2</v>
      </c>
      <c r="W28" s="59">
        <f t="shared" si="12"/>
        <v>9.365086296954736E-2</v>
      </c>
      <c r="X28" s="18">
        <f t="shared" ref="X28:AD29" si="29">(B28-C28)/C28</f>
        <v>9.1848129536571579E-2</v>
      </c>
      <c r="Y28" s="18">
        <f t="shared" si="29"/>
        <v>3.9466047591410286E-2</v>
      </c>
      <c r="Z28" s="18">
        <f t="shared" si="29"/>
        <v>-2.9010733971587067E-4</v>
      </c>
      <c r="AA28" s="18">
        <f t="shared" si="29"/>
        <v>-1.0525308582910725E-2</v>
      </c>
      <c r="AB28" s="18">
        <f t="shared" si="29"/>
        <v>0.11228182205193711</v>
      </c>
      <c r="AC28" s="18">
        <f t="shared" si="29"/>
        <v>0.35486661860129781</v>
      </c>
      <c r="AD28" s="18">
        <f t="shared" si="29"/>
        <v>6.7908838928241302E-2</v>
      </c>
      <c r="AE28" s="57"/>
      <c r="AF28" s="73"/>
      <c r="AG28" s="114">
        <f>SUM(AG19:AG27)</f>
        <v>1102.2000000000003</v>
      </c>
      <c r="AH28" s="151">
        <f t="shared" ref="AH28:AK28" si="30">SUM(AH19:AH27)</f>
        <v>1090.0000000000002</v>
      </c>
      <c r="AI28" s="114"/>
      <c r="AJ28" s="114">
        <f t="shared" si="30"/>
        <v>1045.9000000000001</v>
      </c>
      <c r="AK28" s="114">
        <f t="shared" si="30"/>
        <v>1047.5999999999999</v>
      </c>
    </row>
    <row r="29" spans="1:37" ht="15.75" thickBot="1" x14ac:dyDescent="0.3">
      <c r="A29" s="6" t="s">
        <v>48</v>
      </c>
      <c r="B29" s="30">
        <f>SUM(B28,B14)</f>
        <v>1908.5999999999997</v>
      </c>
      <c r="C29" s="30">
        <f>SUM(C28,C14)</f>
        <v>1711.4</v>
      </c>
      <c r="D29" s="30">
        <f t="shared" ref="D29:I29" si="31">SUM(D28,D14)</f>
        <v>1661.9</v>
      </c>
      <c r="E29" s="30">
        <f t="shared" si="31"/>
        <v>1598.6</v>
      </c>
      <c r="F29" s="30">
        <f t="shared" si="31"/>
        <v>1564.6000000000001</v>
      </c>
      <c r="G29" s="30">
        <f t="shared" si="31"/>
        <v>1479.9</v>
      </c>
      <c r="H29" s="30">
        <f t="shared" si="31"/>
        <v>1200.2</v>
      </c>
      <c r="I29" s="338">
        <f t="shared" si="31"/>
        <v>1087.5</v>
      </c>
      <c r="J29" s="60"/>
      <c r="K29" s="19">
        <f t="shared" si="3"/>
        <v>1</v>
      </c>
      <c r="L29" s="19">
        <f t="shared" si="4"/>
        <v>1</v>
      </c>
      <c r="M29" s="19">
        <f t="shared" si="5"/>
        <v>1</v>
      </c>
      <c r="N29" s="19">
        <f t="shared" si="6"/>
        <v>1</v>
      </c>
      <c r="O29" s="19">
        <f t="shared" si="7"/>
        <v>1</v>
      </c>
      <c r="P29" s="19">
        <f t="shared" si="8"/>
        <v>1</v>
      </c>
      <c r="Q29" s="19">
        <f t="shared" si="9"/>
        <v>1</v>
      </c>
      <c r="R29" s="19">
        <f t="shared" si="10"/>
        <v>1</v>
      </c>
      <c r="S29" s="57"/>
      <c r="T29" s="211">
        <f t="shared" si="11"/>
        <v>7.8500565123124311E-2</v>
      </c>
      <c r="U29" s="19">
        <f>_xlfn.RRI(5.5,H29,B29)</f>
        <v>8.8001080689594335E-2</v>
      </c>
      <c r="V29" s="19">
        <f>_xlfn.RRI(5,H29,C29)</f>
        <v>7.3543337585615376E-2</v>
      </c>
      <c r="W29" s="211">
        <f t="shared" si="12"/>
        <v>8.5750099941783856E-2</v>
      </c>
      <c r="X29" s="19">
        <f t="shared" si="29"/>
        <v>0.1152272992871331</v>
      </c>
      <c r="Y29" s="19">
        <f t="shared" si="29"/>
        <v>2.9785185630904387E-2</v>
      </c>
      <c r="Z29" s="19">
        <f t="shared" si="29"/>
        <v>3.9597147504066177E-2</v>
      </c>
      <c r="AA29" s="19">
        <f t="shared" si="29"/>
        <v>2.1730793813115025E-2</v>
      </c>
      <c r="AB29" s="19">
        <f t="shared" si="29"/>
        <v>5.7233596864653041E-2</v>
      </c>
      <c r="AC29" s="19">
        <f t="shared" si="29"/>
        <v>0.23304449258456927</v>
      </c>
      <c r="AD29" s="19">
        <f t="shared" si="29"/>
        <v>0.10363218390804602</v>
      </c>
      <c r="AE29" s="57"/>
      <c r="AF29" s="172"/>
      <c r="AG29" s="117">
        <f>SUM(AG28,AG14)</f>
        <v>1815.7000000000003</v>
      </c>
      <c r="AH29" s="152">
        <f t="shared" ref="AH29:AK29" si="32">SUM(AH28,AH14)</f>
        <v>1800.6000000000004</v>
      </c>
      <c r="AI29" s="117"/>
      <c r="AJ29" s="117">
        <f t="shared" si="32"/>
        <v>1687.3000000000002</v>
      </c>
      <c r="AK29" s="117">
        <f t="shared" si="32"/>
        <v>1731.8</v>
      </c>
    </row>
    <row r="30" spans="1:37" ht="15.75" thickTop="1" x14ac:dyDescent="0.25">
      <c r="A30" s="6" t="s">
        <v>80</v>
      </c>
      <c r="B30" s="119"/>
      <c r="C30" s="31"/>
      <c r="D30" s="31"/>
      <c r="E30" s="31"/>
      <c r="F30" s="31"/>
      <c r="G30" s="31"/>
      <c r="H30" s="31"/>
      <c r="I30" s="333"/>
      <c r="J30" s="60"/>
      <c r="K30" s="32"/>
      <c r="L30" s="32"/>
      <c r="M30" s="32"/>
      <c r="N30" s="32"/>
      <c r="O30" s="32"/>
      <c r="P30" s="32"/>
      <c r="Q30" s="32"/>
      <c r="R30" s="58"/>
      <c r="S30" s="57"/>
      <c r="T30" s="58"/>
      <c r="U30" s="58"/>
      <c r="V30" s="58"/>
      <c r="W30" s="58"/>
      <c r="X30" s="32"/>
      <c r="Y30" s="32"/>
      <c r="Z30" s="32"/>
      <c r="AA30" s="32"/>
      <c r="AB30" s="32"/>
      <c r="AC30" s="32"/>
      <c r="AD30" s="32"/>
      <c r="AE30" s="57"/>
      <c r="AF30" s="57"/>
      <c r="AG30" s="56"/>
      <c r="AH30" s="147"/>
      <c r="AI30" s="56"/>
      <c r="AJ30" s="56"/>
      <c r="AK30" s="56"/>
    </row>
    <row r="31" spans="1:37" x14ac:dyDescent="0.25">
      <c r="A31" s="14" t="s">
        <v>49</v>
      </c>
      <c r="B31" s="118">
        <f>AG31+AH31+C31-(AJ31+AK31)</f>
        <v>234.10000000000002</v>
      </c>
      <c r="C31" s="29">
        <v>207.4</v>
      </c>
      <c r="D31" s="29">
        <v>171.9</v>
      </c>
      <c r="E31" s="29">
        <v>154.1</v>
      </c>
      <c r="F31" s="29">
        <v>169.9</v>
      </c>
      <c r="G31" s="29">
        <v>177.2</v>
      </c>
      <c r="H31" s="29">
        <v>141.9</v>
      </c>
      <c r="I31" s="336">
        <v>144.19999999999999</v>
      </c>
      <c r="J31" s="57"/>
      <c r="K31" s="58">
        <f t="shared" si="3"/>
        <v>0.12265534947081634</v>
      </c>
      <c r="L31" s="58">
        <f t="shared" si="4"/>
        <v>0.12118733200888161</v>
      </c>
      <c r="M31" s="58">
        <f t="shared" si="5"/>
        <v>0.10343582646368614</v>
      </c>
      <c r="N31" s="58">
        <f t="shared" si="6"/>
        <v>9.6396847241336167E-2</v>
      </c>
      <c r="O31" s="58">
        <f t="shared" si="7"/>
        <v>0.10859005496612552</v>
      </c>
      <c r="P31" s="58">
        <f t="shared" si="8"/>
        <v>0.11973782012298127</v>
      </c>
      <c r="Q31" s="58">
        <f t="shared" si="9"/>
        <v>0.11823029495084153</v>
      </c>
      <c r="R31" s="58">
        <f t="shared" si="10"/>
        <v>0.13259770114942529</v>
      </c>
      <c r="S31" s="57"/>
      <c r="T31" s="58">
        <f t="shared" si="11"/>
        <v>6.2446936541567633E-2</v>
      </c>
      <c r="U31" s="58">
        <f>_xlfn.RRI(5.5,H31,B31)</f>
        <v>9.5294055408663203E-2</v>
      </c>
      <c r="V31" s="58">
        <f>_xlfn.RRI(5,H31,C31)</f>
        <v>7.88604469031986E-2</v>
      </c>
      <c r="W31" s="58">
        <f t="shared" si="12"/>
        <v>7.8483709373032423E-2</v>
      </c>
      <c r="X31" s="58">
        <f t="shared" ref="X31:AD32" si="33">(B31-C31)/C31</f>
        <v>0.12873674059787857</v>
      </c>
      <c r="Y31" s="58">
        <f t="shared" si="33"/>
        <v>0.20651541593949971</v>
      </c>
      <c r="Z31" s="58">
        <f t="shared" si="33"/>
        <v>0.11550940947436737</v>
      </c>
      <c r="AA31" s="58">
        <f t="shared" si="33"/>
        <v>-9.2995879929370279E-2</v>
      </c>
      <c r="AB31" s="58">
        <f t="shared" si="33"/>
        <v>-4.1196388261850923E-2</v>
      </c>
      <c r="AC31" s="58">
        <f t="shared" si="33"/>
        <v>0.24876673713883002</v>
      </c>
      <c r="AD31" s="58">
        <f t="shared" si="33"/>
        <v>-1.5950069348127482E-2</v>
      </c>
      <c r="AE31" s="57"/>
      <c r="AF31" s="57"/>
      <c r="AG31" s="8">
        <v>195</v>
      </c>
      <c r="AH31" s="144">
        <v>219.2</v>
      </c>
      <c r="AI31" s="135"/>
      <c r="AJ31" s="8">
        <v>197.9</v>
      </c>
      <c r="AK31" s="8">
        <v>189.6</v>
      </c>
    </row>
    <row r="32" spans="1:37" x14ac:dyDescent="0.25">
      <c r="A32" s="14" t="s">
        <v>50</v>
      </c>
      <c r="B32" s="118">
        <f>AG32+AH32+C32-(AJ32+AK32)</f>
        <v>72.099999999999994</v>
      </c>
      <c r="C32" s="8">
        <v>96.1</v>
      </c>
      <c r="D32" s="8">
        <v>90.5</v>
      </c>
      <c r="E32" s="8">
        <v>106.7</v>
      </c>
      <c r="F32" s="8">
        <v>94</v>
      </c>
      <c r="G32" s="8">
        <v>109.9</v>
      </c>
      <c r="H32" s="8">
        <v>127.9</v>
      </c>
      <c r="I32" s="336">
        <v>106.3</v>
      </c>
      <c r="J32" s="57"/>
      <c r="K32" s="58">
        <f t="shared" si="3"/>
        <v>3.7776380593104897E-2</v>
      </c>
      <c r="L32" s="58">
        <f t="shared" si="4"/>
        <v>5.6152857309804835E-2</v>
      </c>
      <c r="M32" s="58">
        <f t="shared" si="5"/>
        <v>5.4455743426198924E-2</v>
      </c>
      <c r="N32" s="58">
        <f t="shared" si="6"/>
        <v>6.6745902664831727E-2</v>
      </c>
      <c r="O32" s="58">
        <f t="shared" si="7"/>
        <v>6.0079253483318412E-2</v>
      </c>
      <c r="P32" s="58">
        <f t="shared" si="8"/>
        <v>7.4261774444219206E-2</v>
      </c>
      <c r="Q32" s="58">
        <f t="shared" si="9"/>
        <v>0.10656557240459924</v>
      </c>
      <c r="R32" s="58">
        <f t="shared" si="10"/>
        <v>9.7747126436781601E-2</v>
      </c>
      <c r="S32" s="57"/>
      <c r="T32" s="58">
        <f t="shared" si="11"/>
        <v>-1.6672117509694329E-2</v>
      </c>
      <c r="U32" s="58">
        <f>_xlfn.RRI(5.5,H32,B32)</f>
        <v>-9.8970437989758242E-2</v>
      </c>
      <c r="V32" s="58">
        <f>_xlfn.RRI(5,H32,C32)</f>
        <v>-5.5568272113828976E-2</v>
      </c>
      <c r="W32" s="58">
        <f t="shared" si="12"/>
        <v>-4.0970857945056553E-2</v>
      </c>
      <c r="X32" s="58">
        <f t="shared" si="33"/>
        <v>-0.24973985431841833</v>
      </c>
      <c r="Y32" s="58">
        <f t="shared" si="33"/>
        <v>6.1878453038673974E-2</v>
      </c>
      <c r="Z32" s="58">
        <f t="shared" si="33"/>
        <v>-0.15182755388940958</v>
      </c>
      <c r="AA32" s="58">
        <f t="shared" si="33"/>
        <v>0.13510638297872343</v>
      </c>
      <c r="AB32" s="58">
        <f t="shared" si="33"/>
        <v>-0.14467697907188357</v>
      </c>
      <c r="AC32" s="58">
        <f t="shared" si="33"/>
        <v>-0.14073494917904614</v>
      </c>
      <c r="AD32" s="58">
        <f t="shared" si="33"/>
        <v>0.20319849482596433</v>
      </c>
      <c r="AE32" s="57"/>
      <c r="AF32" s="57"/>
      <c r="AG32" s="8">
        <v>73.400000000000006</v>
      </c>
      <c r="AH32" s="144">
        <v>75.900000000000006</v>
      </c>
      <c r="AI32" s="135"/>
      <c r="AJ32" s="8">
        <v>84.5</v>
      </c>
      <c r="AK32" s="8">
        <v>88.8</v>
      </c>
    </row>
    <row r="33" spans="1:37" x14ac:dyDescent="0.25">
      <c r="A33" s="14" t="s">
        <v>51</v>
      </c>
      <c r="B33" s="118">
        <f>AG33+AH33+C33-(AJ33+AK33)</f>
        <v>20.799999999999997</v>
      </c>
      <c r="C33" s="8">
        <v>20.5</v>
      </c>
      <c r="D33" s="8">
        <v>21.3</v>
      </c>
      <c r="E33" s="8">
        <v>21.2</v>
      </c>
      <c r="F33" s="8">
        <v>22.1</v>
      </c>
      <c r="G33" s="8">
        <v>0</v>
      </c>
      <c r="H33" s="8">
        <v>0</v>
      </c>
      <c r="I33" s="8">
        <v>0</v>
      </c>
      <c r="J33" s="57"/>
      <c r="K33" s="58">
        <f t="shared" si="3"/>
        <v>1.089804044849628E-2</v>
      </c>
      <c r="L33" s="58">
        <f t="shared" si="4"/>
        <v>1.1978497136847024E-2</v>
      </c>
      <c r="M33" s="58">
        <f t="shared" si="5"/>
        <v>1.2816655635116433E-2</v>
      </c>
      <c r="N33" s="58">
        <f t="shared" si="6"/>
        <v>1.3261603903415489E-2</v>
      </c>
      <c r="O33" s="58">
        <f t="shared" si="7"/>
        <v>1.4125015978524863E-2</v>
      </c>
      <c r="P33" s="58">
        <f t="shared" si="8"/>
        <v>0</v>
      </c>
      <c r="Q33" s="58">
        <f t="shared" si="9"/>
        <v>0</v>
      </c>
      <c r="R33" s="58">
        <f t="shared" si="10"/>
        <v>0</v>
      </c>
      <c r="S33" s="57"/>
      <c r="T33" s="58"/>
      <c r="U33" s="58"/>
      <c r="V33" s="58"/>
      <c r="W33" s="58"/>
      <c r="X33" s="58"/>
      <c r="Y33" s="58"/>
      <c r="Z33" s="58"/>
      <c r="AA33" s="58"/>
      <c r="AB33" s="58"/>
      <c r="AC33" s="58"/>
      <c r="AD33" s="58"/>
      <c r="AE33" s="57"/>
      <c r="AF33" s="57"/>
      <c r="AG33" s="8">
        <v>21.7</v>
      </c>
      <c r="AH33" s="144">
        <v>20.9</v>
      </c>
      <c r="AI33" s="135"/>
      <c r="AJ33" s="8">
        <v>20.9</v>
      </c>
      <c r="AK33" s="8">
        <v>21.4</v>
      </c>
    </row>
    <row r="34" spans="1:37" x14ac:dyDescent="0.25">
      <c r="A34" s="14" t="s">
        <v>52</v>
      </c>
      <c r="B34" s="120">
        <f>AG34+AH34+C34-(AJ34+AK34)</f>
        <v>4</v>
      </c>
      <c r="C34" s="23">
        <v>0</v>
      </c>
      <c r="D34" s="23">
        <v>2</v>
      </c>
      <c r="E34" s="23">
        <v>10.1</v>
      </c>
      <c r="F34" s="23">
        <v>10.199999999999999</v>
      </c>
      <c r="G34" s="23">
        <v>11.6</v>
      </c>
      <c r="H34" s="23">
        <v>11.4</v>
      </c>
      <c r="I34" s="341">
        <v>42.6</v>
      </c>
      <c r="J34" s="57"/>
      <c r="K34" s="59">
        <f t="shared" si="3"/>
        <v>2.0957770093262078E-3</v>
      </c>
      <c r="L34" s="59">
        <f t="shared" si="4"/>
        <v>0</v>
      </c>
      <c r="M34" s="59">
        <f t="shared" si="5"/>
        <v>1.2034418436729045E-3</v>
      </c>
      <c r="N34" s="59">
        <f t="shared" si="6"/>
        <v>6.3180282747403978E-3</v>
      </c>
      <c r="O34" s="59">
        <f t="shared" si="7"/>
        <v>6.519238143934551E-3</v>
      </c>
      <c r="P34" s="59">
        <f t="shared" si="8"/>
        <v>7.8383674572606258E-3</v>
      </c>
      <c r="Q34" s="59">
        <f t="shared" si="9"/>
        <v>9.4984169305115818E-3</v>
      </c>
      <c r="R34" s="59">
        <f t="shared" si="10"/>
        <v>3.9172413793103447E-2</v>
      </c>
      <c r="S34" s="57"/>
      <c r="T34" s="59"/>
      <c r="U34" s="59"/>
      <c r="V34" s="59"/>
      <c r="W34" s="59"/>
      <c r="X34" s="59"/>
      <c r="Y34" s="59"/>
      <c r="Z34" s="59"/>
      <c r="AA34" s="59"/>
      <c r="AB34" s="59"/>
      <c r="AC34" s="59"/>
      <c r="AD34" s="59"/>
      <c r="AE34" s="57"/>
      <c r="AF34" s="73"/>
      <c r="AG34" s="23">
        <v>4</v>
      </c>
      <c r="AH34" s="146">
        <v>0</v>
      </c>
      <c r="AI34" s="136"/>
      <c r="AJ34" s="23">
        <v>0</v>
      </c>
      <c r="AK34" s="23">
        <v>0</v>
      </c>
    </row>
    <row r="35" spans="1:37" x14ac:dyDescent="0.25">
      <c r="A35" s="6" t="s">
        <v>53</v>
      </c>
      <c r="B35" s="24">
        <f>SUM(B31:B34)</f>
        <v>331.00000000000006</v>
      </c>
      <c r="C35" s="24">
        <f>SUM(C31:C34)</f>
        <v>324</v>
      </c>
      <c r="D35" s="24">
        <f t="shared" ref="D35:I35" si="34">SUM(D31:D34)</f>
        <v>285.7</v>
      </c>
      <c r="E35" s="24">
        <f t="shared" si="34"/>
        <v>292.10000000000002</v>
      </c>
      <c r="F35" s="24">
        <f t="shared" si="34"/>
        <v>296.2</v>
      </c>
      <c r="G35" s="24">
        <f t="shared" si="34"/>
        <v>298.70000000000005</v>
      </c>
      <c r="H35" s="24">
        <f t="shared" si="34"/>
        <v>281.2</v>
      </c>
      <c r="I35" s="24">
        <f t="shared" si="34"/>
        <v>293.10000000000002</v>
      </c>
      <c r="J35" s="57"/>
      <c r="K35" s="20">
        <f t="shared" si="3"/>
        <v>0.17342554752174374</v>
      </c>
      <c r="L35" s="20">
        <f t="shared" si="4"/>
        <v>0.18931868645553346</v>
      </c>
      <c r="M35" s="20">
        <f t="shared" si="5"/>
        <v>0.17191166736867439</v>
      </c>
      <c r="N35" s="20">
        <f t="shared" si="6"/>
        <v>0.18272238208432381</v>
      </c>
      <c r="O35" s="20">
        <f t="shared" si="7"/>
        <v>0.18931356257190335</v>
      </c>
      <c r="P35" s="20">
        <f t="shared" si="8"/>
        <v>0.20183796202446114</v>
      </c>
      <c r="Q35" s="20">
        <f t="shared" si="9"/>
        <v>0.23429428428595234</v>
      </c>
      <c r="R35" s="20">
        <f t="shared" si="10"/>
        <v>0.26951724137931038</v>
      </c>
      <c r="S35" s="57"/>
      <c r="T35" s="58">
        <f t="shared" si="11"/>
        <v>1.6845252456692439E-2</v>
      </c>
      <c r="U35" s="20">
        <f>_xlfn.RRI(5.5,H35,B35)</f>
        <v>3.0089670667710289E-2</v>
      </c>
      <c r="V35" s="20">
        <f>_xlfn.RRI(5,H35,C35)</f>
        <v>2.8740739400860749E-2</v>
      </c>
      <c r="W35" s="58">
        <f t="shared" si="12"/>
        <v>1.9024649203552253E-2</v>
      </c>
      <c r="X35" s="20">
        <f t="shared" ref="X35:AD38" si="35">(B35-C35)/C35</f>
        <v>2.1604938271605114E-2</v>
      </c>
      <c r="Y35" s="20">
        <f t="shared" si="35"/>
        <v>0.13405670283514179</v>
      </c>
      <c r="Z35" s="20">
        <f t="shared" si="35"/>
        <v>-2.1910304690174714E-2</v>
      </c>
      <c r="AA35" s="20">
        <f t="shared" si="35"/>
        <v>-1.3841998649560993E-2</v>
      </c>
      <c r="AB35" s="20">
        <f t="shared" si="35"/>
        <v>-8.3696016069636971E-3</v>
      </c>
      <c r="AC35" s="20">
        <f t="shared" si="35"/>
        <v>6.2233285917496647E-2</v>
      </c>
      <c r="AD35" s="20">
        <f t="shared" si="35"/>
        <v>-4.0600477652678379E-2</v>
      </c>
      <c r="AE35" s="57"/>
      <c r="AF35" s="57"/>
      <c r="AG35" s="56">
        <f>SUM(AG31:AG34)</f>
        <v>294.09999999999997</v>
      </c>
      <c r="AH35" s="147">
        <f t="shared" ref="AH35:AK35" si="36">SUM(AH31:AH34)</f>
        <v>316</v>
      </c>
      <c r="AI35" s="56"/>
      <c r="AJ35" s="56">
        <f t="shared" si="36"/>
        <v>303.29999999999995</v>
      </c>
      <c r="AK35" s="56">
        <f t="shared" si="36"/>
        <v>299.79999999999995</v>
      </c>
    </row>
    <row r="36" spans="1:37" x14ac:dyDescent="0.25">
      <c r="A36" s="14" t="s">
        <v>54</v>
      </c>
      <c r="B36" s="118">
        <f>AG36+AH36+C36-(AJ36+AK36)</f>
        <v>937.80000000000018</v>
      </c>
      <c r="C36" s="8">
        <v>817.7</v>
      </c>
      <c r="D36" s="8">
        <v>781.5</v>
      </c>
      <c r="E36" s="8">
        <v>765.8</v>
      </c>
      <c r="F36" s="8">
        <v>891</v>
      </c>
      <c r="G36" s="8">
        <v>978.8</v>
      </c>
      <c r="H36" s="8">
        <v>665.6</v>
      </c>
      <c r="I36" s="336">
        <v>619.79999999999995</v>
      </c>
      <c r="J36" s="57"/>
      <c r="K36" s="58">
        <f t="shared" si="3"/>
        <v>0.49135491983652957</v>
      </c>
      <c r="L36" s="58">
        <f t="shared" si="4"/>
        <v>0.47779595652682016</v>
      </c>
      <c r="M36" s="58">
        <f t="shared" si="5"/>
        <v>0.47024490041518741</v>
      </c>
      <c r="N36" s="58">
        <f t="shared" si="6"/>
        <v>0.4790441636431878</v>
      </c>
      <c r="O36" s="58">
        <f t="shared" si="7"/>
        <v>0.5694746261025182</v>
      </c>
      <c r="P36" s="58">
        <f t="shared" si="8"/>
        <v>0.66139604027299137</v>
      </c>
      <c r="Q36" s="58">
        <f t="shared" si="9"/>
        <v>0.55457423762706215</v>
      </c>
      <c r="R36" s="58">
        <f t="shared" si="10"/>
        <v>0.56993103448275861</v>
      </c>
      <c r="S36" s="57"/>
      <c r="T36" s="58">
        <f t="shared" si="11"/>
        <v>4.7266161067514467E-2</v>
      </c>
      <c r="U36" s="58">
        <f>_xlfn.RRI(5.5,H36,B36)</f>
        <v>6.4319860757044989E-2</v>
      </c>
      <c r="V36" s="58">
        <f>_xlfn.RRI(5,H36,C36)</f>
        <v>4.2020197282795158E-2</v>
      </c>
      <c r="W36" s="58">
        <f t="shared" si="12"/>
        <v>7.5418247974232341E-2</v>
      </c>
      <c r="X36" s="58">
        <f t="shared" si="35"/>
        <v>0.14687538216949997</v>
      </c>
      <c r="Y36" s="58">
        <f t="shared" si="35"/>
        <v>4.6321177223288608E-2</v>
      </c>
      <c r="Z36" s="58">
        <f t="shared" si="35"/>
        <v>2.0501436406372482E-2</v>
      </c>
      <c r="AA36" s="58">
        <f t="shared" si="35"/>
        <v>-0.14051627384960724</v>
      </c>
      <c r="AB36" s="58">
        <f t="shared" si="35"/>
        <v>-8.9701675521046131E-2</v>
      </c>
      <c r="AC36" s="58">
        <f t="shared" si="35"/>
        <v>0.47055288461538447</v>
      </c>
      <c r="AD36" s="58">
        <f t="shared" si="35"/>
        <v>7.3894804775734221E-2</v>
      </c>
      <c r="AE36" s="57"/>
      <c r="AF36" s="57"/>
      <c r="AG36" s="8">
        <v>902.2</v>
      </c>
      <c r="AH36" s="144">
        <v>881</v>
      </c>
      <c r="AI36" s="135"/>
      <c r="AJ36" s="8">
        <v>833.7</v>
      </c>
      <c r="AK36" s="8">
        <v>829.4</v>
      </c>
    </row>
    <row r="37" spans="1:37" x14ac:dyDescent="0.25">
      <c r="A37" s="14" t="s">
        <v>55</v>
      </c>
      <c r="B37" s="118">
        <f>AG37+AH37+C37-(AJ37+AK37)</f>
        <v>29.600000000000009</v>
      </c>
      <c r="C37" s="8">
        <v>34.700000000000003</v>
      </c>
      <c r="D37" s="8">
        <v>38.6</v>
      </c>
      <c r="E37" s="8">
        <v>46.2</v>
      </c>
      <c r="F37" s="8">
        <v>46.6</v>
      </c>
      <c r="G37" s="8">
        <v>48.2</v>
      </c>
      <c r="H37" s="8">
        <v>46.3</v>
      </c>
      <c r="I37" s="336">
        <v>51.6</v>
      </c>
      <c r="J37" s="57"/>
      <c r="K37" s="58">
        <f t="shared" si="3"/>
        <v>1.5508749869013945E-2</v>
      </c>
      <c r="L37" s="58">
        <f t="shared" si="4"/>
        <v>2.0275797592614234E-2</v>
      </c>
      <c r="M37" s="58">
        <f t="shared" si="5"/>
        <v>2.3226427582887055E-2</v>
      </c>
      <c r="N37" s="58">
        <f t="shared" si="6"/>
        <v>2.8900287751782813E-2</v>
      </c>
      <c r="O37" s="58">
        <f t="shared" si="7"/>
        <v>2.9783970343857852E-2</v>
      </c>
      <c r="P37" s="58">
        <f t="shared" si="8"/>
        <v>3.2569768227582944E-2</v>
      </c>
      <c r="Q37" s="58">
        <f t="shared" si="9"/>
        <v>3.8576903849358433E-2</v>
      </c>
      <c r="R37" s="58">
        <f t="shared" si="10"/>
        <v>4.744827586206897E-2</v>
      </c>
      <c r="S37" s="57"/>
      <c r="T37" s="58">
        <f t="shared" si="11"/>
        <v>-6.3991134557174756E-2</v>
      </c>
      <c r="U37" s="58">
        <f>_xlfn.RRI(5.5,H37,B37)</f>
        <v>-7.811939879878127E-2</v>
      </c>
      <c r="V37" s="58">
        <f>_xlfn.RRI(5,H37,C37)</f>
        <v>-5.6048465595558539E-2</v>
      </c>
      <c r="W37" s="58">
        <f t="shared" si="12"/>
        <v>-7.3709667185534802E-2</v>
      </c>
      <c r="X37" s="58">
        <f t="shared" si="35"/>
        <v>-0.1469740634005762</v>
      </c>
      <c r="Y37" s="58">
        <f t="shared" si="35"/>
        <v>-0.10103626943005177</v>
      </c>
      <c r="Z37" s="58">
        <f t="shared" si="35"/>
        <v>-0.16450216450216451</v>
      </c>
      <c r="AA37" s="58">
        <f t="shared" si="35"/>
        <v>-8.5836909871244323E-3</v>
      </c>
      <c r="AB37" s="58">
        <f t="shared" si="35"/>
        <v>-3.3195020746887995E-2</v>
      </c>
      <c r="AC37" s="58">
        <f t="shared" si="35"/>
        <v>4.1036717062635113E-2</v>
      </c>
      <c r="AD37" s="58">
        <f t="shared" si="35"/>
        <v>-0.10271317829457373</v>
      </c>
      <c r="AE37" s="57"/>
      <c r="AF37" s="57"/>
      <c r="AG37" s="8">
        <v>35.299999999999997</v>
      </c>
      <c r="AH37" s="144">
        <v>35.1</v>
      </c>
      <c r="AI37" s="135"/>
      <c r="AJ37" s="8">
        <v>37.4</v>
      </c>
      <c r="AK37" s="8">
        <v>38.1</v>
      </c>
    </row>
    <row r="38" spans="1:37" x14ac:dyDescent="0.25">
      <c r="A38" s="14" t="s">
        <v>56</v>
      </c>
      <c r="B38" s="118">
        <f>AG38+AH38+C38-(AJ38+AK38)</f>
        <v>10.600000000000001</v>
      </c>
      <c r="C38" s="8">
        <v>21.5</v>
      </c>
      <c r="D38" s="8">
        <v>33.4</v>
      </c>
      <c r="E38" s="8">
        <v>21.3</v>
      </c>
      <c r="F38" s="8">
        <v>7.4</v>
      </c>
      <c r="G38" s="8">
        <v>6.8</v>
      </c>
      <c r="H38" s="8">
        <v>7.3</v>
      </c>
      <c r="I38" s="336">
        <v>6.3</v>
      </c>
      <c r="J38" s="57"/>
      <c r="K38" s="58">
        <f t="shared" si="3"/>
        <v>5.5538090747144523E-3</v>
      </c>
      <c r="L38" s="58">
        <f t="shared" si="4"/>
        <v>1.2562814070351758E-2</v>
      </c>
      <c r="M38" s="58">
        <f t="shared" si="5"/>
        <v>2.0097478789337504E-2</v>
      </c>
      <c r="N38" s="58">
        <f t="shared" si="6"/>
        <v>1.332415863880896E-2</v>
      </c>
      <c r="O38" s="58">
        <f t="shared" si="7"/>
        <v>4.7296433593250666E-3</v>
      </c>
      <c r="P38" s="58">
        <f t="shared" si="8"/>
        <v>4.5949050611527806E-3</v>
      </c>
      <c r="Q38" s="58">
        <f t="shared" si="9"/>
        <v>6.0823196133977667E-3</v>
      </c>
      <c r="R38" s="58">
        <f t="shared" si="10"/>
        <v>5.7931034482758617E-3</v>
      </c>
      <c r="S38" s="57"/>
      <c r="T38" s="58">
        <f t="shared" si="11"/>
        <v>0.22701437794007195</v>
      </c>
      <c r="U38" s="58">
        <f>_xlfn.RRI(5.5,H38,B38)</f>
        <v>7.0166755247763835E-2</v>
      </c>
      <c r="V38" s="58">
        <f>_xlfn.RRI(5,H38,C38)</f>
        <v>0.24114670873730493</v>
      </c>
      <c r="W38" s="58">
        <f t="shared" si="12"/>
        <v>0.25166594693948541</v>
      </c>
      <c r="X38" s="58">
        <f t="shared" si="35"/>
        <v>-0.50697674418604644</v>
      </c>
      <c r="Y38" s="58">
        <f t="shared" si="35"/>
        <v>-0.35628742514970058</v>
      </c>
      <c r="Z38" s="58">
        <f t="shared" si="35"/>
        <v>0.56807511737089189</v>
      </c>
      <c r="AA38" s="58">
        <f t="shared" si="35"/>
        <v>1.8783783783783783</v>
      </c>
      <c r="AB38" s="58">
        <f t="shared" si="35"/>
        <v>8.8235294117647134E-2</v>
      </c>
      <c r="AC38" s="58">
        <f t="shared" si="35"/>
        <v>-6.8493150684931503E-2</v>
      </c>
      <c r="AD38" s="58">
        <f t="shared" si="35"/>
        <v>0.15873015873015872</v>
      </c>
      <c r="AE38" s="57"/>
      <c r="AF38" s="57"/>
      <c r="AG38" s="8">
        <v>22</v>
      </c>
      <c r="AH38" s="144">
        <v>23.2</v>
      </c>
      <c r="AI38" s="135"/>
      <c r="AJ38" s="8">
        <v>24.1</v>
      </c>
      <c r="AK38" s="8">
        <v>32</v>
      </c>
    </row>
    <row r="39" spans="1:37" x14ac:dyDescent="0.25">
      <c r="A39" s="14" t="s">
        <v>57</v>
      </c>
      <c r="B39" s="118">
        <f>AG39+AH39+C39-(AJ39+AK39)</f>
        <v>60.299999999999983</v>
      </c>
      <c r="C39" s="8">
        <v>66.3</v>
      </c>
      <c r="D39" s="8">
        <v>70.3</v>
      </c>
      <c r="E39" s="8">
        <v>81.3</v>
      </c>
      <c r="F39" s="8">
        <v>92.6</v>
      </c>
      <c r="G39" s="8">
        <v>0</v>
      </c>
      <c r="H39" s="8">
        <v>0</v>
      </c>
      <c r="I39" s="336">
        <v>0</v>
      </c>
      <c r="J39" s="57"/>
      <c r="K39" s="58">
        <f t="shared" si="3"/>
        <v>3.159383841559258E-2</v>
      </c>
      <c r="L39" s="58">
        <f t="shared" si="4"/>
        <v>3.8740212691363789E-2</v>
      </c>
      <c r="M39" s="58">
        <f t="shared" si="5"/>
        <v>4.2300980805102591E-2</v>
      </c>
      <c r="N39" s="58">
        <f t="shared" si="6"/>
        <v>5.0856999874890528E-2</v>
      </c>
      <c r="O39" s="58">
        <f t="shared" si="7"/>
        <v>5.9184456091013672E-2</v>
      </c>
      <c r="P39" s="58">
        <f t="shared" si="8"/>
        <v>0</v>
      </c>
      <c r="Q39" s="58">
        <f t="shared" si="9"/>
        <v>0</v>
      </c>
      <c r="R39" s="58">
        <f t="shared" si="10"/>
        <v>0</v>
      </c>
      <c r="S39" s="57"/>
      <c r="T39" s="58"/>
      <c r="U39" s="58"/>
      <c r="V39" s="58"/>
      <c r="W39" s="58"/>
      <c r="X39" s="58"/>
      <c r="Y39" s="58"/>
      <c r="Z39" s="58"/>
      <c r="AA39" s="58"/>
      <c r="AB39" s="58"/>
      <c r="AC39" s="58"/>
      <c r="AD39" s="58"/>
      <c r="AE39" s="57"/>
      <c r="AF39" s="57"/>
      <c r="AG39" s="8">
        <v>62.5</v>
      </c>
      <c r="AH39" s="144">
        <v>65.400000000000006</v>
      </c>
      <c r="AI39" s="135"/>
      <c r="AJ39" s="8">
        <v>67</v>
      </c>
      <c r="AK39" s="8">
        <v>66.900000000000006</v>
      </c>
    </row>
    <row r="40" spans="1:37" x14ac:dyDescent="0.25">
      <c r="A40" s="14" t="s">
        <v>58</v>
      </c>
      <c r="B40" s="120">
        <f>AG40+AH40+C40-(AJ40+AK40)</f>
        <v>46.999999999999986</v>
      </c>
      <c r="C40" s="23">
        <v>44.2</v>
      </c>
      <c r="D40" s="23">
        <v>41.6</v>
      </c>
      <c r="E40" s="23">
        <v>45.9</v>
      </c>
      <c r="F40" s="23">
        <v>72.099999999999994</v>
      </c>
      <c r="G40" s="23">
        <v>80.400000000000006</v>
      </c>
      <c r="H40" s="23">
        <v>94</v>
      </c>
      <c r="I40" s="336">
        <v>82.1</v>
      </c>
      <c r="J40" s="57"/>
      <c r="K40" s="59">
        <f t="shared" si="3"/>
        <v>2.4625379859582935E-2</v>
      </c>
      <c r="L40" s="59">
        <f t="shared" si="4"/>
        <v>2.5826808460909196E-2</v>
      </c>
      <c r="M40" s="59">
        <f t="shared" si="5"/>
        <v>2.5031590348396412E-2</v>
      </c>
      <c r="N40" s="59">
        <f t="shared" si="6"/>
        <v>2.8712623545602403E-2</v>
      </c>
      <c r="O40" s="59">
        <f t="shared" si="7"/>
        <v>4.6082065703694226E-2</v>
      </c>
      <c r="P40" s="59">
        <f t="shared" si="8"/>
        <v>5.4327995134806406E-2</v>
      </c>
      <c r="Q40" s="59">
        <f t="shared" si="9"/>
        <v>7.8320279953341107E-2</v>
      </c>
      <c r="R40" s="59">
        <f t="shared" si="10"/>
        <v>7.549425287356322E-2</v>
      </c>
      <c r="S40" s="57"/>
      <c r="T40" s="59">
        <f t="shared" si="11"/>
        <v>-9.8055422267187442E-2</v>
      </c>
      <c r="U40" s="59">
        <f>_xlfn.RRI(5.5,H40,B40)</f>
        <v>-0.11840874500397891</v>
      </c>
      <c r="V40" s="59">
        <f>_xlfn.RRI(5,H40,C40)</f>
        <v>-0.14007835008706104</v>
      </c>
      <c r="W40" s="59">
        <f t="shared" si="12"/>
        <v>-6.2026740380584436E-2</v>
      </c>
      <c r="X40" s="59">
        <f t="shared" ref="X40:AD42" si="37">(B40-C40)/C40</f>
        <v>6.3348416289592369E-2</v>
      </c>
      <c r="Y40" s="59">
        <f t="shared" si="37"/>
        <v>6.2500000000000028E-2</v>
      </c>
      <c r="Z40" s="59">
        <f t="shared" si="37"/>
        <v>-9.3681917211328916E-2</v>
      </c>
      <c r="AA40" s="59">
        <f t="shared" si="37"/>
        <v>-0.36338418862690702</v>
      </c>
      <c r="AB40" s="59">
        <f t="shared" si="37"/>
        <v>-0.10323383084577128</v>
      </c>
      <c r="AC40" s="59">
        <f t="shared" si="37"/>
        <v>-0.14468085106382972</v>
      </c>
      <c r="AD40" s="59">
        <f t="shared" si="37"/>
        <v>0.14494518879415355</v>
      </c>
      <c r="AE40" s="57"/>
      <c r="AF40" s="73"/>
      <c r="AG40" s="8">
        <v>43</v>
      </c>
      <c r="AH40" s="144">
        <v>45</v>
      </c>
      <c r="AI40" s="135"/>
      <c r="AJ40" s="8">
        <v>42.6</v>
      </c>
      <c r="AK40" s="8">
        <v>42.6</v>
      </c>
    </row>
    <row r="41" spans="1:37" x14ac:dyDescent="0.25">
      <c r="A41" s="6" t="s">
        <v>59</v>
      </c>
      <c r="B41" s="25">
        <f>SUM(B36:B40)</f>
        <v>1085.3000000000002</v>
      </c>
      <c r="C41" s="25">
        <f>SUM(C36:C40)</f>
        <v>984.40000000000009</v>
      </c>
      <c r="D41" s="25">
        <f t="shared" ref="D41:H41" si="38">SUM(D36:D40)</f>
        <v>965.4</v>
      </c>
      <c r="E41" s="25">
        <f t="shared" si="38"/>
        <v>960.49999999999989</v>
      </c>
      <c r="F41" s="25">
        <f t="shared" si="38"/>
        <v>1109.6999999999998</v>
      </c>
      <c r="G41" s="25">
        <f t="shared" si="38"/>
        <v>1114.2</v>
      </c>
      <c r="H41" s="25">
        <f t="shared" si="38"/>
        <v>813.19999999999993</v>
      </c>
      <c r="I41" s="25">
        <f t="shared" ref="I41" si="39">SUM(I36:I40)</f>
        <v>759.8</v>
      </c>
      <c r="J41" s="57"/>
      <c r="K41" s="18">
        <f t="shared" si="3"/>
        <v>0.56863669705543352</v>
      </c>
      <c r="L41" s="18">
        <f t="shared" si="4"/>
        <v>0.57520158934205912</v>
      </c>
      <c r="M41" s="18">
        <f t="shared" si="5"/>
        <v>0.58090137794091101</v>
      </c>
      <c r="N41" s="18">
        <f t="shared" si="6"/>
        <v>0.60083823345427245</v>
      </c>
      <c r="O41" s="18">
        <f t="shared" si="7"/>
        <v>0.7092547616004089</v>
      </c>
      <c r="P41" s="18">
        <f t="shared" si="8"/>
        <v>0.75288870869653357</v>
      </c>
      <c r="Q41" s="18">
        <f t="shared" si="9"/>
        <v>0.67755374104315935</v>
      </c>
      <c r="R41" s="18">
        <f t="shared" si="10"/>
        <v>0.69866666666666666</v>
      </c>
      <c r="S41" s="57"/>
      <c r="T41" s="59">
        <f t="shared" si="11"/>
        <v>4.4107910110648296E-2</v>
      </c>
      <c r="U41" s="18">
        <f>_xlfn.RRI(5.5,H41,B41)</f>
        <v>5.3880457891713585E-2</v>
      </c>
      <c r="V41" s="18">
        <f>_xlfn.RRI(5,H41,C41)</f>
        <v>3.8950477489883006E-2</v>
      </c>
      <c r="W41" s="59">
        <f t="shared" si="12"/>
        <v>6.1316604253708794E-2</v>
      </c>
      <c r="X41" s="18">
        <f t="shared" si="37"/>
        <v>0.10249898415278351</v>
      </c>
      <c r="Y41" s="18">
        <f t="shared" si="37"/>
        <v>1.9680961259581638E-2</v>
      </c>
      <c r="Z41" s="18">
        <f t="shared" si="37"/>
        <v>5.1015096304009282E-3</v>
      </c>
      <c r="AA41" s="18">
        <f t="shared" si="37"/>
        <v>-0.13445075245561861</v>
      </c>
      <c r="AB41" s="18">
        <f t="shared" si="37"/>
        <v>-4.0387722132473767E-3</v>
      </c>
      <c r="AC41" s="18">
        <f t="shared" si="37"/>
        <v>0.37014264633546501</v>
      </c>
      <c r="AD41" s="18">
        <f t="shared" si="37"/>
        <v>7.028165306659645E-2</v>
      </c>
      <c r="AE41" s="57"/>
      <c r="AF41" s="73"/>
      <c r="AG41" s="114">
        <f>SUM(AG36:AG40)</f>
        <v>1065</v>
      </c>
      <c r="AH41" s="151">
        <f t="shared" ref="AH41:AK41" si="40">SUM(AH36:AH40)</f>
        <v>1049.7</v>
      </c>
      <c r="AI41" s="114"/>
      <c r="AJ41" s="114">
        <f t="shared" si="40"/>
        <v>1004.8000000000001</v>
      </c>
      <c r="AK41" s="114">
        <f t="shared" si="40"/>
        <v>1009</v>
      </c>
    </row>
    <row r="42" spans="1:37" x14ac:dyDescent="0.25">
      <c r="A42" s="6" t="s">
        <v>60</v>
      </c>
      <c r="B42" s="24">
        <f>SUM(B35,B41)</f>
        <v>1416.3000000000002</v>
      </c>
      <c r="C42" s="24">
        <f>SUM(C35,C41)</f>
        <v>1308.4000000000001</v>
      </c>
      <c r="D42" s="24">
        <f t="shared" ref="D42:H42" si="41">SUM(D35,D41)</f>
        <v>1251.0999999999999</v>
      </c>
      <c r="E42" s="24">
        <f t="shared" si="41"/>
        <v>1252.5999999999999</v>
      </c>
      <c r="F42" s="24">
        <f t="shared" si="41"/>
        <v>1405.8999999999999</v>
      </c>
      <c r="G42" s="24">
        <f t="shared" si="41"/>
        <v>1412.9</v>
      </c>
      <c r="H42" s="24">
        <f t="shared" si="41"/>
        <v>1094.3999999999999</v>
      </c>
      <c r="I42" s="24">
        <f t="shared" ref="I42" si="42">SUM(I35,I41)</f>
        <v>1052.9000000000001</v>
      </c>
      <c r="J42" s="57"/>
      <c r="K42" s="20">
        <f t="shared" si="3"/>
        <v>0.74206224457717718</v>
      </c>
      <c r="L42" s="20">
        <f t="shared" si="4"/>
        <v>0.76452027579759263</v>
      </c>
      <c r="M42" s="20">
        <f t="shared" si="5"/>
        <v>0.75281304530958537</v>
      </c>
      <c r="N42" s="20">
        <f t="shared" si="6"/>
        <v>0.78356061553859624</v>
      </c>
      <c r="O42" s="20">
        <f t="shared" si="7"/>
        <v>0.89856832417231225</v>
      </c>
      <c r="P42" s="20">
        <f t="shared" si="8"/>
        <v>0.95472667072099471</v>
      </c>
      <c r="Q42" s="20">
        <f t="shared" si="9"/>
        <v>0.91184802532911169</v>
      </c>
      <c r="R42" s="20">
        <f t="shared" si="10"/>
        <v>0.96818390804597709</v>
      </c>
      <c r="S42" s="57"/>
      <c r="T42" s="58">
        <f t="shared" si="11"/>
        <v>3.6873006268612007E-2</v>
      </c>
      <c r="U42" s="20">
        <f>_xlfn.RRI(5.5,H42,B42)</f>
        <v>4.7996541016615657E-2</v>
      </c>
      <c r="V42" s="20">
        <f>_xlfn.RRI(5,H42,C42)</f>
        <v>3.6365364146080825E-2</v>
      </c>
      <c r="W42" s="58">
        <f t="shared" si="12"/>
        <v>4.907378528348337E-2</v>
      </c>
      <c r="X42" s="20">
        <f t="shared" si="37"/>
        <v>8.2467135432589489E-2</v>
      </c>
      <c r="Y42" s="20">
        <f t="shared" si="37"/>
        <v>4.5799696267284938E-2</v>
      </c>
      <c r="Z42" s="20">
        <f t="shared" si="37"/>
        <v>-1.1975091809037204E-3</v>
      </c>
      <c r="AA42" s="20">
        <f t="shared" si="37"/>
        <v>-0.10904047229532682</v>
      </c>
      <c r="AB42" s="20">
        <f t="shared" si="37"/>
        <v>-4.954349210843108E-3</v>
      </c>
      <c r="AC42" s="20">
        <f t="shared" si="37"/>
        <v>0.29102704678362595</v>
      </c>
      <c r="AD42" s="20">
        <f t="shared" si="37"/>
        <v>3.9414949187956849E-2</v>
      </c>
      <c r="AE42" s="57"/>
      <c r="AF42" s="57"/>
      <c r="AG42" s="56">
        <f>SUM(AG41,AG35)</f>
        <v>1359.1</v>
      </c>
      <c r="AH42" s="147">
        <f t="shared" ref="AH42:AK42" si="43">SUM(AH41,AH35)</f>
        <v>1365.7</v>
      </c>
      <c r="AI42" s="56"/>
      <c r="AJ42" s="56">
        <f t="shared" si="43"/>
        <v>1308.0999999999999</v>
      </c>
      <c r="AK42" s="56">
        <f t="shared" si="43"/>
        <v>1308.8</v>
      </c>
    </row>
    <row r="43" spans="1:37" x14ac:dyDescent="0.25">
      <c r="A43" s="14" t="s">
        <v>61</v>
      </c>
      <c r="B43" s="118">
        <f t="shared" ref="B43:B48" si="44">AG43+AH43+C43-(AJ43+AK43)</f>
        <v>0</v>
      </c>
      <c r="C43" s="8">
        <v>0</v>
      </c>
      <c r="D43" s="8">
        <v>0</v>
      </c>
      <c r="E43" s="8">
        <v>0</v>
      </c>
      <c r="F43" s="8">
        <v>0</v>
      </c>
      <c r="G43" s="8">
        <v>0</v>
      </c>
      <c r="H43" s="8">
        <v>0</v>
      </c>
      <c r="I43" s="113"/>
      <c r="J43" s="57"/>
      <c r="K43" s="58">
        <f t="shared" si="3"/>
        <v>0</v>
      </c>
      <c r="L43" s="58">
        <f t="shared" si="4"/>
        <v>0</v>
      </c>
      <c r="M43" s="58">
        <f t="shared" si="5"/>
        <v>0</v>
      </c>
      <c r="N43" s="58">
        <f t="shared" si="6"/>
        <v>0</v>
      </c>
      <c r="O43" s="58">
        <f t="shared" si="7"/>
        <v>0</v>
      </c>
      <c r="P43" s="58">
        <f t="shared" si="8"/>
        <v>0</v>
      </c>
      <c r="Q43" s="58">
        <f t="shared" si="9"/>
        <v>0</v>
      </c>
      <c r="R43" s="58">
        <f t="shared" si="10"/>
        <v>0</v>
      </c>
      <c r="S43" s="57"/>
      <c r="T43" s="58"/>
      <c r="U43" s="58"/>
      <c r="V43" s="58"/>
      <c r="W43" s="58"/>
      <c r="X43" s="58"/>
      <c r="Y43" s="58"/>
      <c r="Z43" s="58"/>
      <c r="AA43" s="58"/>
      <c r="AB43" s="58"/>
      <c r="AC43" s="58"/>
      <c r="AD43" s="58"/>
      <c r="AE43" s="57"/>
      <c r="AF43" s="57"/>
      <c r="AG43" s="8">
        <v>0</v>
      </c>
      <c r="AH43" s="144">
        <v>0</v>
      </c>
      <c r="AI43" s="135"/>
      <c r="AJ43" s="8">
        <v>0</v>
      </c>
      <c r="AK43" s="8">
        <v>0</v>
      </c>
    </row>
    <row r="44" spans="1:37" x14ac:dyDescent="0.25">
      <c r="A44" s="14" t="s">
        <v>62</v>
      </c>
      <c r="B44" s="124">
        <f t="shared" si="44"/>
        <v>0.20000000000000007</v>
      </c>
      <c r="C44" s="11">
        <v>0.2</v>
      </c>
      <c r="D44" s="11">
        <v>0.2</v>
      </c>
      <c r="E44" s="11">
        <v>0.2</v>
      </c>
      <c r="F44" s="11">
        <v>0.2</v>
      </c>
      <c r="G44" s="11">
        <v>0.2</v>
      </c>
      <c r="H44" s="11">
        <v>0.2</v>
      </c>
      <c r="I44" s="339">
        <v>0.2</v>
      </c>
      <c r="J44" s="57"/>
      <c r="K44" s="58">
        <f t="shared" si="3"/>
        <v>1.0478885046631044E-4</v>
      </c>
      <c r="L44" s="58">
        <f t="shared" si="4"/>
        <v>1.168633867009466E-4</v>
      </c>
      <c r="M44" s="58">
        <f t="shared" si="5"/>
        <v>1.2034418436729045E-4</v>
      </c>
      <c r="N44" s="58">
        <f t="shared" si="6"/>
        <v>1.2510947078693858E-4</v>
      </c>
      <c r="O44" s="58">
        <f t="shared" si="7"/>
        <v>1.2782819890067747E-4</v>
      </c>
      <c r="P44" s="58">
        <f t="shared" si="8"/>
        <v>1.3514426650449354E-4</v>
      </c>
      <c r="Q44" s="58">
        <f t="shared" si="9"/>
        <v>1.6663889351774705E-4</v>
      </c>
      <c r="R44" s="58">
        <f t="shared" si="10"/>
        <v>1.8390804597701149E-4</v>
      </c>
      <c r="S44" s="57"/>
      <c r="T44" s="58">
        <f t="shared" si="11"/>
        <v>0</v>
      </c>
      <c r="U44" s="58">
        <f t="shared" ref="U44:U52" si="45">_xlfn.RRI(5.5,H44,B44)</f>
        <v>0</v>
      </c>
      <c r="V44" s="58">
        <f t="shared" ref="V44:V52" si="46">_xlfn.RRI(5,H44,C44)</f>
        <v>0</v>
      </c>
      <c r="W44" s="58">
        <f t="shared" si="12"/>
        <v>3.9650822308041306E-17</v>
      </c>
      <c r="X44" s="58">
        <f t="shared" ref="X44:X52" si="47">(B44-C44)/C44</f>
        <v>2.7755575615628914E-16</v>
      </c>
      <c r="Y44" s="58">
        <f t="shared" ref="Y44:Y52" si="48">(C44-D44)/D44</f>
        <v>0</v>
      </c>
      <c r="Z44" s="58">
        <f t="shared" ref="Z44:Z52" si="49">(D44-E44)/E44</f>
        <v>0</v>
      </c>
      <c r="AA44" s="58">
        <f t="shared" ref="AA44:AA52" si="50">(E44-F44)/F44</f>
        <v>0</v>
      </c>
      <c r="AB44" s="58">
        <f t="shared" ref="AB44:AB52" si="51">(F44-G44)/G44</f>
        <v>0</v>
      </c>
      <c r="AC44" s="58">
        <f t="shared" ref="AC44:AD52" si="52">(G44-H44)/H44</f>
        <v>0</v>
      </c>
      <c r="AD44" s="58">
        <f t="shared" si="52"/>
        <v>0</v>
      </c>
      <c r="AE44" s="57"/>
      <c r="AF44" s="57"/>
      <c r="AG44" s="8">
        <v>0.2</v>
      </c>
      <c r="AH44" s="144">
        <v>0.2</v>
      </c>
      <c r="AI44" s="135"/>
      <c r="AJ44" s="8">
        <v>0.2</v>
      </c>
      <c r="AK44" s="8">
        <v>0.2</v>
      </c>
    </row>
    <row r="45" spans="1:37" x14ac:dyDescent="0.25">
      <c r="A45" s="14" t="s">
        <v>63</v>
      </c>
      <c r="B45" s="118">
        <f t="shared" si="44"/>
        <v>296.39999999999998</v>
      </c>
      <c r="C45" s="8">
        <v>263.89999999999998</v>
      </c>
      <c r="D45" s="8">
        <v>249.5</v>
      </c>
      <c r="E45" s="8">
        <v>234.1</v>
      </c>
      <c r="F45" s="8">
        <v>221.9</v>
      </c>
      <c r="G45" s="8">
        <v>206</v>
      </c>
      <c r="H45" s="8">
        <v>190.6</v>
      </c>
      <c r="I45" s="336">
        <v>176.5</v>
      </c>
      <c r="J45" s="57"/>
      <c r="K45" s="58">
        <f t="shared" si="3"/>
        <v>0.15529707639107201</v>
      </c>
      <c r="L45" s="58">
        <f t="shared" si="4"/>
        <v>0.15420123875189901</v>
      </c>
      <c r="M45" s="58">
        <f t="shared" si="5"/>
        <v>0.15012936999819482</v>
      </c>
      <c r="N45" s="58">
        <f t="shared" si="6"/>
        <v>0.14644063555611161</v>
      </c>
      <c r="O45" s="58">
        <f t="shared" si="7"/>
        <v>0.14182538668030167</v>
      </c>
      <c r="P45" s="58">
        <f t="shared" si="8"/>
        <v>0.13919859449962835</v>
      </c>
      <c r="Q45" s="58">
        <f t="shared" si="9"/>
        <v>0.15880686552241291</v>
      </c>
      <c r="R45" s="58">
        <f t="shared" si="10"/>
        <v>0.16229885057471263</v>
      </c>
      <c r="S45" s="57"/>
      <c r="T45" s="58">
        <f t="shared" si="11"/>
        <v>6.9339920289936074E-2</v>
      </c>
      <c r="U45" s="58">
        <f t="shared" si="45"/>
        <v>8.3589032140685804E-2</v>
      </c>
      <c r="V45" s="58">
        <f t="shared" si="46"/>
        <v>6.7242960230796678E-2</v>
      </c>
      <c r="W45" s="58">
        <f t="shared" si="12"/>
        <v>7.7071478154171924E-2</v>
      </c>
      <c r="X45" s="58">
        <f t="shared" si="47"/>
        <v>0.12315270935960593</v>
      </c>
      <c r="Y45" s="58">
        <f t="shared" si="48"/>
        <v>5.7715430861723357E-2</v>
      </c>
      <c r="Z45" s="58">
        <f t="shared" si="49"/>
        <v>6.5783853054250344E-2</v>
      </c>
      <c r="AA45" s="58">
        <f t="shared" si="50"/>
        <v>5.4979720594862495E-2</v>
      </c>
      <c r="AB45" s="58">
        <f t="shared" si="51"/>
        <v>7.7184466019417503E-2</v>
      </c>
      <c r="AC45" s="58">
        <f t="shared" si="52"/>
        <v>8.0797481636936022E-2</v>
      </c>
      <c r="AD45" s="58">
        <f t="shared" si="52"/>
        <v>7.9886685552407896E-2</v>
      </c>
      <c r="AE45" s="57"/>
      <c r="AF45" s="57"/>
      <c r="AG45" s="8">
        <v>273.7</v>
      </c>
      <c r="AH45" s="144">
        <v>269.2</v>
      </c>
      <c r="AI45" s="135"/>
      <c r="AJ45" s="8">
        <v>257</v>
      </c>
      <c r="AK45" s="8">
        <v>253.4</v>
      </c>
    </row>
    <row r="46" spans="1:37" x14ac:dyDescent="0.25">
      <c r="A46" s="14" t="s">
        <v>64</v>
      </c>
      <c r="B46" s="118">
        <f t="shared" si="44"/>
        <v>503.70000000000005</v>
      </c>
      <c r="C46" s="8">
        <v>360.2</v>
      </c>
      <c r="D46" s="8">
        <v>300.89999999999998</v>
      </c>
      <c r="E46" s="8">
        <v>215.8</v>
      </c>
      <c r="F46" s="8">
        <v>93.8</v>
      </c>
      <c r="G46" s="8">
        <v>27.2</v>
      </c>
      <c r="H46" s="8">
        <v>7.4</v>
      </c>
      <c r="I46" s="336">
        <v>-24.7</v>
      </c>
      <c r="J46" s="57"/>
      <c r="K46" s="58">
        <f t="shared" si="3"/>
        <v>0.26391071989940279</v>
      </c>
      <c r="L46" s="58">
        <f t="shared" si="4"/>
        <v>0.2104709594484048</v>
      </c>
      <c r="M46" s="58">
        <f t="shared" si="5"/>
        <v>0.18105782538058846</v>
      </c>
      <c r="N46" s="58">
        <f t="shared" si="6"/>
        <v>0.13499311897910674</v>
      </c>
      <c r="O46" s="58">
        <f t="shared" si="7"/>
        <v>5.9951425284417735E-2</v>
      </c>
      <c r="P46" s="58">
        <f t="shared" si="8"/>
        <v>1.8379620244611122E-2</v>
      </c>
      <c r="Q46" s="58">
        <f t="shared" si="9"/>
        <v>6.1656390601566406E-3</v>
      </c>
      <c r="R46" s="58">
        <f t="shared" si="10"/>
        <v>-2.2712643678160917E-2</v>
      </c>
      <c r="S46" s="57"/>
      <c r="T46" s="58"/>
      <c r="U46" s="58"/>
      <c r="V46" s="58"/>
      <c r="W46" s="58"/>
      <c r="X46" s="58"/>
      <c r="Y46" s="58"/>
      <c r="Z46" s="58"/>
      <c r="AA46" s="58"/>
      <c r="AB46" s="58"/>
      <c r="AC46" s="58"/>
      <c r="AD46" s="58"/>
      <c r="AE46" s="57"/>
      <c r="AF46" s="57"/>
      <c r="AG46" s="8">
        <v>407.3</v>
      </c>
      <c r="AH46" s="144">
        <v>384.2</v>
      </c>
      <c r="AI46" s="135"/>
      <c r="AJ46" s="8">
        <v>329.3</v>
      </c>
      <c r="AK46" s="8">
        <v>318.7</v>
      </c>
    </row>
    <row r="47" spans="1:37" x14ac:dyDescent="0.25">
      <c r="A47" s="14" t="s">
        <v>71</v>
      </c>
      <c r="B47" s="118">
        <f t="shared" si="44"/>
        <v>-155</v>
      </c>
      <c r="C47" s="8">
        <v>-97.3</v>
      </c>
      <c r="D47" s="8">
        <v>-40</v>
      </c>
      <c r="E47" s="8">
        <v>-15.9</v>
      </c>
      <c r="F47" s="8">
        <v>-77.7</v>
      </c>
      <c r="G47" s="8">
        <v>-87.2</v>
      </c>
      <c r="H47" s="8">
        <v>-40.1</v>
      </c>
      <c r="I47" s="336">
        <v>-68.599999999999994</v>
      </c>
      <c r="J47" s="57"/>
      <c r="K47" s="58">
        <f t="shared" si="3"/>
        <v>-8.121135911139056E-2</v>
      </c>
      <c r="L47" s="58">
        <f t="shared" si="4"/>
        <v>-5.6854037630010512E-2</v>
      </c>
      <c r="M47" s="58">
        <f t="shared" si="5"/>
        <v>-2.406883687345809E-2</v>
      </c>
      <c r="N47" s="58">
        <f t="shared" si="6"/>
        <v>-9.9462029275616173E-3</v>
      </c>
      <c r="O47" s="58">
        <f t="shared" si="7"/>
        <v>-4.96612552729132E-2</v>
      </c>
      <c r="P47" s="58">
        <f t="shared" si="8"/>
        <v>-5.8922900195959187E-2</v>
      </c>
      <c r="Q47" s="58">
        <f t="shared" si="9"/>
        <v>-3.341109815030828E-2</v>
      </c>
      <c r="R47" s="58">
        <f t="shared" si="10"/>
        <v>-6.3080459770114936E-2</v>
      </c>
      <c r="S47" s="57"/>
      <c r="T47" s="58">
        <f t="shared" si="11"/>
        <v>5.9981097845075881E-2</v>
      </c>
      <c r="U47" s="58">
        <f t="shared" si="45"/>
        <v>0.27867840875488747</v>
      </c>
      <c r="V47" s="58">
        <f t="shared" si="46"/>
        <v>0.1939707664684176</v>
      </c>
      <c r="W47" s="58">
        <f t="shared" si="12"/>
        <v>0.48514778888074989</v>
      </c>
      <c r="X47" s="58">
        <f t="shared" si="47"/>
        <v>0.59301130524152112</v>
      </c>
      <c r="Y47" s="58">
        <f t="shared" si="48"/>
        <v>1.4324999999999999</v>
      </c>
      <c r="Z47" s="58">
        <f t="shared" si="49"/>
        <v>1.5157232704402517</v>
      </c>
      <c r="AA47" s="58">
        <f t="shared" si="50"/>
        <v>-0.79536679536679544</v>
      </c>
      <c r="AB47" s="58">
        <f t="shared" si="51"/>
        <v>-0.10894495412844037</v>
      </c>
      <c r="AC47" s="58">
        <f t="shared" si="52"/>
        <v>1.1745635910224439</v>
      </c>
      <c r="AD47" s="58">
        <f t="shared" si="52"/>
        <v>-0.4154518950437317</v>
      </c>
      <c r="AE47" s="57"/>
      <c r="AF47" s="57"/>
      <c r="AG47" s="8">
        <v>-95.1</v>
      </c>
      <c r="AH47" s="144">
        <v>-89.6</v>
      </c>
      <c r="AI47" s="135"/>
      <c r="AJ47" s="8">
        <v>-88.7</v>
      </c>
      <c r="AK47" s="8">
        <v>-38.299999999999997</v>
      </c>
    </row>
    <row r="48" spans="1:37" x14ac:dyDescent="0.25">
      <c r="A48" s="14" t="s">
        <v>65</v>
      </c>
      <c r="B48" s="120">
        <f t="shared" si="44"/>
        <v>-156.9</v>
      </c>
      <c r="C48" s="23">
        <v>-127.6</v>
      </c>
      <c r="D48" s="23">
        <v>-104</v>
      </c>
      <c r="E48" s="23">
        <v>-92.5</v>
      </c>
      <c r="F48" s="23">
        <v>-90.9</v>
      </c>
      <c r="G48" s="23">
        <v>-90</v>
      </c>
      <c r="H48" s="23">
        <v>-58.2</v>
      </c>
      <c r="I48" s="341">
        <v>-53</v>
      </c>
      <c r="J48" s="57"/>
      <c r="K48" s="59">
        <f t="shared" si="3"/>
        <v>-8.2206853190820509E-2</v>
      </c>
      <c r="L48" s="59">
        <f t="shared" si="4"/>
        <v>-7.4558840715203925E-2</v>
      </c>
      <c r="M48" s="59">
        <f t="shared" si="5"/>
        <v>-6.2578975870991024E-2</v>
      </c>
      <c r="N48" s="59">
        <f t="shared" si="6"/>
        <v>-5.7863130238959094E-2</v>
      </c>
      <c r="O48" s="59">
        <f t="shared" si="7"/>
        <v>-5.809791640035792E-2</v>
      </c>
      <c r="P48" s="59">
        <f t="shared" si="8"/>
        <v>-6.0814919927022093E-2</v>
      </c>
      <c r="Q48" s="59">
        <f t="shared" si="9"/>
        <v>-4.8491918013664391E-2</v>
      </c>
      <c r="R48" s="59">
        <f t="shared" si="10"/>
        <v>-4.8735632183908043E-2</v>
      </c>
      <c r="S48" s="57"/>
      <c r="T48" s="59">
        <f t="shared" si="11"/>
        <v>0.15769938024115637</v>
      </c>
      <c r="U48" s="59">
        <f t="shared" si="45"/>
        <v>0.19759254383606151</v>
      </c>
      <c r="V48" s="59">
        <f t="shared" si="46"/>
        <v>0.16999912767756897</v>
      </c>
      <c r="W48" s="59">
        <f t="shared" si="12"/>
        <v>0.17899684942847413</v>
      </c>
      <c r="X48" s="59">
        <f t="shared" si="47"/>
        <v>0.22962382445141075</v>
      </c>
      <c r="Y48" s="59">
        <f t="shared" si="48"/>
        <v>0.22692307692307687</v>
      </c>
      <c r="Z48" s="59">
        <f t="shared" si="49"/>
        <v>0.12432432432432433</v>
      </c>
      <c r="AA48" s="59">
        <f t="shared" si="50"/>
        <v>1.7601760176017538E-2</v>
      </c>
      <c r="AB48" s="59">
        <f t="shared" si="51"/>
        <v>1.0000000000000063E-2</v>
      </c>
      <c r="AC48" s="59">
        <f t="shared" si="52"/>
        <v>0.54639175257731953</v>
      </c>
      <c r="AD48" s="59">
        <f t="shared" si="52"/>
        <v>9.8113207547169859E-2</v>
      </c>
      <c r="AE48" s="57"/>
      <c r="AF48" s="73"/>
      <c r="AG48" s="23">
        <v>-133.5</v>
      </c>
      <c r="AH48" s="146">
        <v>-133.4</v>
      </c>
      <c r="AI48" s="136"/>
      <c r="AJ48" s="23">
        <v>-122.5</v>
      </c>
      <c r="AK48" s="23">
        <v>-115.1</v>
      </c>
    </row>
    <row r="49" spans="1:37" x14ac:dyDescent="0.25">
      <c r="A49" s="6" t="s">
        <v>66</v>
      </c>
      <c r="B49" s="24">
        <f>SUM(B43:B48)</f>
        <v>488.4</v>
      </c>
      <c r="C49" s="24">
        <f>SUM(C43:C48)</f>
        <v>399.4</v>
      </c>
      <c r="D49" s="24">
        <f t="shared" ref="D49:I49" si="53">SUM(D43:D48)</f>
        <v>406.59999999999991</v>
      </c>
      <c r="E49" s="24">
        <f t="shared" si="53"/>
        <v>341.70000000000005</v>
      </c>
      <c r="F49" s="24">
        <f t="shared" si="53"/>
        <v>147.29999999999998</v>
      </c>
      <c r="G49" s="24">
        <f t="shared" si="53"/>
        <v>56.199999999999989</v>
      </c>
      <c r="H49" s="24">
        <f t="shared" si="53"/>
        <v>99.899999999999991</v>
      </c>
      <c r="I49" s="24">
        <f t="shared" si="53"/>
        <v>30.400000000000006</v>
      </c>
      <c r="J49" s="57"/>
      <c r="K49" s="20">
        <f t="shared" si="3"/>
        <v>0.25589437283873001</v>
      </c>
      <c r="L49" s="20">
        <f t="shared" si="4"/>
        <v>0.23337618324179032</v>
      </c>
      <c r="M49" s="20">
        <f t="shared" si="5"/>
        <v>0.24465972681870141</v>
      </c>
      <c r="N49" s="20">
        <f t="shared" si="6"/>
        <v>0.21374953083948459</v>
      </c>
      <c r="O49" s="20">
        <f t="shared" si="7"/>
        <v>9.4145468490348952E-2</v>
      </c>
      <c r="P49" s="20">
        <f t="shared" si="8"/>
        <v>3.7975538887762679E-2</v>
      </c>
      <c r="Q49" s="20">
        <f t="shared" si="9"/>
        <v>8.3236127312114633E-2</v>
      </c>
      <c r="R49" s="20">
        <f t="shared" si="10"/>
        <v>2.7954022988505751E-2</v>
      </c>
      <c r="S49" s="57"/>
      <c r="T49" s="58">
        <f t="shared" si="11"/>
        <v>0.53611034104253763</v>
      </c>
      <c r="U49" s="20">
        <f t="shared" si="45"/>
        <v>0.33447652813203432</v>
      </c>
      <c r="V49" s="20">
        <f t="shared" si="46"/>
        <v>0.31937580144798172</v>
      </c>
      <c r="W49" s="58">
        <f t="shared" si="12"/>
        <v>0.74065113358588575</v>
      </c>
      <c r="X49" s="20">
        <f t="shared" si="47"/>
        <v>0.22283425137706561</v>
      </c>
      <c r="Y49" s="20">
        <f t="shared" si="48"/>
        <v>-1.7707820954254633E-2</v>
      </c>
      <c r="Z49" s="20">
        <f t="shared" si="49"/>
        <v>0.18993268949370751</v>
      </c>
      <c r="AA49" s="20">
        <f t="shared" si="50"/>
        <v>1.3197556008146645</v>
      </c>
      <c r="AB49" s="20">
        <f t="shared" si="51"/>
        <v>1.6209964412811391</v>
      </c>
      <c r="AC49" s="20">
        <f t="shared" si="52"/>
        <v>-0.43743743743743752</v>
      </c>
      <c r="AD49" s="20">
        <f t="shared" si="52"/>
        <v>2.286184210526315</v>
      </c>
      <c r="AE49" s="57"/>
      <c r="AF49" s="57"/>
      <c r="AG49" s="56">
        <f>SUM(AG43:AG48)</f>
        <v>452.6</v>
      </c>
      <c r="AH49" s="147">
        <f t="shared" ref="AH49:AK49" si="54">SUM(AH43:AH48)</f>
        <v>430.59999999999991</v>
      </c>
      <c r="AI49" s="56"/>
      <c r="AJ49" s="56">
        <f t="shared" si="54"/>
        <v>375.3</v>
      </c>
      <c r="AK49" s="56">
        <f t="shared" si="54"/>
        <v>418.9</v>
      </c>
    </row>
    <row r="50" spans="1:37" x14ac:dyDescent="0.25">
      <c r="A50" s="14" t="s">
        <v>67</v>
      </c>
      <c r="B50" s="120">
        <f>AG50+AH50+C50-(AJ50+AK50)</f>
        <v>3.9000000000000004</v>
      </c>
      <c r="C50" s="23">
        <v>3.6</v>
      </c>
      <c r="D50" s="23">
        <v>4.2</v>
      </c>
      <c r="E50" s="23">
        <v>4.3</v>
      </c>
      <c r="F50" s="23">
        <v>11.4</v>
      </c>
      <c r="G50" s="23">
        <v>10.8</v>
      </c>
      <c r="H50" s="23">
        <v>5.9</v>
      </c>
      <c r="I50" s="113">
        <v>4.2</v>
      </c>
      <c r="J50" s="57"/>
      <c r="K50" s="59">
        <f t="shared" si="3"/>
        <v>2.0433825840930528E-3</v>
      </c>
      <c r="L50" s="59">
        <f t="shared" si="4"/>
        <v>2.1035409606170387E-3</v>
      </c>
      <c r="M50" s="59">
        <f t="shared" si="5"/>
        <v>2.5272278717130992E-3</v>
      </c>
      <c r="N50" s="59">
        <f t="shared" si="6"/>
        <v>2.6898536219191792E-3</v>
      </c>
      <c r="O50" s="59">
        <f t="shared" si="7"/>
        <v>7.2862073373386165E-3</v>
      </c>
      <c r="P50" s="59">
        <f t="shared" si="8"/>
        <v>7.2977903912426513E-3</v>
      </c>
      <c r="Q50" s="59">
        <f t="shared" si="9"/>
        <v>4.9158473587735379E-3</v>
      </c>
      <c r="R50" s="59">
        <f t="shared" si="10"/>
        <v>3.8620689655172414E-3</v>
      </c>
      <c r="S50" s="57"/>
      <c r="T50" s="59">
        <f t="shared" si="11"/>
        <v>-2.5364554516409732E-2</v>
      </c>
      <c r="U50" s="59">
        <f t="shared" si="45"/>
        <v>-7.250541878033312E-2</v>
      </c>
      <c r="V50" s="59">
        <f t="shared" si="46"/>
        <v>-9.407947821830287E-2</v>
      </c>
      <c r="W50" s="59">
        <f t="shared" si="12"/>
        <v>8.3605613410367721E-2</v>
      </c>
      <c r="X50" s="59">
        <f t="shared" si="47"/>
        <v>8.3333333333333412E-2</v>
      </c>
      <c r="Y50" s="59">
        <f t="shared" si="48"/>
        <v>-0.14285714285714288</v>
      </c>
      <c r="Z50" s="59">
        <f t="shared" si="49"/>
        <v>-2.3255813953488292E-2</v>
      </c>
      <c r="AA50" s="59">
        <f t="shared" si="50"/>
        <v>-0.6228070175438597</v>
      </c>
      <c r="AB50" s="59">
        <f t="shared" si="51"/>
        <v>5.5555555555555518E-2</v>
      </c>
      <c r="AC50" s="59">
        <f t="shared" si="52"/>
        <v>0.83050847457627119</v>
      </c>
      <c r="AD50" s="59">
        <f t="shared" si="52"/>
        <v>0.40476190476190477</v>
      </c>
      <c r="AE50" s="57"/>
      <c r="AF50" s="73"/>
      <c r="AG50" s="23">
        <v>4</v>
      </c>
      <c r="AH50" s="146">
        <v>4.3</v>
      </c>
      <c r="AI50" s="136"/>
      <c r="AJ50" s="23">
        <v>3.9</v>
      </c>
      <c r="AK50" s="23">
        <v>4.0999999999999996</v>
      </c>
    </row>
    <row r="51" spans="1:37" x14ac:dyDescent="0.25">
      <c r="A51" s="6" t="s">
        <v>68</v>
      </c>
      <c r="B51" s="25">
        <f>SUM(B49:B50)</f>
        <v>492.29999999999995</v>
      </c>
      <c r="C51" s="25">
        <f>SUM(C49:C50)</f>
        <v>403</v>
      </c>
      <c r="D51" s="25">
        <f t="shared" ref="D51:H51" si="55">SUM(D49:D50)</f>
        <v>410.7999999999999</v>
      </c>
      <c r="E51" s="25">
        <f t="shared" si="55"/>
        <v>346.00000000000006</v>
      </c>
      <c r="F51" s="25">
        <f t="shared" si="55"/>
        <v>158.69999999999999</v>
      </c>
      <c r="G51" s="25">
        <f t="shared" si="55"/>
        <v>66.999999999999986</v>
      </c>
      <c r="H51" s="25">
        <f t="shared" si="55"/>
        <v>105.8</v>
      </c>
      <c r="I51" s="25">
        <f t="shared" ref="I51" si="56">SUM(I49:I50)</f>
        <v>34.600000000000009</v>
      </c>
      <c r="J51" s="57"/>
      <c r="K51" s="18">
        <f t="shared" si="3"/>
        <v>0.25793775542282305</v>
      </c>
      <c r="L51" s="18">
        <f t="shared" si="4"/>
        <v>0.23547972420240737</v>
      </c>
      <c r="M51" s="18">
        <f t="shared" si="5"/>
        <v>0.24718695469041452</v>
      </c>
      <c r="N51" s="18">
        <f t="shared" si="6"/>
        <v>0.21643938446140379</v>
      </c>
      <c r="O51" s="18">
        <f t="shared" si="7"/>
        <v>0.10143167582768757</v>
      </c>
      <c r="P51" s="18">
        <f t="shared" si="8"/>
        <v>4.5273329279005327E-2</v>
      </c>
      <c r="Q51" s="18">
        <f t="shared" si="9"/>
        <v>8.8151974670888186E-2</v>
      </c>
      <c r="R51" s="18">
        <f t="shared" si="10"/>
        <v>3.1816091954022997E-2</v>
      </c>
      <c r="S51" s="57"/>
      <c r="T51" s="59">
        <f t="shared" si="11"/>
        <v>0.50558342363327236</v>
      </c>
      <c r="U51" s="18">
        <f t="shared" si="45"/>
        <v>0.32253760791734876</v>
      </c>
      <c r="V51" s="18">
        <f t="shared" si="46"/>
        <v>0.3066638486734794</v>
      </c>
      <c r="W51" s="59">
        <f t="shared" si="12"/>
        <v>0.66140410446355546</v>
      </c>
      <c r="X51" s="18">
        <f t="shared" si="47"/>
        <v>0.22158808933002469</v>
      </c>
      <c r="Y51" s="18">
        <f t="shared" si="48"/>
        <v>-1.8987341772151653E-2</v>
      </c>
      <c r="Z51" s="18">
        <f t="shared" si="49"/>
        <v>0.18728323699421917</v>
      </c>
      <c r="AA51" s="18">
        <f t="shared" si="50"/>
        <v>1.1802142407057346</v>
      </c>
      <c r="AB51" s="18">
        <f t="shared" si="51"/>
        <v>1.3686567164179109</v>
      </c>
      <c r="AC51" s="18">
        <f t="shared" si="52"/>
        <v>-0.36672967863894151</v>
      </c>
      <c r="AD51" s="18">
        <f t="shared" si="52"/>
        <v>2.0578034682080917</v>
      </c>
      <c r="AE51" s="57"/>
      <c r="AF51" s="73"/>
      <c r="AG51" s="115">
        <f>SUM(AG49:AG50)</f>
        <v>456.6</v>
      </c>
      <c r="AH51" s="153">
        <f t="shared" ref="AH51:AK51" si="57">SUM(AH49:AH50)</f>
        <v>434.89999999999992</v>
      </c>
      <c r="AI51" s="115"/>
      <c r="AJ51" s="115">
        <f t="shared" si="57"/>
        <v>379.2</v>
      </c>
      <c r="AK51" s="115">
        <f t="shared" si="57"/>
        <v>423</v>
      </c>
    </row>
    <row r="52" spans="1:37" ht="15.75" thickBot="1" x14ac:dyDescent="0.3">
      <c r="A52" s="6" t="s">
        <v>69</v>
      </c>
      <c r="B52" s="30">
        <f>SUM(B51,B42)</f>
        <v>1908.6000000000001</v>
      </c>
      <c r="C52" s="30">
        <f>SUM(C51,C42)</f>
        <v>1711.4</v>
      </c>
      <c r="D52" s="30">
        <f t="shared" ref="D52:H52" si="58">SUM(D51,D42)</f>
        <v>1661.8999999999999</v>
      </c>
      <c r="E52" s="30">
        <f t="shared" si="58"/>
        <v>1598.6</v>
      </c>
      <c r="F52" s="30">
        <f t="shared" si="58"/>
        <v>1564.6</v>
      </c>
      <c r="G52" s="30">
        <f t="shared" si="58"/>
        <v>1479.9</v>
      </c>
      <c r="H52" s="30">
        <f t="shared" si="58"/>
        <v>1200.1999999999998</v>
      </c>
      <c r="I52" s="338">
        <f t="shared" ref="I52" si="59">SUM(I51,I42)</f>
        <v>1087.5</v>
      </c>
      <c r="J52" s="57"/>
      <c r="K52" s="19">
        <f t="shared" si="3"/>
        <v>1.0000000000000002</v>
      </c>
      <c r="L52" s="19">
        <f t="shared" si="4"/>
        <v>1</v>
      </c>
      <c r="M52" s="19">
        <f t="shared" si="5"/>
        <v>0.99999999999999989</v>
      </c>
      <c r="N52" s="19">
        <f t="shared" si="6"/>
        <v>1</v>
      </c>
      <c r="O52" s="19">
        <f t="shared" si="7"/>
        <v>0.99999999999999989</v>
      </c>
      <c r="P52" s="19">
        <f t="shared" si="8"/>
        <v>1</v>
      </c>
      <c r="Q52" s="19">
        <f t="shared" si="9"/>
        <v>0.99999999999999978</v>
      </c>
      <c r="R52" s="19">
        <f t="shared" si="10"/>
        <v>1</v>
      </c>
      <c r="S52" s="57"/>
      <c r="T52" s="211">
        <f t="shared" si="11"/>
        <v>7.8500565123124311E-2</v>
      </c>
      <c r="U52" s="19">
        <f t="shared" si="45"/>
        <v>8.8001080689594335E-2</v>
      </c>
      <c r="V52" s="19">
        <f t="shared" si="46"/>
        <v>7.3543337585615376E-2</v>
      </c>
      <c r="W52" s="211">
        <f t="shared" si="12"/>
        <v>8.5750099941783911E-2</v>
      </c>
      <c r="X52" s="19">
        <f t="shared" si="47"/>
        <v>0.11522729928713336</v>
      </c>
      <c r="Y52" s="19">
        <f t="shared" si="48"/>
        <v>2.9785185630904525E-2</v>
      </c>
      <c r="Z52" s="19">
        <f t="shared" si="49"/>
        <v>3.9597147504066031E-2</v>
      </c>
      <c r="AA52" s="19">
        <f t="shared" si="50"/>
        <v>2.1730793813115174E-2</v>
      </c>
      <c r="AB52" s="19">
        <f t="shared" si="51"/>
        <v>5.7233596864652889E-2</v>
      </c>
      <c r="AC52" s="19">
        <f t="shared" si="52"/>
        <v>0.2330444925845695</v>
      </c>
      <c r="AD52" s="19">
        <f t="shared" si="52"/>
        <v>0.10363218390804581</v>
      </c>
      <c r="AE52" s="57"/>
      <c r="AF52" s="172"/>
      <c r="AG52" s="117">
        <f>SUM(AG42,AG51)</f>
        <v>1815.6999999999998</v>
      </c>
      <c r="AH52" s="152">
        <f t="shared" ref="AH52:AK52" si="60">SUM(AH42,AH51)</f>
        <v>1800.6</v>
      </c>
      <c r="AI52" s="117"/>
      <c r="AJ52" s="117">
        <f t="shared" si="60"/>
        <v>1687.3</v>
      </c>
      <c r="AK52" s="117">
        <f t="shared" si="60"/>
        <v>1731.8</v>
      </c>
    </row>
    <row r="53" spans="1:37" ht="15.75" thickTop="1" x14ac:dyDescent="0.25">
      <c r="A53" s="353" t="s">
        <v>538</v>
      </c>
      <c r="B53" s="61">
        <f>B52-B29</f>
        <v>0</v>
      </c>
      <c r="C53" s="61">
        <f>C52-C29</f>
        <v>0</v>
      </c>
      <c r="D53" s="61">
        <f t="shared" ref="D53:F53" si="61">D52-D29</f>
        <v>0</v>
      </c>
      <c r="E53" s="61">
        <f t="shared" si="61"/>
        <v>0</v>
      </c>
      <c r="F53" s="61">
        <f t="shared" si="61"/>
        <v>0</v>
      </c>
      <c r="G53" s="61">
        <f>G52-G29</f>
        <v>0</v>
      </c>
      <c r="H53" s="61">
        <f>H52-H29</f>
        <v>0</v>
      </c>
      <c r="I53" s="61">
        <f>I52-I29</f>
        <v>0</v>
      </c>
      <c r="J53" s="57"/>
      <c r="K53" s="61"/>
      <c r="L53" s="61"/>
      <c r="M53" s="61"/>
      <c r="N53" s="61"/>
      <c r="O53" s="61"/>
      <c r="P53" s="61"/>
      <c r="Q53" s="61"/>
      <c r="R53" s="61"/>
      <c r="S53" s="61"/>
      <c r="T53" s="61"/>
      <c r="U53" s="61"/>
      <c r="V53" s="61"/>
      <c r="W53" s="61"/>
      <c r="X53" s="62"/>
      <c r="Y53" s="61"/>
      <c r="Z53" s="61"/>
      <c r="AA53" s="61"/>
      <c r="AB53" s="61"/>
      <c r="AC53" s="61"/>
      <c r="AD53" s="61"/>
      <c r="AE53" s="57"/>
      <c r="AF53" s="57"/>
      <c r="AG53" s="61">
        <f>AG52-AG29</f>
        <v>0</v>
      </c>
      <c r="AH53" s="61">
        <f t="shared" ref="AH53:AK53" si="62">AH52-AH29</f>
        <v>0</v>
      </c>
      <c r="AI53" s="61"/>
      <c r="AJ53" s="61">
        <f t="shared" si="62"/>
        <v>0</v>
      </c>
      <c r="AK53" s="61">
        <f t="shared" si="62"/>
        <v>0</v>
      </c>
    </row>
    <row r="54" spans="1:37" s="1" customFormat="1" x14ac:dyDescent="0.25">
      <c r="A54" s="1" t="s">
        <v>111</v>
      </c>
      <c r="B54" s="1" t="s">
        <v>264</v>
      </c>
      <c r="I54" s="331"/>
      <c r="K54" s="1" t="s">
        <v>264</v>
      </c>
      <c r="U54" s="1" t="s">
        <v>264</v>
      </c>
      <c r="AF54" s="1" t="s">
        <v>0</v>
      </c>
    </row>
    <row r="55" spans="1:37" s="1" customFormat="1" x14ac:dyDescent="0.25">
      <c r="A55" s="1" t="s">
        <v>108</v>
      </c>
      <c r="I55" s="331"/>
      <c r="K55" s="1" t="s">
        <v>114</v>
      </c>
      <c r="U55" s="1" t="s">
        <v>74</v>
      </c>
      <c r="AF55" s="1" t="s">
        <v>73</v>
      </c>
    </row>
    <row r="56" spans="1:37" s="1" customFormat="1" x14ac:dyDescent="0.25">
      <c r="A56" s="1" t="s">
        <v>3</v>
      </c>
      <c r="H56" s="2"/>
      <c r="I56" s="332"/>
      <c r="Q56" s="2"/>
      <c r="R56" s="2"/>
      <c r="T56" s="1" t="s">
        <v>536</v>
      </c>
      <c r="U56" s="1" t="s">
        <v>263</v>
      </c>
      <c r="V56" s="1" t="s">
        <v>4</v>
      </c>
      <c r="W56" s="1" t="s">
        <v>5</v>
      </c>
      <c r="X56" s="22" t="s">
        <v>75</v>
      </c>
      <c r="Y56" s="1" t="s">
        <v>6</v>
      </c>
      <c r="Z56" s="1" t="s">
        <v>7</v>
      </c>
      <c r="AA56" s="1" t="s">
        <v>8</v>
      </c>
      <c r="AB56" s="1" t="s">
        <v>9</v>
      </c>
      <c r="AC56" s="1" t="s">
        <v>10</v>
      </c>
      <c r="AD56" s="1" t="s">
        <v>537</v>
      </c>
      <c r="AF56" s="109" t="s">
        <v>262</v>
      </c>
      <c r="AG56" s="109" t="s">
        <v>260</v>
      </c>
      <c r="AH56" s="111" t="s">
        <v>261</v>
      </c>
      <c r="AI56" s="109" t="s">
        <v>262</v>
      </c>
      <c r="AJ56" s="109" t="s">
        <v>260</v>
      </c>
      <c r="AK56" s="109" t="s">
        <v>261</v>
      </c>
    </row>
    <row r="57" spans="1:37" s="1" customFormat="1" ht="15.75" thickBot="1" x14ac:dyDescent="0.3">
      <c r="A57" s="2" t="s">
        <v>11</v>
      </c>
      <c r="B57" s="17" t="s">
        <v>72</v>
      </c>
      <c r="C57" s="3">
        <v>2022</v>
      </c>
      <c r="D57" s="3">
        <v>2021</v>
      </c>
      <c r="E57" s="3">
        <v>2020</v>
      </c>
      <c r="F57" s="3">
        <v>2019</v>
      </c>
      <c r="G57" s="3">
        <v>2018</v>
      </c>
      <c r="H57" s="3">
        <v>2017</v>
      </c>
      <c r="I57" s="3">
        <v>2016</v>
      </c>
      <c r="K57" s="17" t="s">
        <v>72</v>
      </c>
      <c r="L57" s="3">
        <v>2022</v>
      </c>
      <c r="M57" s="3">
        <v>2021</v>
      </c>
      <c r="N57" s="3">
        <v>2020</v>
      </c>
      <c r="O57" s="3">
        <v>2019</v>
      </c>
      <c r="P57" s="3">
        <v>2018</v>
      </c>
      <c r="Q57" s="3">
        <v>2017</v>
      </c>
      <c r="R57" s="3">
        <v>2016</v>
      </c>
      <c r="T57" s="4" t="s">
        <v>12</v>
      </c>
      <c r="U57" s="4" t="s">
        <v>12</v>
      </c>
      <c r="V57" s="4" t="s">
        <v>12</v>
      </c>
      <c r="W57" s="4" t="s">
        <v>13</v>
      </c>
      <c r="X57" s="21" t="s">
        <v>72</v>
      </c>
      <c r="Y57" s="3">
        <v>2022</v>
      </c>
      <c r="Z57" s="3">
        <v>2021</v>
      </c>
      <c r="AA57" s="3">
        <v>2020</v>
      </c>
      <c r="AB57" s="3">
        <v>2019</v>
      </c>
      <c r="AC57" s="3">
        <v>2018</v>
      </c>
      <c r="AD57" s="3">
        <v>2017</v>
      </c>
      <c r="AE57" s="7"/>
      <c r="AF57" s="110">
        <v>2023</v>
      </c>
      <c r="AG57" s="110">
        <v>2023</v>
      </c>
      <c r="AH57" s="112">
        <v>2023</v>
      </c>
      <c r="AI57" s="110">
        <v>2022</v>
      </c>
      <c r="AJ57" s="110">
        <v>2022</v>
      </c>
      <c r="AK57" s="110">
        <v>2022</v>
      </c>
    </row>
    <row r="58" spans="1:37" s="35" customFormat="1" ht="15" customHeight="1" x14ac:dyDescent="0.25">
      <c r="A58" s="37" t="s">
        <v>81</v>
      </c>
      <c r="B58" s="44">
        <f>C58+AG58+AH58-(AJ58+AK58)</f>
        <v>2109.3000000000002</v>
      </c>
      <c r="C58" s="28">
        <v>1980.5</v>
      </c>
      <c r="D58" s="28">
        <v>1678.6</v>
      </c>
      <c r="E58" s="28">
        <v>1669.1</v>
      </c>
      <c r="F58" s="28">
        <v>1637</v>
      </c>
      <c r="G58" s="28">
        <v>1562.7</v>
      </c>
      <c r="H58" s="28">
        <v>1475.5</v>
      </c>
      <c r="I58" s="336">
        <v>1416.2</v>
      </c>
      <c r="K58" s="41">
        <f>B58/$B$58</f>
        <v>1</v>
      </c>
      <c r="L58" s="41">
        <f>C58/$C$58</f>
        <v>1</v>
      </c>
      <c r="M58" s="41">
        <f>D58/$D$58</f>
        <v>1</v>
      </c>
      <c r="N58" s="41">
        <f>E58/$E$58</f>
        <v>1</v>
      </c>
      <c r="O58" s="41">
        <f>F58/$F$58</f>
        <v>1</v>
      </c>
      <c r="P58" s="41">
        <f>G58/$G$58</f>
        <v>1</v>
      </c>
      <c r="Q58" s="41">
        <f>H58/$H$58</f>
        <v>1</v>
      </c>
      <c r="R58" s="41">
        <f>I58/$I$58</f>
        <v>1</v>
      </c>
      <c r="T58" s="41">
        <f>_xlfn.RRI(6,I58,C58)</f>
        <v>5.7487013665047604E-2</v>
      </c>
      <c r="U58" s="41">
        <f>_xlfn.RRI(5.5,H58,B58)</f>
        <v>6.7131710020519542E-2</v>
      </c>
      <c r="V58" s="41">
        <f>_xlfn.RRI(5,H58,C58)</f>
        <v>6.0637862838911261E-2</v>
      </c>
      <c r="W58" s="41">
        <f>AVERAGE(X58:AD58)</f>
        <v>5.9814887546110126E-2</v>
      </c>
      <c r="X58" s="41">
        <f t="shared" ref="X58:AD61" si="63">(B58-C58)/C58</f>
        <v>6.5034082302448962E-2</v>
      </c>
      <c r="Y58" s="41">
        <f t="shared" si="63"/>
        <v>0.17985225783390926</v>
      </c>
      <c r="Z58" s="41">
        <f t="shared" si="63"/>
        <v>5.6916901324066864E-3</v>
      </c>
      <c r="AA58" s="41">
        <f t="shared" si="63"/>
        <v>1.9609040928527739E-2</v>
      </c>
      <c r="AB58" s="41">
        <f t="shared" si="63"/>
        <v>4.7545914122992229E-2</v>
      </c>
      <c r="AC58" s="41">
        <f t="shared" si="63"/>
        <v>5.9098610640460889E-2</v>
      </c>
      <c r="AD58" s="41">
        <f t="shared" si="63"/>
        <v>4.1872616862025105E-2</v>
      </c>
      <c r="AG58" s="28">
        <v>577.20000000000005</v>
      </c>
      <c r="AH58" s="166">
        <v>513.4</v>
      </c>
      <c r="AI58" s="134"/>
      <c r="AJ58" s="28">
        <v>502.5</v>
      </c>
      <c r="AK58" s="28">
        <v>459.3</v>
      </c>
    </row>
    <row r="59" spans="1:37" s="35" customFormat="1" ht="15" customHeight="1" x14ac:dyDescent="0.25">
      <c r="A59" s="37" t="s">
        <v>82</v>
      </c>
      <c r="B59" s="108">
        <f>C59+AG59+AH59-(AJ59+AK59)</f>
        <v>1720.2</v>
      </c>
      <c r="C59" s="23">
        <v>1635.9</v>
      </c>
      <c r="D59" s="23">
        <v>1344.5</v>
      </c>
      <c r="E59" s="23">
        <v>1308.7</v>
      </c>
      <c r="F59" s="23">
        <v>1306.3</v>
      </c>
      <c r="G59" s="23">
        <v>1260.9000000000001</v>
      </c>
      <c r="H59" s="23">
        <v>1153.4000000000001</v>
      </c>
      <c r="I59" s="341">
        <v>1126.2</v>
      </c>
      <c r="K59" s="42">
        <f t="shared" ref="K59:K78" si="64">B59/$B$58</f>
        <v>0.81553121888778268</v>
      </c>
      <c r="L59" s="42">
        <f t="shared" ref="L59:L78" si="65">C59/$C$58</f>
        <v>0.82600353446099473</v>
      </c>
      <c r="M59" s="42">
        <f t="shared" ref="M59:M78" si="66">D59/$D$58</f>
        <v>0.80096508995591564</v>
      </c>
      <c r="N59" s="42">
        <f t="shared" ref="N59:N78" si="67">E59/$E$58</f>
        <v>0.78407525013480328</v>
      </c>
      <c r="O59" s="42">
        <f t="shared" ref="O59:O78" si="68">F59/$F$58</f>
        <v>0.79798411728772145</v>
      </c>
      <c r="P59" s="42">
        <f t="shared" ref="P59:P78" si="69">G59/$G$58</f>
        <v>0.80687272029180268</v>
      </c>
      <c r="Q59" s="42">
        <f t="shared" ref="Q59:Q78" si="70">H59/$H$58</f>
        <v>0.781701118264995</v>
      </c>
      <c r="R59" s="42">
        <f t="shared" ref="R59:R78" si="71">I59/$I$58</f>
        <v>0.79522666290072019</v>
      </c>
      <c r="T59" s="42">
        <f t="shared" ref="T59:T78" si="72">_xlfn.RRI(6,I59,C59)</f>
        <v>6.4200695046773726E-2</v>
      </c>
      <c r="U59" s="42">
        <f>_xlfn.RRI(5.5,H59,B59)</f>
        <v>7.5383710995013287E-2</v>
      </c>
      <c r="V59" s="42">
        <f>_xlfn.RRI(5,H59,C59)</f>
        <v>7.2396433744121858E-2</v>
      </c>
      <c r="W59" s="42">
        <f t="shared" ref="W59:W78" si="73">AVERAGE(X59:AD59)</f>
        <v>6.4402786009860047E-2</v>
      </c>
      <c r="X59" s="42">
        <f t="shared" si="63"/>
        <v>5.1531267192371139E-2</v>
      </c>
      <c r="Y59" s="42">
        <f t="shared" si="63"/>
        <v>0.21673484566753445</v>
      </c>
      <c r="Z59" s="42">
        <f t="shared" si="63"/>
        <v>2.7355390845877552E-2</v>
      </c>
      <c r="AA59" s="42">
        <f t="shared" si="63"/>
        <v>1.8372502487943741E-3</v>
      </c>
      <c r="AB59" s="42">
        <f t="shared" si="63"/>
        <v>3.6006027440716834E-2</v>
      </c>
      <c r="AC59" s="42">
        <f t="shared" si="63"/>
        <v>9.3202705045951087E-2</v>
      </c>
      <c r="AD59" s="42">
        <f t="shared" si="63"/>
        <v>2.4152015627774859E-2</v>
      </c>
      <c r="AF59" s="169"/>
      <c r="AG59" s="23">
        <v>464.7</v>
      </c>
      <c r="AH59" s="146">
        <v>409.3</v>
      </c>
      <c r="AI59" s="136"/>
      <c r="AJ59" s="23">
        <v>419.4</v>
      </c>
      <c r="AK59" s="23">
        <v>370.3</v>
      </c>
    </row>
    <row r="60" spans="1:37" s="35" customFormat="1" ht="15" customHeight="1" x14ac:dyDescent="0.25">
      <c r="A60" s="36" t="s">
        <v>112</v>
      </c>
      <c r="B60" s="24">
        <f t="shared" ref="B60:I60" si="74">B58-B59</f>
        <v>389.10000000000014</v>
      </c>
      <c r="C60" s="24">
        <f t="shared" si="74"/>
        <v>344.59999999999991</v>
      </c>
      <c r="D60" s="24">
        <f t="shared" si="74"/>
        <v>334.09999999999991</v>
      </c>
      <c r="E60" s="24">
        <f t="shared" si="74"/>
        <v>360.39999999999986</v>
      </c>
      <c r="F60" s="24">
        <f t="shared" si="74"/>
        <v>330.70000000000005</v>
      </c>
      <c r="G60" s="24">
        <f t="shared" si="74"/>
        <v>301.79999999999995</v>
      </c>
      <c r="H60" s="24">
        <f t="shared" si="74"/>
        <v>322.09999999999991</v>
      </c>
      <c r="I60" s="24">
        <f t="shared" si="74"/>
        <v>290</v>
      </c>
      <c r="K60" s="95">
        <f t="shared" si="64"/>
        <v>0.18446878111221737</v>
      </c>
      <c r="L60" s="95">
        <f t="shared" si="65"/>
        <v>0.17399646553900525</v>
      </c>
      <c r="M60" s="95">
        <f t="shared" si="66"/>
        <v>0.1990349100440843</v>
      </c>
      <c r="N60" s="95">
        <f t="shared" si="67"/>
        <v>0.21592474986519675</v>
      </c>
      <c r="O60" s="95">
        <f t="shared" si="68"/>
        <v>0.20201588271227858</v>
      </c>
      <c r="P60" s="95">
        <f t="shared" si="69"/>
        <v>0.19312727970819732</v>
      </c>
      <c r="Q60" s="95">
        <f t="shared" si="70"/>
        <v>0.21829888173500503</v>
      </c>
      <c r="R60" s="41">
        <f t="shared" si="71"/>
        <v>0.20477333709927975</v>
      </c>
      <c r="S60" s="96"/>
      <c r="T60" s="41">
        <f t="shared" si="72"/>
        <v>2.916785387926546E-2</v>
      </c>
      <c r="U60" s="95">
        <f>_xlfn.RRI(5.5,H60,B60)</f>
        <v>3.4956056095237553E-2</v>
      </c>
      <c r="V60" s="95">
        <f>_xlfn.RRI(5,H60,C60)</f>
        <v>1.3596050542198368E-2</v>
      </c>
      <c r="W60" s="41">
        <f t="shared" si="73"/>
        <v>4.5831785415570765E-2</v>
      </c>
      <c r="X60" s="95">
        <f t="shared" si="63"/>
        <v>0.12913522925130655</v>
      </c>
      <c r="Y60" s="95">
        <f t="shared" si="63"/>
        <v>3.1427716252618983E-2</v>
      </c>
      <c r="Z60" s="95">
        <f t="shared" si="63"/>
        <v>-7.297447280799102E-2</v>
      </c>
      <c r="AA60" s="95">
        <f t="shared" si="63"/>
        <v>8.9809495010583051E-2</v>
      </c>
      <c r="AB60" s="95">
        <f t="shared" si="63"/>
        <v>9.5758780649437034E-2</v>
      </c>
      <c r="AC60" s="95">
        <f t="shared" si="63"/>
        <v>-6.3023905619372739E-2</v>
      </c>
      <c r="AD60" s="95">
        <f t="shared" si="63"/>
        <v>0.11068965517241348</v>
      </c>
      <c r="AE60" s="96"/>
      <c r="AF60" s="96"/>
      <c r="AG60" s="39">
        <f>AG58-AG59</f>
        <v>112.50000000000006</v>
      </c>
      <c r="AH60" s="154">
        <f t="shared" ref="AH60:AK60" si="75">AH58-AH59</f>
        <v>104.09999999999997</v>
      </c>
      <c r="AI60" s="39"/>
      <c r="AJ60" s="39">
        <f t="shared" si="75"/>
        <v>83.100000000000023</v>
      </c>
      <c r="AK60" s="39">
        <f t="shared" si="75"/>
        <v>89</v>
      </c>
    </row>
    <row r="61" spans="1:37" s="35" customFormat="1" ht="15" customHeight="1" x14ac:dyDescent="0.25">
      <c r="A61" s="37" t="s">
        <v>83</v>
      </c>
      <c r="B61" s="107">
        <f>C61+AG61+AH61-(AJ61+AK61)</f>
        <v>56.9</v>
      </c>
      <c r="C61" s="8">
        <v>56.1</v>
      </c>
      <c r="D61" s="8">
        <v>57.7</v>
      </c>
      <c r="E61" s="8">
        <v>54.1</v>
      </c>
      <c r="F61" s="8">
        <v>51.4</v>
      </c>
      <c r="G61" s="8">
        <v>46.9</v>
      </c>
      <c r="H61" s="8">
        <v>49.8</v>
      </c>
      <c r="I61" s="336">
        <v>52.9</v>
      </c>
      <c r="K61" s="41">
        <f t="shared" si="64"/>
        <v>2.6975773953444266E-2</v>
      </c>
      <c r="L61" s="41">
        <f t="shared" si="65"/>
        <v>2.8326180257510731E-2</v>
      </c>
      <c r="M61" s="41">
        <f t="shared" si="66"/>
        <v>3.4373882997736215E-2</v>
      </c>
      <c r="N61" s="41">
        <f t="shared" si="67"/>
        <v>3.2412677490863344E-2</v>
      </c>
      <c r="O61" s="41">
        <f t="shared" si="68"/>
        <v>3.1398900427611481E-2</v>
      </c>
      <c r="P61" s="41">
        <f t="shared" si="69"/>
        <v>3.0012158443719201E-2</v>
      </c>
      <c r="Q61" s="41">
        <f t="shared" si="70"/>
        <v>3.3751270755676042E-2</v>
      </c>
      <c r="R61" s="41">
        <f t="shared" si="71"/>
        <v>3.7353481146730684E-2</v>
      </c>
      <c r="T61" s="41">
        <f t="shared" si="72"/>
        <v>9.8368120898744138E-3</v>
      </c>
      <c r="U61" s="41">
        <f>_xlfn.RRI(5.5,H61,B61)</f>
        <v>2.4528792443905489E-2</v>
      </c>
      <c r="V61" s="41">
        <f>_xlfn.RRI(5,H61,C61)</f>
        <v>2.4110228352600682E-2</v>
      </c>
      <c r="W61" s="41">
        <f t="shared" si="73"/>
        <v>1.2102570830364867E-2</v>
      </c>
      <c r="X61" s="41">
        <f t="shared" si="63"/>
        <v>1.426024955436715E-2</v>
      </c>
      <c r="Y61" s="41">
        <f t="shared" si="63"/>
        <v>-2.7729636048526886E-2</v>
      </c>
      <c r="Z61" s="41">
        <f t="shared" si="63"/>
        <v>6.6543438077634035E-2</v>
      </c>
      <c r="AA61" s="41">
        <f t="shared" si="63"/>
        <v>5.2529182879377488E-2</v>
      </c>
      <c r="AB61" s="41">
        <f t="shared" si="63"/>
        <v>9.5948827292110878E-2</v>
      </c>
      <c r="AC61" s="41">
        <f t="shared" si="63"/>
        <v>-5.8232931726907605E-2</v>
      </c>
      <c r="AD61" s="41">
        <f t="shared" si="63"/>
        <v>-5.860113421550097E-2</v>
      </c>
      <c r="AG61" s="8">
        <v>14.4</v>
      </c>
      <c r="AH61" s="144">
        <v>14</v>
      </c>
      <c r="AI61" s="135"/>
      <c r="AJ61" s="8">
        <v>13.4</v>
      </c>
      <c r="AK61" s="8">
        <v>14.2</v>
      </c>
    </row>
    <row r="62" spans="1:37" s="35" customFormat="1" ht="15" customHeight="1" x14ac:dyDescent="0.25">
      <c r="A62" s="37" t="s">
        <v>84</v>
      </c>
      <c r="B62" s="107">
        <f>C62+AG62+AH62-(AJ62+AK62)</f>
        <v>-1.7999999999999998</v>
      </c>
      <c r="C62" s="8">
        <v>-2.5</v>
      </c>
      <c r="D62" s="8">
        <v>-31.2</v>
      </c>
      <c r="E62" s="8">
        <v>0</v>
      </c>
      <c r="F62" s="8">
        <v>0</v>
      </c>
      <c r="G62" s="8">
        <v>8.3000000000000007</v>
      </c>
      <c r="H62" s="8">
        <v>0</v>
      </c>
      <c r="I62" s="336">
        <v>-2.1</v>
      </c>
      <c r="K62" s="41">
        <f t="shared" si="64"/>
        <v>-8.533636751528942E-4</v>
      </c>
      <c r="L62" s="41">
        <f t="shared" si="65"/>
        <v>-1.2623074981065387E-3</v>
      </c>
      <c r="M62" s="41">
        <f t="shared" si="66"/>
        <v>-1.8586917669486478E-2</v>
      </c>
      <c r="N62" s="41">
        <f t="shared" si="67"/>
        <v>0</v>
      </c>
      <c r="O62" s="41">
        <f t="shared" si="68"/>
        <v>0</v>
      </c>
      <c r="P62" s="41">
        <f t="shared" si="69"/>
        <v>5.3113201510206695E-3</v>
      </c>
      <c r="Q62" s="41">
        <f t="shared" si="70"/>
        <v>0</v>
      </c>
      <c r="R62" s="41">
        <f t="shared" si="71"/>
        <v>-1.4828414065809915E-3</v>
      </c>
      <c r="T62" s="41"/>
      <c r="U62" s="41"/>
      <c r="V62" s="41"/>
      <c r="W62" s="41"/>
      <c r="X62" s="41"/>
      <c r="Y62" s="41"/>
      <c r="Z62" s="41"/>
      <c r="AA62" s="41"/>
      <c r="AB62" s="41"/>
      <c r="AC62" s="41"/>
      <c r="AD62" s="41"/>
      <c r="AG62" s="8">
        <v>0</v>
      </c>
      <c r="AH62" s="144">
        <v>-1.8</v>
      </c>
      <c r="AI62" s="135"/>
      <c r="AJ62" s="8">
        <v>0</v>
      </c>
      <c r="AK62" s="8">
        <v>-2.5</v>
      </c>
    </row>
    <row r="63" spans="1:37" s="35" customFormat="1" ht="15" customHeight="1" x14ac:dyDescent="0.25">
      <c r="A63" s="37" t="s">
        <v>85</v>
      </c>
      <c r="B63" s="107">
        <v>1</v>
      </c>
      <c r="C63" s="8">
        <v>1</v>
      </c>
      <c r="D63" s="8">
        <v>2.2000000000000002</v>
      </c>
      <c r="E63" s="8">
        <v>6.5</v>
      </c>
      <c r="F63" s="8">
        <v>6</v>
      </c>
      <c r="G63" s="8">
        <v>4</v>
      </c>
      <c r="H63" s="8">
        <v>16.2</v>
      </c>
      <c r="I63" s="336">
        <v>20.100000000000001</v>
      </c>
      <c r="K63" s="41">
        <f t="shared" si="64"/>
        <v>4.7409093064049683E-4</v>
      </c>
      <c r="L63" s="41">
        <f t="shared" si="65"/>
        <v>5.0492299924261551E-4</v>
      </c>
      <c r="M63" s="41">
        <f t="shared" si="66"/>
        <v>1.3106159895150723E-3</v>
      </c>
      <c r="N63" s="41">
        <f t="shared" si="67"/>
        <v>3.8943143011203646E-3</v>
      </c>
      <c r="O63" s="41">
        <f t="shared" si="68"/>
        <v>3.6652412950519244E-3</v>
      </c>
      <c r="P63" s="41">
        <f t="shared" si="69"/>
        <v>2.5596723619376719E-3</v>
      </c>
      <c r="Q63" s="41">
        <f t="shared" si="70"/>
        <v>1.0979329041003049E-2</v>
      </c>
      <c r="R63" s="41">
        <f t="shared" si="71"/>
        <v>1.4192910605846633E-2</v>
      </c>
      <c r="T63" s="41"/>
      <c r="U63" s="41"/>
      <c r="V63" s="41"/>
      <c r="W63" s="41"/>
      <c r="X63" s="41"/>
      <c r="Y63" s="41"/>
      <c r="Z63" s="41"/>
      <c r="AA63" s="41"/>
      <c r="AB63" s="41"/>
      <c r="AC63" s="41"/>
      <c r="AD63" s="41"/>
      <c r="AG63" s="16">
        <v>0</v>
      </c>
      <c r="AH63" s="155">
        <v>0</v>
      </c>
      <c r="AI63" s="137"/>
      <c r="AJ63" s="16">
        <v>0</v>
      </c>
      <c r="AK63" s="16">
        <v>0</v>
      </c>
    </row>
    <row r="64" spans="1:37" s="35" customFormat="1" ht="15" customHeight="1" x14ac:dyDescent="0.25">
      <c r="A64" s="37" t="str">
        <f>A169</f>
        <v>SG&amp;A (See Note)</v>
      </c>
      <c r="B64" s="108">
        <f>C64+AG64+AH64-(AJ64+AK64)</f>
        <v>158.89999999999998</v>
      </c>
      <c r="C64" s="23">
        <f t="shared" ref="C64:H64" si="76">C169</f>
        <v>153.29999999999998</v>
      </c>
      <c r="D64" s="23">
        <f t="shared" si="76"/>
        <v>148.9</v>
      </c>
      <c r="E64" s="23">
        <f t="shared" si="76"/>
        <v>143.10000000000002</v>
      </c>
      <c r="F64" s="23">
        <f t="shared" si="76"/>
        <v>148.29999999999998</v>
      </c>
      <c r="G64" s="23">
        <f t="shared" si="76"/>
        <v>158.19999999999999</v>
      </c>
      <c r="H64" s="23">
        <f t="shared" si="76"/>
        <v>132.5</v>
      </c>
      <c r="I64" s="23">
        <f>I169</f>
        <v>125.7</v>
      </c>
      <c r="K64" s="42">
        <f t="shared" si="64"/>
        <v>7.5333048878774928E-2</v>
      </c>
      <c r="L64" s="42">
        <f t="shared" si="65"/>
        <v>7.7404695783892946E-2</v>
      </c>
      <c r="M64" s="42">
        <f t="shared" si="66"/>
        <v>8.8704873108542845E-2</v>
      </c>
      <c r="N64" s="42">
        <f t="shared" si="67"/>
        <v>8.5734827152357571E-2</v>
      </c>
      <c r="O64" s="42">
        <f t="shared" si="68"/>
        <v>9.0592547342700044E-2</v>
      </c>
      <c r="P64" s="42">
        <f t="shared" si="69"/>
        <v>0.10123504191463492</v>
      </c>
      <c r="Q64" s="42">
        <f t="shared" si="70"/>
        <v>8.9800067773636055E-2</v>
      </c>
      <c r="R64" s="42">
        <f t="shared" si="71"/>
        <v>8.8758649908205062E-2</v>
      </c>
      <c r="T64" s="42">
        <f t="shared" si="72"/>
        <v>3.3636442967461821E-2</v>
      </c>
      <c r="U64" s="42">
        <f>_xlfn.RRI(5.5,H64,B64)</f>
        <v>3.3586700634519628E-2</v>
      </c>
      <c r="V64" s="42">
        <f>_xlfn.RRI(5,H64,C64)</f>
        <v>2.9592227363256507E-2</v>
      </c>
      <c r="W64" s="42">
        <f t="shared" si="73"/>
        <v>3.6718151209822969E-2</v>
      </c>
      <c r="X64" s="42">
        <f t="shared" ref="X64:AD68" si="77">(B64-C64)/C64</f>
        <v>3.6529680365296774E-2</v>
      </c>
      <c r="Y64" s="42">
        <f t="shared" si="77"/>
        <v>2.9550033579583461E-2</v>
      </c>
      <c r="Z64" s="42">
        <f t="shared" si="77"/>
        <v>4.0531097134870596E-2</v>
      </c>
      <c r="AA64" s="42">
        <f t="shared" si="77"/>
        <v>-3.5064059339177077E-2</v>
      </c>
      <c r="AB64" s="42">
        <f t="shared" si="77"/>
        <v>-6.2579013906447573E-2</v>
      </c>
      <c r="AC64" s="42">
        <f t="shared" si="77"/>
        <v>0.19396226415094331</v>
      </c>
      <c r="AD64" s="42">
        <f t="shared" si="77"/>
        <v>5.4097056483691307E-2</v>
      </c>
      <c r="AF64" s="169"/>
      <c r="AG64" s="8">
        <f>AG169</f>
        <v>43.699999999999996</v>
      </c>
      <c r="AH64" s="144">
        <f t="shared" ref="AH64:AK64" si="78">AH169</f>
        <v>41.6</v>
      </c>
      <c r="AI64" s="135"/>
      <c r="AJ64" s="8">
        <f t="shared" si="78"/>
        <v>40.6</v>
      </c>
      <c r="AK64" s="8">
        <f t="shared" si="78"/>
        <v>39.1</v>
      </c>
    </row>
    <row r="65" spans="1:37" s="35" customFormat="1" ht="15" customHeight="1" x14ac:dyDescent="0.25">
      <c r="A65" s="36" t="s">
        <v>87</v>
      </c>
      <c r="B65" s="25">
        <f>SUM(B61:B64,B59)</f>
        <v>1935.2</v>
      </c>
      <c r="C65" s="25">
        <f>SUM(C61:C64,C59)</f>
        <v>1843.8000000000002</v>
      </c>
      <c r="D65" s="25">
        <f t="shared" ref="D65:G65" si="79">SUM(D61:D64,D59)</f>
        <v>1522.1</v>
      </c>
      <c r="E65" s="25">
        <f t="shared" si="79"/>
        <v>1512.4</v>
      </c>
      <c r="F65" s="25">
        <f t="shared" si="79"/>
        <v>1512</v>
      </c>
      <c r="G65" s="25">
        <f t="shared" si="79"/>
        <v>1478.3000000000002</v>
      </c>
      <c r="H65" s="45">
        <f>SUM(H61:H64,H59)</f>
        <v>1351.9</v>
      </c>
      <c r="I65" s="45">
        <f>SUM(I61:I64,I59)</f>
        <v>1322.8000000000002</v>
      </c>
      <c r="J65" s="64"/>
      <c r="K65" s="97">
        <f t="shared" si="64"/>
        <v>0.91746076897548945</v>
      </c>
      <c r="L65" s="97">
        <f t="shared" si="65"/>
        <v>0.9309770260035346</v>
      </c>
      <c r="M65" s="97">
        <f t="shared" si="66"/>
        <v>0.90676754438222329</v>
      </c>
      <c r="N65" s="97">
        <f t="shared" si="67"/>
        <v>0.90611706907914458</v>
      </c>
      <c r="O65" s="97">
        <f t="shared" si="68"/>
        <v>0.92364080635308488</v>
      </c>
      <c r="P65" s="97">
        <f t="shared" si="69"/>
        <v>0.94599091316311523</v>
      </c>
      <c r="Q65" s="97">
        <f t="shared" si="70"/>
        <v>0.91623178583531018</v>
      </c>
      <c r="R65" s="42">
        <f t="shared" si="71"/>
        <v>0.93404886315492175</v>
      </c>
      <c r="S65" s="64"/>
      <c r="T65" s="42">
        <f t="shared" si="72"/>
        <v>5.6906585750762018E-2</v>
      </c>
      <c r="U65" s="97">
        <f>_xlfn.RRI(5.5,H65,B65)</f>
        <v>6.7391820424440363E-2</v>
      </c>
      <c r="V65" s="97">
        <f>_xlfn.RRI(5,H65,C65)</f>
        <v>6.4029940188893963E-2</v>
      </c>
      <c r="W65" s="42">
        <f t="shared" si="73"/>
        <v>5.7985108067184613E-2</v>
      </c>
      <c r="X65" s="97">
        <f t="shared" si="77"/>
        <v>4.9571537043063163E-2</v>
      </c>
      <c r="Y65" s="97">
        <f t="shared" si="77"/>
        <v>0.21135273635109408</v>
      </c>
      <c r="Z65" s="97">
        <f t="shared" si="77"/>
        <v>6.4136471832847248E-3</v>
      </c>
      <c r="AA65" s="97">
        <f t="shared" si="77"/>
        <v>2.6455026455032469E-4</v>
      </c>
      <c r="AB65" s="97">
        <f t="shared" si="77"/>
        <v>2.2796455387945488E-2</v>
      </c>
      <c r="AC65" s="97">
        <f t="shared" si="77"/>
        <v>9.3498039795842952E-2</v>
      </c>
      <c r="AD65" s="97">
        <f t="shared" si="77"/>
        <v>2.1998790444511571E-2</v>
      </c>
      <c r="AE65" s="64"/>
      <c r="AF65" s="170"/>
      <c r="AG65" s="65">
        <f>SUM(AG61:AG64,AG59)</f>
        <v>522.79999999999995</v>
      </c>
      <c r="AH65" s="156">
        <f t="shared" ref="AH65:AK65" si="80">SUM(AH61:AH64,AH59)</f>
        <v>463.1</v>
      </c>
      <c r="AI65" s="65"/>
      <c r="AJ65" s="65">
        <f t="shared" si="80"/>
        <v>473.4</v>
      </c>
      <c r="AK65" s="65">
        <f t="shared" si="80"/>
        <v>421.1</v>
      </c>
    </row>
    <row r="66" spans="1:37" s="35" customFormat="1" ht="15" customHeight="1" x14ac:dyDescent="0.25">
      <c r="A66" s="36" t="s">
        <v>88</v>
      </c>
      <c r="B66" s="24">
        <f>B58-B65</f>
        <v>174.10000000000014</v>
      </c>
      <c r="C66" s="24">
        <f>C58-C65</f>
        <v>136.69999999999982</v>
      </c>
      <c r="D66" s="24">
        <f t="shared" ref="D66:G66" si="81">D58-D65</f>
        <v>156.5</v>
      </c>
      <c r="E66" s="24">
        <f t="shared" si="81"/>
        <v>156.69999999999982</v>
      </c>
      <c r="F66" s="24">
        <f t="shared" si="81"/>
        <v>125</v>
      </c>
      <c r="G66" s="24">
        <f t="shared" si="81"/>
        <v>84.399999999999864</v>
      </c>
      <c r="H66" s="24">
        <f>H58-H65</f>
        <v>123.59999999999991</v>
      </c>
      <c r="I66" s="24">
        <f>I58-I65</f>
        <v>93.399999999999864</v>
      </c>
      <c r="J66" s="13"/>
      <c r="K66" s="95">
        <f t="shared" si="64"/>
        <v>8.2539231024510565E-2</v>
      </c>
      <c r="L66" s="95">
        <f t="shared" si="65"/>
        <v>6.9022973996465453E-2</v>
      </c>
      <c r="M66" s="95">
        <f t="shared" si="66"/>
        <v>9.3232455617776724E-2</v>
      </c>
      <c r="N66" s="95">
        <f t="shared" si="67"/>
        <v>9.3882930920855451E-2</v>
      </c>
      <c r="O66" s="95">
        <f t="shared" si="68"/>
        <v>7.6359193646915083E-2</v>
      </c>
      <c r="P66" s="95">
        <f t="shared" si="69"/>
        <v>5.4009086836884788E-2</v>
      </c>
      <c r="Q66" s="95">
        <f t="shared" si="70"/>
        <v>8.376821416468988E-2</v>
      </c>
      <c r="R66" s="41">
        <f t="shared" si="71"/>
        <v>6.5951136845078279E-2</v>
      </c>
      <c r="S66" s="13"/>
      <c r="T66" s="41">
        <f t="shared" si="72"/>
        <v>6.5541264622794637E-2</v>
      </c>
      <c r="U66" s="95">
        <f>_xlfn.RRI(5.5,H66,B66)</f>
        <v>6.4267900885250473E-2</v>
      </c>
      <c r="V66" s="95">
        <f>_xlfn.RRI(5,H66,C66)</f>
        <v>2.0351973408096136E-2</v>
      </c>
      <c r="W66" s="41">
        <f t="shared" si="73"/>
        <v>0.12666127605224151</v>
      </c>
      <c r="X66" s="95">
        <f t="shared" si="77"/>
        <v>0.2735918068763743</v>
      </c>
      <c r="Y66" s="95">
        <f t="shared" si="77"/>
        <v>-0.12651757188498519</v>
      </c>
      <c r="Z66" s="95">
        <f t="shared" si="77"/>
        <v>-1.2763241863421718E-3</v>
      </c>
      <c r="AA66" s="95">
        <f t="shared" si="77"/>
        <v>0.25359999999999855</v>
      </c>
      <c r="AB66" s="95">
        <f t="shared" si="77"/>
        <v>0.48104265402843843</v>
      </c>
      <c r="AC66" s="95">
        <f t="shared" si="77"/>
        <v>-0.31715210355987117</v>
      </c>
      <c r="AD66" s="95">
        <f t="shared" si="77"/>
        <v>0.32334047109207803</v>
      </c>
      <c r="AE66" s="13"/>
      <c r="AF66" s="13"/>
      <c r="AG66" s="24">
        <f>AG58-AG65</f>
        <v>54.400000000000091</v>
      </c>
      <c r="AH66" s="157">
        <f t="shared" ref="AH66:AK66" si="82">AH58-AH65</f>
        <v>50.299999999999955</v>
      </c>
      <c r="AI66" s="138"/>
      <c r="AJ66" s="24">
        <f t="shared" si="82"/>
        <v>29.100000000000023</v>
      </c>
      <c r="AK66" s="24">
        <f t="shared" si="82"/>
        <v>38.199999999999989</v>
      </c>
    </row>
    <row r="67" spans="1:37" s="35" customFormat="1" ht="15" customHeight="1" x14ac:dyDescent="0.25">
      <c r="A67" s="37" t="s">
        <v>89</v>
      </c>
      <c r="B67" s="107">
        <f>C67+AG67+AH67-(AJ67+AK67)</f>
        <v>1.5</v>
      </c>
      <c r="C67" s="8">
        <v>2.5</v>
      </c>
      <c r="D67" s="8">
        <v>3.6</v>
      </c>
      <c r="E67" s="8">
        <v>2.2999999999999998</v>
      </c>
      <c r="F67" s="8">
        <v>0.4</v>
      </c>
      <c r="G67" s="8">
        <v>0.9</v>
      </c>
      <c r="H67" s="8">
        <v>2.5</v>
      </c>
      <c r="I67" s="336">
        <v>0.3</v>
      </c>
      <c r="K67" s="41">
        <f t="shared" si="64"/>
        <v>7.1113639596074522E-4</v>
      </c>
      <c r="L67" s="41">
        <f t="shared" si="65"/>
        <v>1.2623074981065387E-3</v>
      </c>
      <c r="M67" s="41">
        <f t="shared" si="66"/>
        <v>2.1446443464792088E-3</v>
      </c>
      <c r="N67" s="41">
        <f t="shared" si="67"/>
        <v>1.3779881373195135E-3</v>
      </c>
      <c r="O67" s="41">
        <f t="shared" si="68"/>
        <v>2.4434941967012828E-4</v>
      </c>
      <c r="P67" s="41">
        <f t="shared" si="69"/>
        <v>5.7592628143597624E-4</v>
      </c>
      <c r="Q67" s="41">
        <f t="shared" si="70"/>
        <v>1.6943409013893595E-3</v>
      </c>
      <c r="R67" s="41">
        <f t="shared" si="71"/>
        <v>2.1183448665442733E-4</v>
      </c>
      <c r="T67" s="41">
        <f t="shared" si="72"/>
        <v>0.42386820499340216</v>
      </c>
      <c r="U67" s="41">
        <f>_xlfn.RRI(5.5,H67,B67)</f>
        <v>-8.8694767901123184E-2</v>
      </c>
      <c r="V67" s="41">
        <f>_xlfn.RRI(5,H67,C67)</f>
        <v>0</v>
      </c>
      <c r="W67" s="41">
        <f t="shared" si="73"/>
        <v>1.5353485162180813</v>
      </c>
      <c r="X67" s="41">
        <f t="shared" si="77"/>
        <v>-0.4</v>
      </c>
      <c r="Y67" s="41">
        <f t="shared" si="77"/>
        <v>-0.30555555555555558</v>
      </c>
      <c r="Z67" s="41">
        <f t="shared" si="77"/>
        <v>0.565217391304348</v>
      </c>
      <c r="AA67" s="41">
        <f t="shared" si="77"/>
        <v>4.7499999999999991</v>
      </c>
      <c r="AB67" s="41">
        <f t="shared" si="77"/>
        <v>-0.55555555555555558</v>
      </c>
      <c r="AC67" s="41">
        <f t="shared" si="77"/>
        <v>-0.64</v>
      </c>
      <c r="AD67" s="41">
        <f t="shared" si="77"/>
        <v>7.3333333333333339</v>
      </c>
      <c r="AG67" s="8">
        <v>0.2</v>
      </c>
      <c r="AH67" s="144">
        <v>-0.2</v>
      </c>
      <c r="AI67" s="135"/>
      <c r="AJ67" s="8">
        <v>0.4</v>
      </c>
      <c r="AK67" s="8">
        <v>0.6</v>
      </c>
    </row>
    <row r="68" spans="1:37" s="35" customFormat="1" ht="15" customHeight="1" x14ac:dyDescent="0.25">
      <c r="A68" s="37" t="s">
        <v>90</v>
      </c>
      <c r="B68" s="107">
        <f>C68+AG68+AH68-(AJ68+AK68)</f>
        <v>-58.199999999999996</v>
      </c>
      <c r="C68" s="8">
        <v>-44.8</v>
      </c>
      <c r="D68" s="8">
        <v>-40.5</v>
      </c>
      <c r="E68" s="8">
        <v>-48.9</v>
      </c>
      <c r="F68" s="8">
        <v>-61.7</v>
      </c>
      <c r="G68" s="8">
        <v>-54.1</v>
      </c>
      <c r="H68" s="8">
        <v>-42.5</v>
      </c>
      <c r="I68" s="336">
        <v>-50.8</v>
      </c>
      <c r="K68" s="41">
        <f t="shared" si="64"/>
        <v>-2.7592092163276911E-2</v>
      </c>
      <c r="L68" s="41">
        <f t="shared" si="65"/>
        <v>-2.2620550366069175E-2</v>
      </c>
      <c r="M68" s="41">
        <f t="shared" si="66"/>
        <v>-2.4127248897891102E-2</v>
      </c>
      <c r="N68" s="41">
        <f t="shared" si="67"/>
        <v>-2.929722604996705E-2</v>
      </c>
      <c r="O68" s="41">
        <f t="shared" si="68"/>
        <v>-3.7690897984117289E-2</v>
      </c>
      <c r="P68" s="41">
        <f t="shared" si="69"/>
        <v>-3.4619568695207013E-2</v>
      </c>
      <c r="Q68" s="41">
        <f t="shared" si="70"/>
        <v>-2.8803795323619111E-2</v>
      </c>
      <c r="R68" s="41">
        <f t="shared" si="71"/>
        <v>-3.5870639740149694E-2</v>
      </c>
      <c r="T68" s="41">
        <f t="shared" si="72"/>
        <v>-2.0730149837643985E-2</v>
      </c>
      <c r="U68" s="41">
        <f>_xlfn.RRI(5.5,H68,B68)</f>
        <v>5.8825455064547505E-2</v>
      </c>
      <c r="V68" s="41">
        <f>_xlfn.RRI(5,H68,C68)</f>
        <v>1.0596562775805785E-2</v>
      </c>
      <c r="W68" s="41">
        <f t="shared" si="73"/>
        <v>3.9440193279659197E-2</v>
      </c>
      <c r="X68" s="41">
        <f t="shared" si="77"/>
        <v>0.29910714285714285</v>
      </c>
      <c r="Y68" s="41">
        <f t="shared" si="77"/>
        <v>0.10617283950617278</v>
      </c>
      <c r="Z68" s="41">
        <f t="shared" si="77"/>
        <v>-0.17177914110429446</v>
      </c>
      <c r="AA68" s="41">
        <f t="shared" si="77"/>
        <v>-0.20745542949756896</v>
      </c>
      <c r="AB68" s="41">
        <f t="shared" si="77"/>
        <v>0.14048059149722739</v>
      </c>
      <c r="AC68" s="41">
        <f t="shared" si="77"/>
        <v>0.27294117647058824</v>
      </c>
      <c r="AD68" s="41">
        <f t="shared" si="77"/>
        <v>-0.1633858267716535</v>
      </c>
      <c r="AG68" s="8">
        <v>-20.3</v>
      </c>
      <c r="AH68" s="144">
        <v>-14</v>
      </c>
      <c r="AI68" s="135"/>
      <c r="AJ68" s="8">
        <v>-11.1</v>
      </c>
      <c r="AK68" s="8">
        <v>-9.8000000000000007</v>
      </c>
    </row>
    <row r="69" spans="1:37" s="35" customFormat="1" ht="15" customHeight="1" x14ac:dyDescent="0.25">
      <c r="A69" s="37" t="s">
        <v>91</v>
      </c>
      <c r="B69" s="107">
        <f>C69+AG69+AH69-(AJ69+AK69)</f>
        <v>0</v>
      </c>
      <c r="C69" s="8">
        <v>0</v>
      </c>
      <c r="D69" s="8">
        <v>0</v>
      </c>
      <c r="E69" s="8">
        <v>0</v>
      </c>
      <c r="F69" s="8">
        <v>0</v>
      </c>
      <c r="G69" s="8">
        <v>0</v>
      </c>
      <c r="H69" s="8">
        <v>-10</v>
      </c>
      <c r="I69" s="336">
        <v>-4.4000000000000004</v>
      </c>
      <c r="K69" s="41">
        <f t="shared" si="64"/>
        <v>0</v>
      </c>
      <c r="L69" s="41">
        <f t="shared" si="65"/>
        <v>0</v>
      </c>
      <c r="M69" s="41">
        <f t="shared" si="66"/>
        <v>0</v>
      </c>
      <c r="N69" s="41">
        <f t="shared" si="67"/>
        <v>0</v>
      </c>
      <c r="O69" s="41">
        <f t="shared" si="68"/>
        <v>0</v>
      </c>
      <c r="P69" s="41">
        <f t="shared" si="69"/>
        <v>0</v>
      </c>
      <c r="Q69" s="41">
        <f t="shared" si="70"/>
        <v>-6.7773636055574382E-3</v>
      </c>
      <c r="R69" s="41">
        <f t="shared" si="71"/>
        <v>-3.1069058042649347E-3</v>
      </c>
      <c r="T69" s="41"/>
      <c r="U69" s="41"/>
      <c r="V69" s="41"/>
      <c r="W69" s="41"/>
      <c r="X69" s="41"/>
      <c r="Y69" s="41"/>
      <c r="Z69" s="41"/>
      <c r="AA69" s="41"/>
      <c r="AB69" s="41"/>
      <c r="AC69" s="41"/>
      <c r="AD69" s="41"/>
      <c r="AG69" s="38">
        <v>0</v>
      </c>
      <c r="AH69" s="158">
        <v>0</v>
      </c>
      <c r="AI69" s="38"/>
      <c r="AJ69" s="38">
        <v>0</v>
      </c>
      <c r="AK69" s="38">
        <v>0</v>
      </c>
    </row>
    <row r="70" spans="1:37" s="35" customFormat="1" ht="15" customHeight="1" x14ac:dyDescent="0.25">
      <c r="A70" s="37" t="s">
        <v>92</v>
      </c>
      <c r="B70" s="108">
        <f>C70+AG70+AH70-(AJ70+AK70)</f>
        <v>0</v>
      </c>
      <c r="C70" s="23">
        <v>0</v>
      </c>
      <c r="D70" s="23">
        <v>0</v>
      </c>
      <c r="E70" s="23">
        <v>0</v>
      </c>
      <c r="F70" s="23">
        <v>0</v>
      </c>
      <c r="G70" s="23">
        <v>0</v>
      </c>
      <c r="H70" s="23">
        <v>-13.3</v>
      </c>
      <c r="I70" s="336">
        <v>0</v>
      </c>
      <c r="K70" s="42">
        <f t="shared" si="64"/>
        <v>0</v>
      </c>
      <c r="L70" s="42">
        <f t="shared" si="65"/>
        <v>0</v>
      </c>
      <c r="M70" s="42">
        <f t="shared" si="66"/>
        <v>0</v>
      </c>
      <c r="N70" s="42">
        <f t="shared" si="67"/>
        <v>0</v>
      </c>
      <c r="O70" s="42">
        <f t="shared" si="68"/>
        <v>0</v>
      </c>
      <c r="P70" s="42">
        <f t="shared" si="69"/>
        <v>0</v>
      </c>
      <c r="Q70" s="42">
        <f t="shared" si="70"/>
        <v>-9.0138935953913927E-3</v>
      </c>
      <c r="R70" s="42">
        <f t="shared" si="71"/>
        <v>0</v>
      </c>
      <c r="T70" s="42"/>
      <c r="U70" s="42"/>
      <c r="V70" s="42"/>
      <c r="W70" s="42"/>
      <c r="X70" s="42"/>
      <c r="Y70" s="42"/>
      <c r="Z70" s="42"/>
      <c r="AA70" s="42"/>
      <c r="AB70" s="42"/>
      <c r="AC70" s="42"/>
      <c r="AD70" s="42"/>
      <c r="AF70" s="169"/>
      <c r="AG70" s="38">
        <v>0</v>
      </c>
      <c r="AH70" s="158">
        <v>0</v>
      </c>
      <c r="AI70" s="38"/>
      <c r="AJ70" s="38">
        <v>0</v>
      </c>
      <c r="AK70" s="38">
        <v>0</v>
      </c>
    </row>
    <row r="71" spans="1:37" s="35" customFormat="1" ht="15" customHeight="1" x14ac:dyDescent="0.25">
      <c r="A71" s="36" t="s">
        <v>93</v>
      </c>
      <c r="B71" s="25">
        <f>SUM(B67:B70)</f>
        <v>-56.699999999999996</v>
      </c>
      <c r="C71" s="25">
        <f>SUM(C67:C70)</f>
        <v>-42.3</v>
      </c>
      <c r="D71" s="25">
        <f t="shared" ref="D71:H71" si="83">SUM(D67:D70)</f>
        <v>-36.9</v>
      </c>
      <c r="E71" s="25">
        <f t="shared" si="83"/>
        <v>-46.6</v>
      </c>
      <c r="F71" s="25">
        <f t="shared" si="83"/>
        <v>-61.300000000000004</v>
      </c>
      <c r="G71" s="25">
        <f t="shared" si="83"/>
        <v>-53.2</v>
      </c>
      <c r="H71" s="45">
        <f t="shared" si="83"/>
        <v>-63.3</v>
      </c>
      <c r="I71" s="45">
        <f t="shared" ref="I71" si="84">SUM(I67:I70)</f>
        <v>-54.9</v>
      </c>
      <c r="J71" s="64"/>
      <c r="K71" s="97">
        <f t="shared" si="64"/>
        <v>-2.6880955767316167E-2</v>
      </c>
      <c r="L71" s="97">
        <f t="shared" si="65"/>
        <v>-2.1358242867962635E-2</v>
      </c>
      <c r="M71" s="97">
        <f t="shared" si="66"/>
        <v>-2.1982604551411891E-2</v>
      </c>
      <c r="N71" s="97">
        <f t="shared" si="67"/>
        <v>-2.7919237912647537E-2</v>
      </c>
      <c r="O71" s="97">
        <f t="shared" si="68"/>
        <v>-3.7446548564447159E-2</v>
      </c>
      <c r="P71" s="97">
        <f t="shared" si="69"/>
        <v>-3.4043642413771037E-2</v>
      </c>
      <c r="Q71" s="97">
        <f t="shared" si="70"/>
        <v>-4.2900711623178579E-2</v>
      </c>
      <c r="R71" s="42">
        <f t="shared" si="71"/>
        <v>-3.8765711057760201E-2</v>
      </c>
      <c r="S71" s="64"/>
      <c r="T71" s="42">
        <f t="shared" si="72"/>
        <v>-4.2523764041100365E-2</v>
      </c>
      <c r="U71" s="97">
        <f t="shared" ref="U71:U76" si="85">_xlfn.RRI(5.5,H71,B71)</f>
        <v>-1.9821129788537561E-2</v>
      </c>
      <c r="V71" s="97">
        <f t="shared" ref="V71:V76" si="86">_xlfn.RRI(5,H71,C71)</f>
        <v>-7.7455484197801128E-2</v>
      </c>
      <c r="W71" s="42">
        <f t="shared" si="73"/>
        <v>2.6358812729640739E-2</v>
      </c>
      <c r="X71" s="97">
        <f t="shared" ref="X71:AD72" si="87">(B71-C71)/C71</f>
        <v>0.34042553191489361</v>
      </c>
      <c r="Y71" s="97">
        <f t="shared" si="87"/>
        <v>0.14634146341463411</v>
      </c>
      <c r="Z71" s="97">
        <f t="shared" si="87"/>
        <v>-0.20815450643776828</v>
      </c>
      <c r="AA71" s="97">
        <f t="shared" si="87"/>
        <v>-0.23980424143556284</v>
      </c>
      <c r="AB71" s="97">
        <f t="shared" si="87"/>
        <v>0.15225563909774437</v>
      </c>
      <c r="AC71" s="97">
        <f t="shared" si="87"/>
        <v>-0.15955766192733009</v>
      </c>
      <c r="AD71" s="97">
        <f t="shared" si="87"/>
        <v>0.15300546448087429</v>
      </c>
      <c r="AE71" s="64"/>
      <c r="AF71" s="170"/>
      <c r="AG71" s="65">
        <f>SUM(AG67:AG70)</f>
        <v>-20.100000000000001</v>
      </c>
      <c r="AH71" s="156">
        <f t="shared" ref="AH71:AK71" si="88">SUM(AH67:AH70)</f>
        <v>-14.2</v>
      </c>
      <c r="AI71" s="65"/>
      <c r="AJ71" s="65">
        <f t="shared" si="88"/>
        <v>-10.7</v>
      </c>
      <c r="AK71" s="65">
        <f t="shared" si="88"/>
        <v>-9.2000000000000011</v>
      </c>
    </row>
    <row r="72" spans="1:37" s="35" customFormat="1" ht="15" customHeight="1" x14ac:dyDescent="0.25">
      <c r="A72" s="36" t="s">
        <v>94</v>
      </c>
      <c r="B72" s="24">
        <f>SUM(B71,B66)</f>
        <v>117.40000000000015</v>
      </c>
      <c r="C72" s="24">
        <f>SUM(C71,C66)</f>
        <v>94.399999999999821</v>
      </c>
      <c r="D72" s="24">
        <f t="shared" ref="D72:G72" si="89">SUM(D71,D66)</f>
        <v>119.6</v>
      </c>
      <c r="E72" s="24">
        <f t="shared" si="89"/>
        <v>110.09999999999982</v>
      </c>
      <c r="F72" s="24">
        <f t="shared" si="89"/>
        <v>63.699999999999996</v>
      </c>
      <c r="G72" s="24">
        <f t="shared" si="89"/>
        <v>31.199999999999861</v>
      </c>
      <c r="H72" s="24">
        <f>SUM(H71,H66)</f>
        <v>60.299999999999912</v>
      </c>
      <c r="I72" s="24">
        <f>SUM(I71,I66)</f>
        <v>38.499999999999865</v>
      </c>
      <c r="J72" s="13"/>
      <c r="K72" s="95">
        <f t="shared" si="64"/>
        <v>5.5658275257194398E-2</v>
      </c>
      <c r="L72" s="95">
        <f t="shared" si="65"/>
        <v>4.7664731128502814E-2</v>
      </c>
      <c r="M72" s="95">
        <f t="shared" si="66"/>
        <v>7.1249851066364833E-2</v>
      </c>
      <c r="N72" s="95">
        <f t="shared" si="67"/>
        <v>6.596369300820791E-2</v>
      </c>
      <c r="O72" s="95">
        <f t="shared" si="68"/>
        <v>3.8912645082467924E-2</v>
      </c>
      <c r="P72" s="95">
        <f t="shared" si="69"/>
        <v>1.9965444423113751E-2</v>
      </c>
      <c r="Q72" s="95">
        <f t="shared" si="70"/>
        <v>4.0867502541511294E-2</v>
      </c>
      <c r="R72" s="41">
        <f t="shared" si="71"/>
        <v>2.7185425787318078E-2</v>
      </c>
      <c r="S72" s="13"/>
      <c r="T72" s="41">
        <f t="shared" si="72"/>
        <v>0.16123079404809881</v>
      </c>
      <c r="U72" s="95">
        <f t="shared" si="85"/>
        <v>0.12877981212619982</v>
      </c>
      <c r="V72" s="95">
        <f t="shared" si="86"/>
        <v>9.3782413973705792E-2</v>
      </c>
      <c r="W72" s="41">
        <f t="shared" si="73"/>
        <v>0.28185067612292747</v>
      </c>
      <c r="X72" s="95">
        <f t="shared" si="87"/>
        <v>0.2436440677966141</v>
      </c>
      <c r="Y72" s="95">
        <f t="shared" si="87"/>
        <v>-0.21070234113712522</v>
      </c>
      <c r="Z72" s="95">
        <f t="shared" si="87"/>
        <v>8.6285195277022581E-2</v>
      </c>
      <c r="AA72" s="95">
        <f t="shared" si="87"/>
        <v>0.72841444270015432</v>
      </c>
      <c r="AB72" s="95">
        <f t="shared" si="87"/>
        <v>1.0416666666666756</v>
      </c>
      <c r="AC72" s="95">
        <f t="shared" si="87"/>
        <v>-0.48258706467661849</v>
      </c>
      <c r="AD72" s="95">
        <f t="shared" si="87"/>
        <v>0.56623376623376942</v>
      </c>
      <c r="AE72" s="13"/>
      <c r="AF72" s="13"/>
      <c r="AG72" s="24">
        <f t="shared" ref="AG72:AK72" si="90">SUM(AG71,AG66)</f>
        <v>34.30000000000009</v>
      </c>
      <c r="AH72" s="157">
        <f t="shared" si="90"/>
        <v>36.099999999999952</v>
      </c>
      <c r="AI72" s="138"/>
      <c r="AJ72" s="24">
        <f t="shared" si="90"/>
        <v>18.400000000000023</v>
      </c>
      <c r="AK72" s="24">
        <f t="shared" si="90"/>
        <v>28.999999999999986</v>
      </c>
    </row>
    <row r="73" spans="1:37" s="35" customFormat="1" ht="15" customHeight="1" x14ac:dyDescent="0.25">
      <c r="A73" s="37" t="str">
        <f>A177</f>
        <v>Income tax provision (See Note)</v>
      </c>
      <c r="B73" s="108">
        <f>C73+AG73+AH73-(AJ73+AK73)</f>
        <v>34.9</v>
      </c>
      <c r="C73" s="23">
        <f>C177</f>
        <v>31.6</v>
      </c>
      <c r="D73" s="23">
        <f>D177</f>
        <v>34.499999999999993</v>
      </c>
      <c r="E73" s="23">
        <f>E177</f>
        <v>21</v>
      </c>
      <c r="F73" s="23">
        <f>F177</f>
        <v>0</v>
      </c>
      <c r="G73" s="23">
        <f>G177</f>
        <v>25.7</v>
      </c>
      <c r="H73" s="23">
        <f t="shared" ref="H73:I73" si="91">H177</f>
        <v>29</v>
      </c>
      <c r="I73" s="23">
        <f t="shared" si="91"/>
        <v>11.4</v>
      </c>
      <c r="K73" s="42">
        <f t="shared" si="64"/>
        <v>1.6545773479353338E-2</v>
      </c>
      <c r="L73" s="42">
        <f t="shared" si="65"/>
        <v>1.5955566776066649E-2</v>
      </c>
      <c r="M73" s="42">
        <f t="shared" si="66"/>
        <v>2.055284165375908E-2</v>
      </c>
      <c r="N73" s="42">
        <f t="shared" si="67"/>
        <v>1.2581630819004255E-2</v>
      </c>
      <c r="O73" s="42">
        <f t="shared" si="68"/>
        <v>0</v>
      </c>
      <c r="P73" s="42">
        <f t="shared" si="69"/>
        <v>1.6445894925449542E-2</v>
      </c>
      <c r="Q73" s="42">
        <f t="shared" si="70"/>
        <v>1.965435445611657E-2</v>
      </c>
      <c r="R73" s="42">
        <f t="shared" si="71"/>
        <v>8.0497104928682391E-3</v>
      </c>
      <c r="T73" s="42"/>
      <c r="U73" s="42"/>
      <c r="V73" s="42"/>
      <c r="W73" s="42"/>
      <c r="X73" s="42"/>
      <c r="Y73" s="42"/>
      <c r="Z73" s="42"/>
      <c r="AA73" s="42"/>
      <c r="AB73" s="42"/>
      <c r="AC73" s="42"/>
      <c r="AD73" s="42"/>
      <c r="AF73" s="169"/>
      <c r="AG73" s="23">
        <v>9.9</v>
      </c>
      <c r="AH73" s="146">
        <v>9.9</v>
      </c>
      <c r="AI73" s="136"/>
      <c r="AJ73" s="23">
        <v>6.8</v>
      </c>
      <c r="AK73" s="23">
        <v>9.6999999999999993</v>
      </c>
    </row>
    <row r="74" spans="1:37" s="35" customFormat="1" ht="15" customHeight="1" x14ac:dyDescent="0.25">
      <c r="A74" s="36" t="s">
        <v>102</v>
      </c>
      <c r="B74" s="24">
        <f>B72-B73</f>
        <v>82.500000000000142</v>
      </c>
      <c r="C74" s="24">
        <f>C72-C73</f>
        <v>62.79999999999982</v>
      </c>
      <c r="D74" s="24">
        <f t="shared" ref="D74:I74" si="92">D72-D73</f>
        <v>85.1</v>
      </c>
      <c r="E74" s="24">
        <f t="shared" si="92"/>
        <v>89.099999999999824</v>
      </c>
      <c r="F74" s="24">
        <f t="shared" si="92"/>
        <v>63.699999999999996</v>
      </c>
      <c r="G74" s="24">
        <f t="shared" si="92"/>
        <v>5.4999999999998614</v>
      </c>
      <c r="H74" s="24">
        <f t="shared" si="92"/>
        <v>31.299999999999912</v>
      </c>
      <c r="I74" s="24">
        <f t="shared" si="92"/>
        <v>27.099999999999866</v>
      </c>
      <c r="J74" s="13"/>
      <c r="K74" s="95">
        <f t="shared" si="64"/>
        <v>3.9112501777841056E-2</v>
      </c>
      <c r="L74" s="95">
        <f t="shared" si="65"/>
        <v>3.1709164352436162E-2</v>
      </c>
      <c r="M74" s="95">
        <f t="shared" si="66"/>
        <v>5.0697009412605742E-2</v>
      </c>
      <c r="N74" s="95">
        <f t="shared" si="67"/>
        <v>5.3382062189203661E-2</v>
      </c>
      <c r="O74" s="95">
        <f t="shared" si="68"/>
        <v>3.8912645082467924E-2</v>
      </c>
      <c r="P74" s="95">
        <f t="shared" si="69"/>
        <v>3.51954949766421E-3</v>
      </c>
      <c r="Q74" s="95">
        <f t="shared" si="70"/>
        <v>2.121314808539472E-2</v>
      </c>
      <c r="R74" s="41">
        <f t="shared" si="71"/>
        <v>1.9135715294449841E-2</v>
      </c>
      <c r="S74" s="13"/>
      <c r="T74" s="41">
        <f t="shared" si="72"/>
        <v>0.15035457882533687</v>
      </c>
      <c r="U74" s="95">
        <f t="shared" si="85"/>
        <v>0.1926939607204754</v>
      </c>
      <c r="V74" s="95">
        <f t="shared" si="86"/>
        <v>0.14943141134056837</v>
      </c>
      <c r="W74" s="41">
        <f t="shared" si="73"/>
        <v>1.4740027043491808</v>
      </c>
      <c r="X74" s="95">
        <f t="shared" ref="X74:AD74" si="93">(B74-C74)/C74</f>
        <v>0.3136942675159296</v>
      </c>
      <c r="Y74" s="95">
        <f t="shared" si="93"/>
        <v>-0.26204465334900323</v>
      </c>
      <c r="Z74" s="95">
        <f t="shared" si="93"/>
        <v>-4.4893378226709732E-2</v>
      </c>
      <c r="AA74" s="95">
        <f t="shared" si="93"/>
        <v>0.39874411302982465</v>
      </c>
      <c r="AB74" s="95">
        <f t="shared" si="93"/>
        <v>10.581818181818472</v>
      </c>
      <c r="AC74" s="95">
        <f t="shared" si="93"/>
        <v>-0.82428115015974834</v>
      </c>
      <c r="AD74" s="95">
        <f t="shared" si="93"/>
        <v>0.15498154981550061</v>
      </c>
      <c r="AE74" s="13"/>
      <c r="AF74" s="13"/>
      <c r="AG74" s="24">
        <f t="shared" ref="AG74:AK74" si="94">AG72-AG73</f>
        <v>24.400000000000091</v>
      </c>
      <c r="AH74" s="157">
        <f t="shared" si="94"/>
        <v>26.199999999999953</v>
      </c>
      <c r="AI74" s="138"/>
      <c r="AJ74" s="24">
        <f t="shared" si="94"/>
        <v>11.600000000000023</v>
      </c>
      <c r="AK74" s="24">
        <f t="shared" si="94"/>
        <v>19.299999999999986</v>
      </c>
    </row>
    <row r="75" spans="1:37" s="35" customFormat="1" ht="15" customHeight="1" x14ac:dyDescent="0.25">
      <c r="A75" s="37" t="s">
        <v>103</v>
      </c>
      <c r="B75" s="108">
        <f>C75+AG75+AH75-(AJ75+AK75)</f>
        <v>-9.9999999999999978E-2</v>
      </c>
      <c r="C75" s="23">
        <v>-0.6</v>
      </c>
      <c r="D75" s="23">
        <v>-0.2</v>
      </c>
      <c r="E75" s="23">
        <v>31.9</v>
      </c>
      <c r="F75" s="23">
        <v>3.7</v>
      </c>
      <c r="G75" s="23">
        <v>23.7</v>
      </c>
      <c r="H75" s="23">
        <v>-0.8</v>
      </c>
      <c r="I75" s="345">
        <v>0.6</v>
      </c>
      <c r="K75" s="42">
        <f t="shared" si="64"/>
        <v>-4.7409093064049671E-5</v>
      </c>
      <c r="L75" s="42">
        <f t="shared" si="65"/>
        <v>-3.029537995455693E-4</v>
      </c>
      <c r="M75" s="42">
        <f t="shared" si="66"/>
        <v>-1.1914690813773384E-4</v>
      </c>
      <c r="N75" s="42">
        <f t="shared" si="67"/>
        <v>1.9112096339344558E-2</v>
      </c>
      <c r="O75" s="42">
        <f t="shared" si="68"/>
        <v>2.2602321319486868E-3</v>
      </c>
      <c r="P75" s="42">
        <f t="shared" si="69"/>
        <v>1.5166058744480706E-2</v>
      </c>
      <c r="Q75" s="42">
        <f t="shared" si="70"/>
        <v>-5.4218908844459507E-4</v>
      </c>
      <c r="R75" s="42">
        <f t="shared" si="71"/>
        <v>4.2366897330885467E-4</v>
      </c>
      <c r="T75" s="42"/>
      <c r="U75" s="42"/>
      <c r="V75" s="42"/>
      <c r="W75" s="42"/>
      <c r="X75" s="42"/>
      <c r="Y75" s="42"/>
      <c r="Z75" s="42"/>
      <c r="AA75" s="42"/>
      <c r="AB75" s="42"/>
      <c r="AC75" s="42"/>
      <c r="AD75" s="42"/>
      <c r="AF75" s="169"/>
      <c r="AG75" s="23">
        <v>0</v>
      </c>
      <c r="AH75" s="146">
        <v>0</v>
      </c>
      <c r="AI75" s="136"/>
      <c r="AJ75" s="23">
        <v>0</v>
      </c>
      <c r="AK75" s="23">
        <v>-0.5</v>
      </c>
    </row>
    <row r="76" spans="1:37" s="35" customFormat="1" ht="15" customHeight="1" x14ac:dyDescent="0.25">
      <c r="A76" s="36" t="s">
        <v>104</v>
      </c>
      <c r="B76" s="76">
        <f>SUM(B74:B75)</f>
        <v>82.400000000000148</v>
      </c>
      <c r="C76" s="76">
        <f>SUM(C74:C75)</f>
        <v>62.199999999999818</v>
      </c>
      <c r="D76" s="76">
        <f t="shared" ref="D76:I76" si="95">SUM(D74:D75)</f>
        <v>84.899999999999991</v>
      </c>
      <c r="E76" s="76">
        <f t="shared" si="95"/>
        <v>120.99999999999983</v>
      </c>
      <c r="F76" s="76">
        <f t="shared" si="95"/>
        <v>67.399999999999991</v>
      </c>
      <c r="G76" s="76">
        <f t="shared" si="95"/>
        <v>29.199999999999861</v>
      </c>
      <c r="H76" s="76">
        <f t="shared" si="95"/>
        <v>30.499999999999911</v>
      </c>
      <c r="I76" s="335">
        <f t="shared" si="95"/>
        <v>27.699999999999868</v>
      </c>
      <c r="J76" s="13"/>
      <c r="K76" s="95">
        <f t="shared" si="64"/>
        <v>3.9065092684777009E-2</v>
      </c>
      <c r="L76" s="95">
        <f t="shared" si="65"/>
        <v>3.1406210552890591E-2</v>
      </c>
      <c r="M76" s="95">
        <f t="shared" si="66"/>
        <v>5.0577862504468003E-2</v>
      </c>
      <c r="N76" s="95">
        <f t="shared" si="67"/>
        <v>7.2494158528548222E-2</v>
      </c>
      <c r="O76" s="95">
        <f t="shared" si="68"/>
        <v>4.1172877214416613E-2</v>
      </c>
      <c r="P76" s="95">
        <f t="shared" si="69"/>
        <v>1.8685608242144915E-2</v>
      </c>
      <c r="Q76" s="95">
        <f t="shared" si="70"/>
        <v>2.0670958996950126E-2</v>
      </c>
      <c r="R76" s="41">
        <f t="shared" si="71"/>
        <v>1.9559384267758696E-2</v>
      </c>
      <c r="S76" s="13"/>
      <c r="T76" s="41">
        <f t="shared" si="72"/>
        <v>0.1443312795824383</v>
      </c>
      <c r="U76" s="95">
        <f t="shared" si="85"/>
        <v>0.19805761538122102</v>
      </c>
      <c r="V76" s="95">
        <f t="shared" si="86"/>
        <v>0.15318267496564375</v>
      </c>
      <c r="W76" s="41">
        <f t="shared" si="73"/>
        <v>0.27442426283298915</v>
      </c>
      <c r="X76" s="95">
        <f t="shared" ref="X76:AD76" si="96">(B76-C76)/C76</f>
        <v>0.32475884244373615</v>
      </c>
      <c r="Y76" s="95">
        <f t="shared" si="96"/>
        <v>-0.26737338044758746</v>
      </c>
      <c r="Z76" s="95">
        <f t="shared" si="96"/>
        <v>-0.29834710743801562</v>
      </c>
      <c r="AA76" s="95">
        <f t="shared" si="96"/>
        <v>0.79525222551928554</v>
      </c>
      <c r="AB76" s="95">
        <f t="shared" si="96"/>
        <v>1.3082191780822026</v>
      </c>
      <c r="AC76" s="95">
        <f t="shared" si="96"/>
        <v>-4.2622950819673912E-2</v>
      </c>
      <c r="AD76" s="95">
        <f t="shared" si="96"/>
        <v>0.10108303249097678</v>
      </c>
      <c r="AE76" s="13"/>
      <c r="AF76" s="13"/>
      <c r="AG76" s="76">
        <f t="shared" ref="AG76:AK76" si="97">SUM(AG74:AG75)</f>
        <v>24.400000000000091</v>
      </c>
      <c r="AH76" s="159">
        <f t="shared" si="97"/>
        <v>26.199999999999953</v>
      </c>
      <c r="AI76" s="139"/>
      <c r="AJ76" s="76">
        <f t="shared" si="97"/>
        <v>11.600000000000023</v>
      </c>
      <c r="AK76" s="76">
        <f t="shared" si="97"/>
        <v>18.799999999999986</v>
      </c>
    </row>
    <row r="77" spans="1:37" s="35" customFormat="1" ht="15" customHeight="1" x14ac:dyDescent="0.25">
      <c r="A77" s="37" t="s">
        <v>105</v>
      </c>
      <c r="B77" s="108">
        <f>C77+AG77+AH77-(AJ77+AK77)</f>
        <v>0.49999999999999989</v>
      </c>
      <c r="C77" s="23">
        <v>-0.2</v>
      </c>
      <c r="D77" s="23">
        <v>-0.3</v>
      </c>
      <c r="E77" s="23">
        <v>-1</v>
      </c>
      <c r="F77" s="23">
        <v>0.8</v>
      </c>
      <c r="G77" s="23">
        <v>5.8</v>
      </c>
      <c r="H77" s="23">
        <v>1.4</v>
      </c>
      <c r="I77" s="346">
        <v>-1.6</v>
      </c>
      <c r="K77" s="42">
        <f t="shared" si="64"/>
        <v>2.3704546532024836E-4</v>
      </c>
      <c r="L77" s="42">
        <f t="shared" si="65"/>
        <v>-1.009845998485231E-4</v>
      </c>
      <c r="M77" s="42">
        <f t="shared" si="66"/>
        <v>-1.7872036220660075E-4</v>
      </c>
      <c r="N77" s="42">
        <f t="shared" si="67"/>
        <v>-5.9912527709544072E-4</v>
      </c>
      <c r="O77" s="42">
        <f t="shared" si="68"/>
        <v>4.8869883934025656E-4</v>
      </c>
      <c r="P77" s="42">
        <f t="shared" si="69"/>
        <v>3.7115249248096242E-3</v>
      </c>
      <c r="Q77" s="42">
        <f t="shared" si="70"/>
        <v>9.4883090477804123E-4</v>
      </c>
      <c r="R77" s="42">
        <f t="shared" si="71"/>
        <v>-1.1297839288236125E-3</v>
      </c>
      <c r="T77" s="42">
        <f t="shared" si="72"/>
        <v>-0.29289321881345243</v>
      </c>
      <c r="U77" s="42"/>
      <c r="V77" s="42"/>
      <c r="W77" s="42"/>
      <c r="X77" s="42"/>
      <c r="Y77" s="42"/>
      <c r="Z77" s="42"/>
      <c r="AA77" s="42"/>
      <c r="AB77" s="42"/>
      <c r="AC77" s="42"/>
      <c r="AD77" s="42"/>
      <c r="AF77" s="169"/>
      <c r="AG77" s="8">
        <v>-0.1</v>
      </c>
      <c r="AH77" s="144">
        <v>0.7</v>
      </c>
      <c r="AI77" s="135"/>
      <c r="AJ77" s="8">
        <v>-0.1</v>
      </c>
      <c r="AK77" s="8">
        <v>0</v>
      </c>
    </row>
    <row r="78" spans="1:37" s="35" customFormat="1" ht="15" customHeight="1" thickBot="1" x14ac:dyDescent="0.3">
      <c r="A78" s="36" t="s">
        <v>106</v>
      </c>
      <c r="B78" s="30">
        <f>B76-B77</f>
        <v>81.900000000000148</v>
      </c>
      <c r="C78" s="30">
        <f>C76-C77</f>
        <v>62.399999999999821</v>
      </c>
      <c r="D78" s="30">
        <f t="shared" ref="D78:I78" si="98">D76-D77</f>
        <v>85.199999999999989</v>
      </c>
      <c r="E78" s="30">
        <f t="shared" si="98"/>
        <v>121.99999999999983</v>
      </c>
      <c r="F78" s="30">
        <f t="shared" si="98"/>
        <v>66.599999999999994</v>
      </c>
      <c r="G78" s="30">
        <f t="shared" si="98"/>
        <v>23.39999999999986</v>
      </c>
      <c r="H78" s="30">
        <f t="shared" si="98"/>
        <v>29.099999999999913</v>
      </c>
      <c r="I78" s="338">
        <f t="shared" si="98"/>
        <v>29.299999999999869</v>
      </c>
      <c r="J78" s="13"/>
      <c r="K78" s="98">
        <f t="shared" si="64"/>
        <v>3.8828047219456756E-2</v>
      </c>
      <c r="L78" s="98">
        <f t="shared" si="65"/>
        <v>3.1507195152739115E-2</v>
      </c>
      <c r="M78" s="98">
        <f t="shared" si="66"/>
        <v>5.0756582866674609E-2</v>
      </c>
      <c r="N78" s="98">
        <f t="shared" si="67"/>
        <v>7.3093283805643658E-2</v>
      </c>
      <c r="O78" s="98">
        <f t="shared" si="68"/>
        <v>4.0684178375076353E-2</v>
      </c>
      <c r="P78" s="98">
        <f t="shared" si="69"/>
        <v>1.4974083317335291E-2</v>
      </c>
      <c r="Q78" s="98">
        <f t="shared" si="70"/>
        <v>1.9722128092172084E-2</v>
      </c>
      <c r="R78" s="347">
        <f t="shared" si="71"/>
        <v>2.068916819658231E-2</v>
      </c>
      <c r="S78" s="13"/>
      <c r="T78" s="348">
        <f t="shared" si="72"/>
        <v>0.1342779637624798</v>
      </c>
      <c r="U78" s="128">
        <f>_xlfn.RRI(5.5,H78,B78)</f>
        <v>0.20700046854584064</v>
      </c>
      <c r="V78" s="98">
        <f>_xlfn.RRI(5,H78,C78)</f>
        <v>0.16481866231803299</v>
      </c>
      <c r="W78" s="349">
        <f t="shared" si="73"/>
        <v>0.31693406752774816</v>
      </c>
      <c r="X78" s="98">
        <f t="shared" ref="X78:AD78" si="99">(B78-C78)/C78</f>
        <v>0.31250000000000616</v>
      </c>
      <c r="Y78" s="98">
        <f t="shared" si="99"/>
        <v>-0.26760563380281893</v>
      </c>
      <c r="Z78" s="98">
        <f t="shared" si="99"/>
        <v>-0.30163934426229422</v>
      </c>
      <c r="AA78" s="98">
        <f t="shared" si="99"/>
        <v>0.8318318318318294</v>
      </c>
      <c r="AB78" s="98">
        <f t="shared" si="99"/>
        <v>1.8461538461538627</v>
      </c>
      <c r="AC78" s="98">
        <f t="shared" si="99"/>
        <v>-0.1958762886597962</v>
      </c>
      <c r="AD78" s="98">
        <f t="shared" si="99"/>
        <v>-6.8259385665514526E-3</v>
      </c>
      <c r="AE78" s="13"/>
      <c r="AF78" s="171"/>
      <c r="AG78" s="30">
        <f t="shared" ref="AG78:AK78" si="100">AG76-AG77</f>
        <v>24.500000000000092</v>
      </c>
      <c r="AH78" s="160">
        <f t="shared" si="100"/>
        <v>25.499999999999954</v>
      </c>
      <c r="AI78" s="140"/>
      <c r="AJ78" s="30">
        <f t="shared" si="100"/>
        <v>11.700000000000022</v>
      </c>
      <c r="AK78" s="30">
        <f t="shared" si="100"/>
        <v>18.799999999999986</v>
      </c>
    </row>
    <row r="79" spans="1:37" s="35" customFormat="1" ht="15" customHeight="1" thickTop="1" x14ac:dyDescent="0.25">
      <c r="I79" s="38"/>
    </row>
    <row r="80" spans="1:37" s="35" customFormat="1" ht="15" customHeight="1" x14ac:dyDescent="0.25">
      <c r="A80" s="78" t="s">
        <v>115</v>
      </c>
      <c r="B80" s="38">
        <f>C80+AG80+AH80-(AJ80+AK80)</f>
        <v>21.020000000000003</v>
      </c>
      <c r="C80" s="38">
        <v>21.21</v>
      </c>
      <c r="D80" s="38">
        <v>21.93</v>
      </c>
      <c r="E80" s="38">
        <v>21.37</v>
      </c>
      <c r="F80" s="38">
        <v>21.07</v>
      </c>
      <c r="G80" s="38">
        <v>20.87</v>
      </c>
      <c r="H80" s="38">
        <v>22</v>
      </c>
      <c r="I80" s="336">
        <v>21.06</v>
      </c>
      <c r="AG80" s="77">
        <v>21.35</v>
      </c>
      <c r="AH80" s="77">
        <v>21.39</v>
      </c>
      <c r="AI80" s="77"/>
      <c r="AJ80" s="77">
        <v>21.24</v>
      </c>
      <c r="AK80" s="77">
        <v>21.69</v>
      </c>
    </row>
    <row r="81" spans="1:37" s="35" customFormat="1" ht="15" customHeight="1" x14ac:dyDescent="0.25">
      <c r="A81" s="78" t="s">
        <v>116</v>
      </c>
      <c r="B81" s="43">
        <f>B78/B80</f>
        <v>3.8962892483349254</v>
      </c>
      <c r="C81" s="43">
        <f>C78/C80</f>
        <v>2.9420084865629335</v>
      </c>
      <c r="D81" s="43">
        <f t="shared" ref="D81:I81" si="101">D78/D80</f>
        <v>3.8850889192886453</v>
      </c>
      <c r="E81" s="43">
        <f t="shared" si="101"/>
        <v>5.708937763219458</v>
      </c>
      <c r="F81" s="43">
        <f t="shared" si="101"/>
        <v>3.1608922638822969</v>
      </c>
      <c r="G81" s="43">
        <f t="shared" si="101"/>
        <v>1.1212266411116367</v>
      </c>
      <c r="H81" s="43">
        <f t="shared" si="101"/>
        <v>1.3227272727272688</v>
      </c>
      <c r="I81" s="43">
        <f t="shared" si="101"/>
        <v>1.3912630579297185</v>
      </c>
      <c r="L81" s="40"/>
      <c r="M81" s="40"/>
      <c r="N81" s="40"/>
      <c r="O81" s="40"/>
      <c r="P81" s="40"/>
      <c r="Q81" s="40"/>
      <c r="R81" s="40"/>
      <c r="S81" s="40"/>
      <c r="T81" s="40"/>
    </row>
    <row r="82" spans="1:37" s="35" customFormat="1" ht="15" customHeight="1" x14ac:dyDescent="0.25">
      <c r="A82" s="78" t="s">
        <v>159</v>
      </c>
      <c r="B82" s="43">
        <f>B139/B80</f>
        <v>0.23786869647954326</v>
      </c>
      <c r="C82" s="43">
        <f>C139/C80</f>
        <v>0.19801980198019803</v>
      </c>
      <c r="D82" s="43">
        <f t="shared" ref="D82:I82" si="102">D139/D80</f>
        <v>0</v>
      </c>
      <c r="E82" s="43">
        <f t="shared" si="102"/>
        <v>0</v>
      </c>
      <c r="F82" s="43">
        <f t="shared" si="102"/>
        <v>0</v>
      </c>
      <c r="G82" s="43">
        <f t="shared" si="102"/>
        <v>0</v>
      </c>
      <c r="H82" s="43">
        <f t="shared" si="102"/>
        <v>0</v>
      </c>
      <c r="I82" s="43">
        <f t="shared" si="102"/>
        <v>0</v>
      </c>
    </row>
    <row r="83" spans="1:37" s="35" customFormat="1" ht="15" customHeight="1" x14ac:dyDescent="0.25">
      <c r="I83" s="38"/>
    </row>
    <row r="84" spans="1:37" s="1" customFormat="1" x14ac:dyDescent="0.25">
      <c r="A84" s="1" t="s">
        <v>111</v>
      </c>
      <c r="B84" s="1" t="s">
        <v>264</v>
      </c>
      <c r="I84" s="331"/>
      <c r="K84" s="1" t="s">
        <v>264</v>
      </c>
      <c r="U84" s="1" t="s">
        <v>264</v>
      </c>
      <c r="AF84" s="1" t="s">
        <v>0</v>
      </c>
    </row>
    <row r="85" spans="1:37" s="1" customFormat="1" x14ac:dyDescent="0.25">
      <c r="A85" s="1" t="s">
        <v>163</v>
      </c>
      <c r="I85" s="331"/>
      <c r="K85" s="1" t="s">
        <v>161</v>
      </c>
      <c r="U85" s="1" t="s">
        <v>74</v>
      </c>
      <c r="AF85" s="1" t="s">
        <v>73</v>
      </c>
    </row>
    <row r="86" spans="1:37" s="1" customFormat="1" x14ac:dyDescent="0.25">
      <c r="A86" s="1" t="s">
        <v>3</v>
      </c>
      <c r="H86" s="2"/>
      <c r="I86" s="332"/>
      <c r="Q86" s="2"/>
      <c r="R86" s="2"/>
      <c r="T86" s="1" t="s">
        <v>536</v>
      </c>
      <c r="U86" s="1" t="s">
        <v>263</v>
      </c>
      <c r="V86" s="1" t="s">
        <v>4</v>
      </c>
      <c r="W86" s="1" t="s">
        <v>5</v>
      </c>
      <c r="X86" s="22" t="s">
        <v>75</v>
      </c>
      <c r="Y86" s="1" t="s">
        <v>6</v>
      </c>
      <c r="Z86" s="1" t="s">
        <v>7</v>
      </c>
      <c r="AA86" s="1" t="s">
        <v>8</v>
      </c>
      <c r="AB86" s="1" t="s">
        <v>9</v>
      </c>
      <c r="AC86" s="1" t="s">
        <v>10</v>
      </c>
      <c r="AD86" s="1" t="s">
        <v>537</v>
      </c>
      <c r="AF86" s="109" t="s">
        <v>262</v>
      </c>
      <c r="AG86" s="109" t="s">
        <v>260</v>
      </c>
      <c r="AH86" s="111" t="s">
        <v>261</v>
      </c>
      <c r="AI86" s="109" t="s">
        <v>262</v>
      </c>
      <c r="AJ86" s="109" t="s">
        <v>260</v>
      </c>
      <c r="AK86" s="109" t="s">
        <v>261</v>
      </c>
    </row>
    <row r="87" spans="1:37" s="1" customFormat="1" ht="15.75" thickBot="1" x14ac:dyDescent="0.3">
      <c r="A87" s="2" t="s">
        <v>11</v>
      </c>
      <c r="B87" s="17" t="s">
        <v>72</v>
      </c>
      <c r="C87" s="3">
        <v>2022</v>
      </c>
      <c r="D87" s="3">
        <v>2021</v>
      </c>
      <c r="E87" s="3">
        <v>2020</v>
      </c>
      <c r="F87" s="3">
        <v>2019</v>
      </c>
      <c r="G87" s="3">
        <v>2018</v>
      </c>
      <c r="H87" s="3">
        <v>2017</v>
      </c>
      <c r="I87" s="3">
        <v>2016</v>
      </c>
      <c r="K87" s="17" t="s">
        <v>72</v>
      </c>
      <c r="L87" s="3">
        <v>2022</v>
      </c>
      <c r="M87" s="3">
        <v>2021</v>
      </c>
      <c r="N87" s="3">
        <v>2020</v>
      </c>
      <c r="O87" s="3">
        <v>2019</v>
      </c>
      <c r="P87" s="3">
        <v>2018</v>
      </c>
      <c r="Q87" s="3">
        <v>2017</v>
      </c>
      <c r="R87" s="3">
        <v>2016</v>
      </c>
      <c r="T87" s="4" t="s">
        <v>12</v>
      </c>
      <c r="U87" s="4" t="s">
        <v>12</v>
      </c>
      <c r="V87" s="4" t="s">
        <v>12</v>
      </c>
      <c r="W87" s="4" t="s">
        <v>13</v>
      </c>
      <c r="X87" s="21" t="s">
        <v>72</v>
      </c>
      <c r="Y87" s="3">
        <v>2022</v>
      </c>
      <c r="Z87" s="3">
        <v>2021</v>
      </c>
      <c r="AA87" s="3">
        <v>2020</v>
      </c>
      <c r="AB87" s="3">
        <v>2019</v>
      </c>
      <c r="AC87" s="3">
        <v>2018</v>
      </c>
      <c r="AD87" s="3">
        <v>2017</v>
      </c>
      <c r="AE87" s="7"/>
      <c r="AF87" s="110">
        <v>2023</v>
      </c>
      <c r="AG87" s="110">
        <v>2023</v>
      </c>
      <c r="AH87" s="112">
        <v>2023</v>
      </c>
      <c r="AI87" s="110">
        <v>2022</v>
      </c>
      <c r="AJ87" s="110">
        <v>2022</v>
      </c>
      <c r="AK87" s="110">
        <v>2022</v>
      </c>
    </row>
    <row r="88" spans="1:37" x14ac:dyDescent="0.25">
      <c r="A88" s="14" t="s">
        <v>104</v>
      </c>
      <c r="B88" s="28">
        <f>B76</f>
        <v>82.400000000000148</v>
      </c>
      <c r="C88" s="28">
        <f>C76</f>
        <v>62.199999999999818</v>
      </c>
      <c r="D88" s="28">
        <f t="shared" ref="D88:I88" si="103">D76</f>
        <v>84.899999999999991</v>
      </c>
      <c r="E88" s="28">
        <f t="shared" si="103"/>
        <v>120.99999999999983</v>
      </c>
      <c r="F88" s="28">
        <f t="shared" si="103"/>
        <v>67.399999999999991</v>
      </c>
      <c r="G88" s="28">
        <f t="shared" si="103"/>
        <v>29.199999999999861</v>
      </c>
      <c r="H88" s="28">
        <f t="shared" si="103"/>
        <v>30.499999999999911</v>
      </c>
      <c r="I88" s="186">
        <f t="shared" si="103"/>
        <v>27.699999999999868</v>
      </c>
      <c r="J88" s="57"/>
      <c r="K88" s="57"/>
      <c r="L88" s="57"/>
      <c r="M88" s="57"/>
      <c r="N88" s="57"/>
      <c r="O88" s="57"/>
      <c r="P88" s="57"/>
      <c r="Q88" s="57"/>
      <c r="R88" s="57"/>
      <c r="S88" s="57"/>
      <c r="T88" s="58">
        <f>_xlfn.RRI(6,I88,C88)</f>
        <v>0.1443312795824383</v>
      </c>
      <c r="U88" s="58">
        <f>_xlfn.RRI(5.5,H88,B88)</f>
        <v>0.19805761538122102</v>
      </c>
      <c r="V88" s="58">
        <f>_xlfn.RRI(5,H88,C88)</f>
        <v>0.15318267496564375</v>
      </c>
      <c r="W88" s="58">
        <f>AVERAGE(X88:AC88)</f>
        <v>0.30331446788999122</v>
      </c>
      <c r="X88" s="58">
        <f t="shared" ref="X88:AD89" si="104">(B88-C88)/C88</f>
        <v>0.32475884244373615</v>
      </c>
      <c r="Y88" s="58">
        <f t="shared" si="104"/>
        <v>-0.26737338044758746</v>
      </c>
      <c r="Z88" s="58">
        <f t="shared" si="104"/>
        <v>-0.29834710743801562</v>
      </c>
      <c r="AA88" s="58">
        <f t="shared" si="104"/>
        <v>0.79525222551928554</v>
      </c>
      <c r="AB88" s="58">
        <f t="shared" si="104"/>
        <v>1.3082191780822026</v>
      </c>
      <c r="AC88" s="58">
        <f t="shared" si="104"/>
        <v>-4.2622950819673912E-2</v>
      </c>
      <c r="AD88" s="58">
        <f t="shared" si="104"/>
        <v>0.10108303249097678</v>
      </c>
      <c r="AE88" s="57"/>
      <c r="AF88" s="61"/>
      <c r="AG88" s="28">
        <v>24.4</v>
      </c>
      <c r="AH88" s="166">
        <v>26.2</v>
      </c>
      <c r="AI88" s="135"/>
      <c r="AJ88" s="28">
        <v>11.6</v>
      </c>
      <c r="AK88" s="28">
        <v>18.8</v>
      </c>
    </row>
    <row r="89" spans="1:37" x14ac:dyDescent="0.25">
      <c r="A89" s="14" t="s">
        <v>83</v>
      </c>
      <c r="B89" s="61">
        <f t="shared" ref="B89:B104" si="105">C89+AG89+AH89-(AJ89+AK89)</f>
        <v>56.9</v>
      </c>
      <c r="C89" s="8">
        <v>56.1</v>
      </c>
      <c r="D89" s="8">
        <v>57.7</v>
      </c>
      <c r="E89" s="8">
        <v>54.1</v>
      </c>
      <c r="F89" s="8">
        <v>55.1</v>
      </c>
      <c r="G89" s="8">
        <v>50.8</v>
      </c>
      <c r="H89" s="8">
        <v>49.8</v>
      </c>
      <c r="I89" s="336">
        <v>52.9</v>
      </c>
      <c r="J89" s="57"/>
      <c r="K89" s="57"/>
      <c r="L89" s="57"/>
      <c r="M89" s="57"/>
      <c r="N89" s="57"/>
      <c r="O89" s="57"/>
      <c r="P89" s="57"/>
      <c r="Q89" s="57"/>
      <c r="R89" s="57"/>
      <c r="S89" s="57"/>
      <c r="T89" s="58">
        <f t="shared" ref="T89:T135" si="106">_xlfn.RRI(6,I89,C89)</f>
        <v>9.8368120898744138E-3</v>
      </c>
      <c r="U89" s="58">
        <f>_xlfn.RRI(5.5,H89,B89)</f>
        <v>2.4528792443905489E-2</v>
      </c>
      <c r="V89" s="58">
        <f>_xlfn.RRI(5,H89,C89)</f>
        <v>2.4110228352600682E-2</v>
      </c>
      <c r="W89" s="58">
        <f t="shared" ref="W89:W135" si="107">AVERAGE(X89:AC89)</f>
        <v>2.3275203638879128E-2</v>
      </c>
      <c r="X89" s="58">
        <f t="shared" si="104"/>
        <v>1.426024955436715E-2</v>
      </c>
      <c r="Y89" s="58">
        <f t="shared" si="104"/>
        <v>-2.7729636048526886E-2</v>
      </c>
      <c r="Z89" s="58">
        <f t="shared" si="104"/>
        <v>6.6543438077634035E-2</v>
      </c>
      <c r="AA89" s="58">
        <f t="shared" si="104"/>
        <v>-1.8148820326678767E-2</v>
      </c>
      <c r="AB89" s="58">
        <f t="shared" si="104"/>
        <v>8.4645669291338668E-2</v>
      </c>
      <c r="AC89" s="58">
        <f t="shared" si="104"/>
        <v>2.0080321285140562E-2</v>
      </c>
      <c r="AD89" s="58">
        <f t="shared" si="104"/>
        <v>-5.860113421550097E-2</v>
      </c>
      <c r="AE89" s="57"/>
      <c r="AF89" s="61"/>
      <c r="AG89" s="8">
        <v>14.4</v>
      </c>
      <c r="AH89" s="144">
        <v>14</v>
      </c>
      <c r="AI89" s="135"/>
      <c r="AJ89" s="8">
        <v>13.4</v>
      </c>
      <c r="AK89" s="8">
        <v>14.2</v>
      </c>
    </row>
    <row r="90" spans="1:37" x14ac:dyDescent="0.25">
      <c r="A90" s="14" t="s">
        <v>117</v>
      </c>
      <c r="B90" s="61">
        <f t="shared" si="105"/>
        <v>-0.59999999999999964</v>
      </c>
      <c r="C90" s="8">
        <v>6.5</v>
      </c>
      <c r="D90" s="8">
        <v>3.8</v>
      </c>
      <c r="E90" s="8">
        <v>-9.1999999999999993</v>
      </c>
      <c r="F90" s="8">
        <v>-4.0999999999999996</v>
      </c>
      <c r="G90" s="8">
        <v>6.9</v>
      </c>
      <c r="H90" s="8">
        <v>0</v>
      </c>
      <c r="I90" s="336">
        <v>0</v>
      </c>
      <c r="J90" s="57"/>
      <c r="K90" s="57"/>
      <c r="L90" s="57"/>
      <c r="M90" s="57"/>
      <c r="N90" s="57"/>
      <c r="O90" s="57"/>
      <c r="P90" s="57"/>
      <c r="Q90" s="57"/>
      <c r="R90" s="57"/>
      <c r="S90" s="57"/>
      <c r="T90" s="58"/>
      <c r="U90" s="58"/>
      <c r="V90" s="58"/>
      <c r="W90" s="58"/>
      <c r="X90" s="58">
        <f>(B90-C90)/C90</f>
        <v>-1.0923076923076922</v>
      </c>
      <c r="Y90" s="58">
        <f>(C90-D90)/D90</f>
        <v>0.71052631578947378</v>
      </c>
      <c r="Z90" s="58">
        <f>(D90-E90)/E90</f>
        <v>-1.4130434782608696</v>
      </c>
      <c r="AA90" s="58">
        <f>(E90-F90)/F90</f>
        <v>1.2439024390243902</v>
      </c>
      <c r="AB90" s="58">
        <f>(F90-G90)/G90</f>
        <v>-1.5942028985507246</v>
      </c>
      <c r="AC90" s="58"/>
      <c r="AD90" s="58"/>
      <c r="AE90" s="57"/>
      <c r="AF90" s="61"/>
      <c r="AG90" s="8">
        <v>1.1000000000000001</v>
      </c>
      <c r="AH90" s="144">
        <v>-1.1000000000000001</v>
      </c>
      <c r="AI90" s="135"/>
      <c r="AJ90" s="8">
        <v>6.8</v>
      </c>
      <c r="AK90" s="8">
        <v>0.3</v>
      </c>
    </row>
    <row r="91" spans="1:37" x14ac:dyDescent="0.25">
      <c r="A91" s="14" t="s">
        <v>118</v>
      </c>
      <c r="B91" s="61">
        <f t="shared" si="105"/>
        <v>0</v>
      </c>
      <c r="C91" s="8">
        <v>0</v>
      </c>
      <c r="D91" s="8">
        <v>0</v>
      </c>
      <c r="E91" s="8">
        <v>0</v>
      </c>
      <c r="F91" s="8">
        <v>0</v>
      </c>
      <c r="G91" s="8">
        <v>0</v>
      </c>
      <c r="H91" s="8">
        <v>3.7</v>
      </c>
      <c r="I91" s="336">
        <v>3.5</v>
      </c>
      <c r="J91" s="57"/>
      <c r="K91" s="57"/>
      <c r="L91" s="57"/>
      <c r="M91" s="57"/>
      <c r="N91" s="57"/>
      <c r="O91" s="57"/>
      <c r="P91" s="57"/>
      <c r="Q91" s="57"/>
      <c r="R91" s="57"/>
      <c r="S91" s="57"/>
      <c r="T91" s="58"/>
      <c r="U91" s="58"/>
      <c r="V91" s="58"/>
      <c r="W91" s="58"/>
      <c r="X91" s="58"/>
      <c r="Y91" s="58"/>
      <c r="Z91" s="58"/>
      <c r="AA91" s="58"/>
      <c r="AB91" s="58"/>
      <c r="AC91" s="58"/>
      <c r="AD91" s="58"/>
      <c r="AE91" s="57"/>
      <c r="AF91" s="61"/>
      <c r="AG91" s="8">
        <v>0</v>
      </c>
      <c r="AH91" s="144">
        <v>0</v>
      </c>
      <c r="AI91" s="135"/>
      <c r="AJ91" s="8">
        <v>0</v>
      </c>
      <c r="AK91" s="8">
        <v>0</v>
      </c>
    </row>
    <row r="92" spans="1:37" x14ac:dyDescent="0.25">
      <c r="A92" s="14" t="s">
        <v>92</v>
      </c>
      <c r="B92" s="61">
        <f t="shared" si="105"/>
        <v>0</v>
      </c>
      <c r="C92" s="8">
        <v>0</v>
      </c>
      <c r="D92" s="8">
        <v>0</v>
      </c>
      <c r="E92" s="8">
        <v>0</v>
      </c>
      <c r="F92" s="8">
        <v>0</v>
      </c>
      <c r="G92" s="8">
        <v>0</v>
      </c>
      <c r="H92" s="8">
        <v>13.3</v>
      </c>
      <c r="I92" s="336">
        <v>0</v>
      </c>
      <c r="J92" s="57"/>
      <c r="K92" s="57"/>
      <c r="L92" s="57"/>
      <c r="M92" s="57"/>
      <c r="N92" s="57"/>
      <c r="O92" s="57"/>
      <c r="P92" s="57"/>
      <c r="Q92" s="57"/>
      <c r="R92" s="57"/>
      <c r="S92" s="57"/>
      <c r="T92" s="58"/>
      <c r="U92" s="58"/>
      <c r="V92" s="58"/>
      <c r="W92" s="58"/>
      <c r="X92" s="58"/>
      <c r="Y92" s="58"/>
      <c r="Z92" s="58"/>
      <c r="AA92" s="58"/>
      <c r="AB92" s="58"/>
      <c r="AC92" s="58"/>
      <c r="AD92" s="58"/>
      <c r="AE92" s="57"/>
      <c r="AF92" s="61"/>
      <c r="AG92" s="8">
        <v>0</v>
      </c>
      <c r="AH92" s="144">
        <v>0</v>
      </c>
      <c r="AI92" s="135"/>
      <c r="AJ92" s="8">
        <v>0</v>
      </c>
      <c r="AK92" s="8">
        <v>0</v>
      </c>
    </row>
    <row r="93" spans="1:37" x14ac:dyDescent="0.25">
      <c r="A93" s="14" t="s">
        <v>119</v>
      </c>
      <c r="B93" s="61">
        <f t="shared" si="105"/>
        <v>0</v>
      </c>
      <c r="C93" s="8">
        <v>0</v>
      </c>
      <c r="D93" s="8">
        <v>0.3</v>
      </c>
      <c r="E93" s="8">
        <v>-35.6</v>
      </c>
      <c r="F93" s="8">
        <v>0.8</v>
      </c>
      <c r="G93" s="8">
        <v>0.7</v>
      </c>
      <c r="H93" s="8">
        <v>-0.7</v>
      </c>
      <c r="I93" s="336">
        <v>-2.9</v>
      </c>
      <c r="J93" s="57"/>
      <c r="K93" s="57"/>
      <c r="L93" s="57"/>
      <c r="M93" s="57"/>
      <c r="N93" s="57"/>
      <c r="O93" s="57"/>
      <c r="P93" s="57"/>
      <c r="Q93" s="57"/>
      <c r="R93" s="57"/>
      <c r="S93" s="57"/>
      <c r="T93" s="58"/>
      <c r="U93" s="58"/>
      <c r="V93" s="58"/>
      <c r="W93" s="58"/>
      <c r="X93" s="58"/>
      <c r="Y93" s="58"/>
      <c r="Z93" s="58"/>
      <c r="AA93" s="58"/>
      <c r="AB93" s="58"/>
      <c r="AC93" s="58"/>
      <c r="AD93" s="58"/>
      <c r="AE93" s="57"/>
      <c r="AF93" s="61"/>
      <c r="AG93" s="8">
        <v>0</v>
      </c>
      <c r="AH93" s="144">
        <v>0</v>
      </c>
      <c r="AI93" s="135"/>
      <c r="AJ93" s="8">
        <v>0</v>
      </c>
      <c r="AK93" s="8">
        <v>0</v>
      </c>
    </row>
    <row r="94" spans="1:37" x14ac:dyDescent="0.25">
      <c r="A94" s="14" t="s">
        <v>120</v>
      </c>
      <c r="B94" s="61">
        <f t="shared" si="105"/>
        <v>-0.20000000000000007</v>
      </c>
      <c r="C94" s="8">
        <v>-0.8</v>
      </c>
      <c r="D94" s="8">
        <v>-6.1</v>
      </c>
      <c r="E94" s="8">
        <v>-0.7</v>
      </c>
      <c r="F94" s="8">
        <v>-3</v>
      </c>
      <c r="G94" s="8">
        <v>-1.5</v>
      </c>
      <c r="H94" s="8">
        <v>0</v>
      </c>
      <c r="I94" s="336">
        <v>0</v>
      </c>
      <c r="J94" s="57"/>
      <c r="K94" s="57"/>
      <c r="L94" s="57"/>
      <c r="M94" s="57"/>
      <c r="N94" s="57"/>
      <c r="O94" s="57"/>
      <c r="P94" s="57"/>
      <c r="Q94" s="57"/>
      <c r="R94" s="57"/>
      <c r="S94" s="57"/>
      <c r="T94" s="58"/>
      <c r="U94" s="58"/>
      <c r="V94" s="58"/>
      <c r="W94" s="58"/>
      <c r="X94" s="58">
        <f>(B94-C94)/C94</f>
        <v>-0.74999999999999989</v>
      </c>
      <c r="Y94" s="58">
        <f>(C94-D94)/D94</f>
        <v>-0.86885245901639352</v>
      </c>
      <c r="Z94" s="58">
        <f>(D94-E94)/E94</f>
        <v>7.7142857142857144</v>
      </c>
      <c r="AA94" s="58">
        <f>(E94-F94)/F94</f>
        <v>-0.76666666666666661</v>
      </c>
      <c r="AB94" s="58">
        <f>(F94-G94)/G94</f>
        <v>1</v>
      </c>
      <c r="AC94" s="58"/>
      <c r="AD94" s="58"/>
      <c r="AE94" s="57"/>
      <c r="AF94" s="61"/>
      <c r="AG94" s="8">
        <v>-0.1</v>
      </c>
      <c r="AH94" s="144">
        <v>0</v>
      </c>
      <c r="AI94" s="135"/>
      <c r="AJ94" s="8">
        <v>-0.3</v>
      </c>
      <c r="AK94" s="8">
        <v>-0.4</v>
      </c>
    </row>
    <row r="95" spans="1:37" x14ac:dyDescent="0.25">
      <c r="A95" s="14" t="s">
        <v>84</v>
      </c>
      <c r="B95" s="61">
        <f t="shared" si="105"/>
        <v>-1.8000000000000003</v>
      </c>
      <c r="C95" s="8">
        <v>-2.6</v>
      </c>
      <c r="D95" s="8">
        <v>-31.5</v>
      </c>
      <c r="E95" s="8">
        <v>0</v>
      </c>
      <c r="F95" s="8">
        <v>0</v>
      </c>
      <c r="G95" s="8">
        <v>8.3000000000000007</v>
      </c>
      <c r="H95" s="8">
        <v>-1.5</v>
      </c>
      <c r="I95" s="336">
        <v>0</v>
      </c>
      <c r="J95" s="57"/>
      <c r="K95" s="57"/>
      <c r="L95" s="57"/>
      <c r="M95" s="57"/>
      <c r="N95" s="57"/>
      <c r="O95" s="57"/>
      <c r="P95" s="57"/>
      <c r="Q95" s="57"/>
      <c r="R95" s="57"/>
      <c r="S95" s="57"/>
      <c r="T95" s="58"/>
      <c r="U95" s="58">
        <f>_xlfn.RRI(5.5,H95,B95)</f>
        <v>3.3704936311998557E-2</v>
      </c>
      <c r="V95" s="58">
        <f>_xlfn.RRI(5,H95,C95)</f>
        <v>0.11628841548417412</v>
      </c>
      <c r="W95" s="58"/>
      <c r="X95" s="58"/>
      <c r="Y95" s="58"/>
      <c r="Z95" s="58"/>
      <c r="AA95" s="58"/>
      <c r="AB95" s="58"/>
      <c r="AC95" s="58"/>
      <c r="AD95" s="58"/>
      <c r="AE95" s="57"/>
      <c r="AF95" s="61"/>
      <c r="AG95" s="8">
        <v>0</v>
      </c>
      <c r="AH95" s="144">
        <v>-1.8</v>
      </c>
      <c r="AI95" s="135"/>
      <c r="AJ95" s="8">
        <v>-0.1</v>
      </c>
      <c r="AK95" s="8">
        <v>-2.5</v>
      </c>
    </row>
    <row r="96" spans="1:37" x14ac:dyDescent="0.25">
      <c r="A96" s="14" t="s">
        <v>121</v>
      </c>
      <c r="B96" s="61">
        <f t="shared" si="105"/>
        <v>3</v>
      </c>
      <c r="C96" s="8">
        <v>2.7</v>
      </c>
      <c r="D96" s="8">
        <v>16.899999999999999</v>
      </c>
      <c r="E96" s="8">
        <v>9.4</v>
      </c>
      <c r="F96" s="8">
        <v>-10.9</v>
      </c>
      <c r="G96" s="8">
        <v>9.1</v>
      </c>
      <c r="H96" s="8">
        <v>1.6</v>
      </c>
      <c r="I96" s="336">
        <v>-0.1</v>
      </c>
      <c r="J96" s="57"/>
      <c r="K96" s="57"/>
      <c r="L96" s="57"/>
      <c r="M96" s="57"/>
      <c r="N96" s="57"/>
      <c r="O96" s="57"/>
      <c r="P96" s="57"/>
      <c r="Q96" s="57"/>
      <c r="R96" s="57"/>
      <c r="S96" s="57"/>
      <c r="T96" s="58"/>
      <c r="U96" s="58">
        <f>_xlfn.RRI(5.5,H96,B96)</f>
        <v>0.12107997436634665</v>
      </c>
      <c r="V96" s="58">
        <f>_xlfn.RRI(5,H96,C96)</f>
        <v>0.11032151746146002</v>
      </c>
      <c r="W96" s="58">
        <f t="shared" si="107"/>
        <v>0.11600987437383248</v>
      </c>
      <c r="X96" s="58">
        <f t="shared" ref="X96:AD99" si="108">(B96-C96)/C96</f>
        <v>0.11111111111111104</v>
      </c>
      <c r="Y96" s="58">
        <f t="shared" si="108"/>
        <v>-0.84023668639053262</v>
      </c>
      <c r="Z96" s="58">
        <f t="shared" si="108"/>
        <v>0.79787234042553168</v>
      </c>
      <c r="AA96" s="58">
        <f t="shared" si="108"/>
        <v>-1.8623853211009174</v>
      </c>
      <c r="AB96" s="58">
        <f t="shared" si="108"/>
        <v>-2.197802197802198</v>
      </c>
      <c r="AC96" s="58">
        <f t="shared" si="108"/>
        <v>4.6875</v>
      </c>
      <c r="AD96" s="58">
        <f t="shared" si="108"/>
        <v>-17</v>
      </c>
      <c r="AE96" s="57"/>
      <c r="AF96" s="61"/>
      <c r="AG96" s="8">
        <v>1</v>
      </c>
      <c r="AH96" s="144">
        <v>-0.1</v>
      </c>
      <c r="AI96" s="135"/>
      <c r="AJ96" s="8">
        <v>0.3</v>
      </c>
      <c r="AK96" s="8">
        <v>0.3</v>
      </c>
    </row>
    <row r="97" spans="1:37" x14ac:dyDescent="0.25">
      <c r="A97" s="14" t="s">
        <v>122</v>
      </c>
      <c r="B97" s="61">
        <f t="shared" si="105"/>
        <v>1.2000000000000002</v>
      </c>
      <c r="C97" s="8">
        <v>1.1000000000000001</v>
      </c>
      <c r="D97" s="8">
        <v>2.1</v>
      </c>
      <c r="E97" s="8">
        <v>-8.6</v>
      </c>
      <c r="F97" s="8">
        <v>-18.399999999999999</v>
      </c>
      <c r="G97" s="8">
        <v>-22.6</v>
      </c>
      <c r="H97" s="8">
        <v>-21.1</v>
      </c>
      <c r="I97" s="336">
        <v>-5</v>
      </c>
      <c r="J97" s="57"/>
      <c r="K97" s="57"/>
      <c r="L97" s="57"/>
      <c r="M97" s="57"/>
      <c r="N97" s="57"/>
      <c r="O97" s="57"/>
      <c r="P97" s="57"/>
      <c r="Q97" s="57"/>
      <c r="R97" s="57"/>
      <c r="S97" s="57"/>
      <c r="T97" s="58"/>
      <c r="U97" s="58"/>
      <c r="V97" s="58"/>
      <c r="W97" s="58">
        <f t="shared" si="107"/>
        <v>-0.37947113133607063</v>
      </c>
      <c r="X97" s="58">
        <f t="shared" si="108"/>
        <v>9.0909090909090981E-2</v>
      </c>
      <c r="Y97" s="58">
        <f t="shared" si="108"/>
        <v>-0.47619047619047616</v>
      </c>
      <c r="Z97" s="58">
        <f t="shared" si="108"/>
        <v>-1.2441860465116279</v>
      </c>
      <c r="AA97" s="58">
        <f t="shared" si="108"/>
        <v>-0.53260869565217395</v>
      </c>
      <c r="AB97" s="58">
        <f t="shared" si="108"/>
        <v>-0.18584070796460189</v>
      </c>
      <c r="AC97" s="58">
        <f t="shared" si="108"/>
        <v>7.1090047393364927E-2</v>
      </c>
      <c r="AD97" s="58">
        <f t="shared" si="108"/>
        <v>3.22</v>
      </c>
      <c r="AE97" s="57"/>
      <c r="AF97" s="61"/>
      <c r="AG97" s="8">
        <v>-1.3</v>
      </c>
      <c r="AH97" s="144">
        <v>0.4</v>
      </c>
      <c r="AI97" s="135"/>
      <c r="AJ97" s="8">
        <v>-2</v>
      </c>
      <c r="AK97" s="8">
        <v>1</v>
      </c>
    </row>
    <row r="98" spans="1:37" x14ac:dyDescent="0.25">
      <c r="A98" s="14" t="s">
        <v>123</v>
      </c>
      <c r="B98" s="61">
        <f t="shared" si="105"/>
        <v>4.3999999999999995</v>
      </c>
      <c r="C98" s="8">
        <v>2.8</v>
      </c>
      <c r="D98" s="8">
        <v>2.7</v>
      </c>
      <c r="E98" s="8">
        <v>2.6</v>
      </c>
      <c r="F98" s="8">
        <v>2.6</v>
      </c>
      <c r="G98" s="8">
        <v>2.4</v>
      </c>
      <c r="H98" s="8">
        <v>2.1</v>
      </c>
      <c r="I98" s="336">
        <v>5.7</v>
      </c>
      <c r="J98" s="57"/>
      <c r="K98" s="57"/>
      <c r="L98" s="57"/>
      <c r="M98" s="57"/>
      <c r="N98" s="57"/>
      <c r="O98" s="57"/>
      <c r="P98" s="57"/>
      <c r="Q98" s="57"/>
      <c r="R98" s="57"/>
      <c r="S98" s="57"/>
      <c r="T98" s="58">
        <f t="shared" si="106"/>
        <v>-0.11172549775559781</v>
      </c>
      <c r="U98" s="58">
        <f>_xlfn.RRI(5.5,H98,B98)</f>
        <v>0.14394743647263364</v>
      </c>
      <c r="V98" s="58">
        <f>_xlfn.RRI(5,H98,C98)</f>
        <v>5.9223841048812176E-2</v>
      </c>
      <c r="W98" s="58">
        <f t="shared" si="107"/>
        <v>0.14551960385293713</v>
      </c>
      <c r="X98" s="58">
        <f t="shared" si="108"/>
        <v>0.57142857142857129</v>
      </c>
      <c r="Y98" s="58">
        <f t="shared" si="108"/>
        <v>3.7037037037036903E-2</v>
      </c>
      <c r="Z98" s="58">
        <f t="shared" si="108"/>
        <v>3.8461538461538491E-2</v>
      </c>
      <c r="AA98" s="58">
        <f t="shared" si="108"/>
        <v>0</v>
      </c>
      <c r="AB98" s="58">
        <f t="shared" si="108"/>
        <v>8.3333333333333412E-2</v>
      </c>
      <c r="AC98" s="58">
        <f t="shared" si="108"/>
        <v>0.14285714285714277</v>
      </c>
      <c r="AD98" s="58">
        <f t="shared" si="108"/>
        <v>-0.63157894736842102</v>
      </c>
      <c r="AE98" s="57"/>
      <c r="AF98" s="61"/>
      <c r="AG98" s="8">
        <v>2.7</v>
      </c>
      <c r="AH98" s="144">
        <v>0.6</v>
      </c>
      <c r="AI98" s="135"/>
      <c r="AJ98" s="8">
        <v>1</v>
      </c>
      <c r="AK98" s="8">
        <v>0.7</v>
      </c>
    </row>
    <row r="99" spans="1:37" x14ac:dyDescent="0.25">
      <c r="A99" s="14" t="s">
        <v>124</v>
      </c>
      <c r="B99" s="61">
        <f t="shared" si="105"/>
        <v>14.3</v>
      </c>
      <c r="C99" s="8">
        <v>13.2</v>
      </c>
      <c r="D99" s="8">
        <v>13</v>
      </c>
      <c r="E99" s="8">
        <v>11.3</v>
      </c>
      <c r="F99" s="8">
        <v>12.1</v>
      </c>
      <c r="G99" s="8">
        <v>12.5</v>
      </c>
      <c r="H99" s="8">
        <v>10.6</v>
      </c>
      <c r="I99" s="336">
        <v>8.9</v>
      </c>
      <c r="J99" s="57"/>
      <c r="K99" s="57"/>
      <c r="L99" s="57"/>
      <c r="M99" s="57"/>
      <c r="N99" s="57"/>
      <c r="O99" s="57"/>
      <c r="P99" s="57"/>
      <c r="Q99" s="57"/>
      <c r="R99" s="57"/>
      <c r="S99" s="57"/>
      <c r="T99" s="58">
        <f t="shared" si="106"/>
        <v>6.7900166179857502E-2</v>
      </c>
      <c r="U99" s="58">
        <f>_xlfn.RRI(5.5,H99,B99)</f>
        <v>5.5946340643771242E-2</v>
      </c>
      <c r="V99" s="58">
        <f>_xlfn.RRI(5,H99,C99)</f>
        <v>4.4849196772801969E-2</v>
      </c>
      <c r="W99" s="58">
        <f t="shared" si="107"/>
        <v>5.5048334522264014E-2</v>
      </c>
      <c r="X99" s="58">
        <f t="shared" si="108"/>
        <v>8.333333333333344E-2</v>
      </c>
      <c r="Y99" s="58">
        <f t="shared" si="108"/>
        <v>1.538461538461533E-2</v>
      </c>
      <c r="Z99" s="58">
        <f t="shared" si="108"/>
        <v>0.15044247787610612</v>
      </c>
      <c r="AA99" s="58">
        <f t="shared" si="108"/>
        <v>-6.6115702479338762E-2</v>
      </c>
      <c r="AB99" s="58">
        <f t="shared" si="108"/>
        <v>-3.2000000000000028E-2</v>
      </c>
      <c r="AC99" s="58">
        <f t="shared" si="108"/>
        <v>0.17924528301886797</v>
      </c>
      <c r="AD99" s="58">
        <f t="shared" si="108"/>
        <v>0.19101123595505609</v>
      </c>
      <c r="AE99" s="57"/>
      <c r="AF99" s="61"/>
      <c r="AG99" s="8">
        <v>3.8</v>
      </c>
      <c r="AH99" s="144">
        <v>4</v>
      </c>
      <c r="AI99" s="135"/>
      <c r="AJ99" s="8">
        <v>3.2</v>
      </c>
      <c r="AK99" s="8">
        <v>3.5</v>
      </c>
    </row>
    <row r="100" spans="1:37" x14ac:dyDescent="0.25">
      <c r="A100" s="14" t="s">
        <v>125</v>
      </c>
      <c r="B100" s="61">
        <f t="shared" si="105"/>
        <v>0</v>
      </c>
      <c r="C100" s="8">
        <v>0</v>
      </c>
      <c r="D100" s="8">
        <v>0</v>
      </c>
      <c r="E100" s="8">
        <v>0</v>
      </c>
      <c r="F100" s="8">
        <v>0</v>
      </c>
      <c r="G100" s="8">
        <v>0</v>
      </c>
      <c r="H100" s="8">
        <v>10</v>
      </c>
      <c r="I100" s="336">
        <v>0</v>
      </c>
      <c r="J100" s="57"/>
      <c r="K100" s="57"/>
      <c r="L100" s="57"/>
      <c r="M100" s="57"/>
      <c r="N100" s="57"/>
      <c r="O100" s="57"/>
      <c r="P100" s="57"/>
      <c r="Q100" s="57"/>
      <c r="R100" s="57"/>
      <c r="S100" s="57"/>
      <c r="T100" s="58"/>
      <c r="U100" s="58"/>
      <c r="V100" s="58"/>
      <c r="W100" s="58"/>
      <c r="X100" s="58"/>
      <c r="Y100" s="58"/>
      <c r="Z100" s="58"/>
      <c r="AA100" s="58"/>
      <c r="AB100" s="58"/>
      <c r="AC100" s="58"/>
      <c r="AD100" s="58"/>
      <c r="AE100" s="57"/>
      <c r="AF100" s="61"/>
      <c r="AG100" s="61">
        <v>0</v>
      </c>
      <c r="AH100" s="145">
        <v>0</v>
      </c>
      <c r="AI100" s="61"/>
      <c r="AJ100" s="61">
        <v>0</v>
      </c>
      <c r="AK100" s="61">
        <v>0</v>
      </c>
    </row>
    <row r="101" spans="1:37" x14ac:dyDescent="0.25">
      <c r="A101" s="14" t="s">
        <v>126</v>
      </c>
      <c r="B101" s="61">
        <f t="shared" si="105"/>
        <v>0</v>
      </c>
      <c r="C101" s="8">
        <v>0</v>
      </c>
      <c r="D101" s="8">
        <v>0</v>
      </c>
      <c r="E101" s="8">
        <v>0</v>
      </c>
      <c r="F101" s="8">
        <v>0</v>
      </c>
      <c r="G101" s="8">
        <v>0</v>
      </c>
      <c r="H101" s="8">
        <v>0</v>
      </c>
      <c r="I101" s="336">
        <v>0</v>
      </c>
      <c r="J101" s="57"/>
      <c r="K101" s="57"/>
      <c r="L101" s="57"/>
      <c r="M101" s="57"/>
      <c r="N101" s="57"/>
      <c r="O101" s="57"/>
      <c r="P101" s="57"/>
      <c r="Q101" s="57"/>
      <c r="R101" s="57"/>
      <c r="S101" s="57"/>
      <c r="T101" s="58"/>
      <c r="U101" s="58"/>
      <c r="V101" s="58"/>
      <c r="W101" s="58"/>
      <c r="X101" s="58"/>
      <c r="Y101" s="58"/>
      <c r="Z101" s="58"/>
      <c r="AA101" s="58"/>
      <c r="AB101" s="58"/>
      <c r="AC101" s="58"/>
      <c r="AD101" s="58"/>
      <c r="AE101" s="57"/>
      <c r="AF101" s="61"/>
      <c r="AG101" s="61">
        <v>0</v>
      </c>
      <c r="AH101" s="145">
        <v>0</v>
      </c>
      <c r="AI101" s="61"/>
      <c r="AJ101" s="61">
        <v>0</v>
      </c>
      <c r="AK101" s="61">
        <v>0</v>
      </c>
    </row>
    <row r="102" spans="1:37" x14ac:dyDescent="0.25">
      <c r="A102" s="14" t="s">
        <v>127</v>
      </c>
      <c r="B102" s="61">
        <f t="shared" si="105"/>
        <v>0.20000000000000018</v>
      </c>
      <c r="C102" s="8">
        <v>5.3</v>
      </c>
      <c r="D102" s="8">
        <v>4</v>
      </c>
      <c r="E102" s="8">
        <v>-0.6</v>
      </c>
      <c r="F102" s="8">
        <v>-0.3</v>
      </c>
      <c r="G102" s="8">
        <v>-0.8</v>
      </c>
      <c r="H102" s="8">
        <v>-0.1</v>
      </c>
      <c r="I102" s="336">
        <v>8.1999999999999993</v>
      </c>
      <c r="J102" s="57"/>
      <c r="K102" s="57"/>
      <c r="L102" s="57"/>
      <c r="M102" s="57"/>
      <c r="N102" s="57"/>
      <c r="O102" s="57"/>
      <c r="P102" s="57"/>
      <c r="Q102" s="57"/>
      <c r="R102" s="57"/>
      <c r="S102" s="57"/>
      <c r="T102" s="58"/>
      <c r="U102" s="58"/>
      <c r="V102" s="58"/>
      <c r="W102" s="58"/>
      <c r="X102" s="58"/>
      <c r="Y102" s="58"/>
      <c r="Z102" s="58"/>
      <c r="AA102" s="58"/>
      <c r="AB102" s="58"/>
      <c r="AC102" s="58"/>
      <c r="AD102" s="58"/>
      <c r="AE102" s="57"/>
      <c r="AF102" s="61"/>
      <c r="AG102" s="8">
        <v>0.3</v>
      </c>
      <c r="AH102" s="144">
        <v>0.4</v>
      </c>
      <c r="AI102" s="135"/>
      <c r="AJ102" s="8">
        <v>3.4</v>
      </c>
      <c r="AK102" s="8">
        <v>2.4</v>
      </c>
    </row>
    <row r="103" spans="1:37" x14ac:dyDescent="0.25">
      <c r="A103" s="14" t="s">
        <v>128</v>
      </c>
      <c r="B103" s="61">
        <f t="shared" si="105"/>
        <v>0</v>
      </c>
      <c r="C103" s="8">
        <v>0</v>
      </c>
      <c r="D103" s="8">
        <v>0</v>
      </c>
      <c r="E103" s="8">
        <v>0</v>
      </c>
      <c r="F103" s="8">
        <v>0</v>
      </c>
      <c r="G103" s="8">
        <v>0</v>
      </c>
      <c r="H103" s="8">
        <v>0</v>
      </c>
      <c r="I103" s="336">
        <v>-2.1</v>
      </c>
      <c r="J103" s="57"/>
      <c r="K103" s="57"/>
      <c r="L103" s="57"/>
      <c r="M103" s="57"/>
      <c r="N103" s="57"/>
      <c r="O103" s="57"/>
      <c r="P103" s="57"/>
      <c r="Q103" s="57"/>
      <c r="R103" s="57"/>
      <c r="S103" s="57"/>
      <c r="T103" s="58"/>
      <c r="U103" s="58"/>
      <c r="V103" s="58"/>
      <c r="W103" s="58"/>
      <c r="X103" s="58"/>
      <c r="Y103" s="58"/>
      <c r="Z103" s="58"/>
      <c r="AA103" s="58"/>
      <c r="AB103" s="58"/>
      <c r="AC103" s="58"/>
      <c r="AD103" s="58"/>
      <c r="AE103" s="57"/>
      <c r="AF103" s="61"/>
      <c r="AG103" s="61">
        <v>0</v>
      </c>
      <c r="AH103" s="145">
        <v>0</v>
      </c>
      <c r="AI103" s="61"/>
      <c r="AJ103" s="61">
        <v>0</v>
      </c>
      <c r="AK103" s="61">
        <v>0</v>
      </c>
    </row>
    <row r="104" spans="1:37" x14ac:dyDescent="0.25">
      <c r="A104" s="14" t="s">
        <v>129</v>
      </c>
      <c r="B104" s="66">
        <f t="shared" si="105"/>
        <v>0</v>
      </c>
      <c r="C104" s="23">
        <v>0</v>
      </c>
      <c r="D104" s="23">
        <v>0</v>
      </c>
      <c r="E104" s="23">
        <v>0</v>
      </c>
      <c r="F104" s="23">
        <v>0</v>
      </c>
      <c r="G104" s="23">
        <v>0</v>
      </c>
      <c r="H104" s="23">
        <v>0</v>
      </c>
      <c r="I104" s="341">
        <v>1</v>
      </c>
      <c r="J104" s="57"/>
      <c r="K104" s="73"/>
      <c r="L104" s="73"/>
      <c r="M104" s="73"/>
      <c r="N104" s="73"/>
      <c r="O104" s="73"/>
      <c r="P104" s="73"/>
      <c r="Q104" s="73"/>
      <c r="R104" s="73"/>
      <c r="S104" s="57"/>
      <c r="T104" s="59"/>
      <c r="U104" s="59"/>
      <c r="V104" s="59"/>
      <c r="W104" s="59"/>
      <c r="X104" s="59"/>
      <c r="Y104" s="59"/>
      <c r="Z104" s="59"/>
      <c r="AA104" s="59"/>
      <c r="AB104" s="59"/>
      <c r="AC104" s="59"/>
      <c r="AD104" s="59"/>
      <c r="AE104" s="57"/>
      <c r="AF104" s="67"/>
      <c r="AG104" s="67">
        <v>0</v>
      </c>
      <c r="AH104" s="161">
        <v>0</v>
      </c>
      <c r="AI104" s="67"/>
      <c r="AJ104" s="67">
        <v>0</v>
      </c>
      <c r="AK104" s="67">
        <v>0</v>
      </c>
    </row>
    <row r="105" spans="1:37" x14ac:dyDescent="0.25">
      <c r="A105" s="6" t="s">
        <v>162</v>
      </c>
      <c r="B105" s="56">
        <f t="shared" ref="B105:H105" si="109">SUM(B88:B104)</f>
        <v>159.80000000000015</v>
      </c>
      <c r="C105" s="56">
        <f t="shared" si="109"/>
        <v>146.49999999999983</v>
      </c>
      <c r="D105" s="56">
        <f t="shared" si="109"/>
        <v>147.80000000000001</v>
      </c>
      <c r="E105" s="56">
        <f t="shared" si="109"/>
        <v>143.69999999999987</v>
      </c>
      <c r="F105" s="56">
        <f t="shared" si="109"/>
        <v>101.3</v>
      </c>
      <c r="G105" s="56">
        <f t="shared" si="109"/>
        <v>94.999999999999872</v>
      </c>
      <c r="H105" s="56">
        <f t="shared" si="109"/>
        <v>98.199999999999903</v>
      </c>
      <c r="I105" s="56">
        <f>SUM(I88:I104)</f>
        <v>97.799999999999883</v>
      </c>
      <c r="J105" s="57"/>
      <c r="K105" s="57"/>
      <c r="L105" s="57"/>
      <c r="M105" s="57"/>
      <c r="N105" s="57"/>
      <c r="O105" s="57"/>
      <c r="P105" s="57"/>
      <c r="Q105" s="57"/>
      <c r="R105" s="57"/>
      <c r="S105" s="57"/>
      <c r="T105" s="58">
        <f t="shared" si="106"/>
        <v>6.9669948883020805E-2</v>
      </c>
      <c r="U105" s="58">
        <f>_xlfn.RRI(5.5,H105,B105)</f>
        <v>9.2567390267217275E-2</v>
      </c>
      <c r="V105" s="58">
        <f>_xlfn.RRI(5,H105,C105)</f>
        <v>8.3291230342793732E-2</v>
      </c>
      <c r="W105" s="20">
        <f t="shared" si="107"/>
        <v>9.3801490692266357E-2</v>
      </c>
      <c r="X105" s="20">
        <f t="shared" ref="X105:AD112" si="110">(B105-C105)/C105</f>
        <v>9.0784982935155897E-2</v>
      </c>
      <c r="Y105" s="20">
        <f t="shared" si="110"/>
        <v>-8.7956698240878334E-3</v>
      </c>
      <c r="Z105" s="20">
        <f t="shared" si="110"/>
        <v>2.8531663187196521E-2</v>
      </c>
      <c r="AA105" s="20">
        <f t="shared" si="110"/>
        <v>0.41855873642645486</v>
      </c>
      <c r="AB105" s="20">
        <f t="shared" si="110"/>
        <v>6.6315789473685618E-2</v>
      </c>
      <c r="AC105" s="20">
        <f t="shared" si="110"/>
        <v>-3.2586558044806868E-2</v>
      </c>
      <c r="AD105" s="20">
        <f t="shared" si="110"/>
        <v>4.089979550102458E-3</v>
      </c>
      <c r="AE105" s="57"/>
      <c r="AF105" s="61"/>
      <c r="AG105" s="56">
        <f>SUM(AG88:AG104)</f>
        <v>46.3</v>
      </c>
      <c r="AH105" s="147">
        <f>SUM(AH88:AH104)</f>
        <v>42.6</v>
      </c>
      <c r="AI105" s="56"/>
      <c r="AJ105" s="56">
        <f t="shared" ref="AJ105:AK105" si="111">SUM(AJ88:AJ104)</f>
        <v>37.299999999999997</v>
      </c>
      <c r="AK105" s="56">
        <f t="shared" si="111"/>
        <v>38.299999999999997</v>
      </c>
    </row>
    <row r="106" spans="1:37" x14ac:dyDescent="0.25">
      <c r="A106" s="14" t="s">
        <v>130</v>
      </c>
      <c r="B106" s="61">
        <f>C106+AG106+AH106-(AJ106+AK106)</f>
        <v>-21.799999999999997</v>
      </c>
      <c r="C106" s="8">
        <v>-32.299999999999997</v>
      </c>
      <c r="D106" s="8">
        <v>-12.7</v>
      </c>
      <c r="E106" s="8">
        <v>-11.5</v>
      </c>
      <c r="F106" s="8">
        <v>25.4</v>
      </c>
      <c r="G106" s="8">
        <v>-7.7</v>
      </c>
      <c r="H106" s="8">
        <v>-16</v>
      </c>
      <c r="I106" s="336">
        <v>12.7</v>
      </c>
      <c r="J106" s="57"/>
      <c r="K106" s="57"/>
      <c r="L106" s="57"/>
      <c r="M106" s="57"/>
      <c r="N106" s="57"/>
      <c r="O106" s="57"/>
      <c r="P106" s="57"/>
      <c r="Q106" s="57"/>
      <c r="R106" s="57"/>
      <c r="S106" s="57"/>
      <c r="T106" s="58"/>
      <c r="U106" s="58">
        <f>_xlfn.RRI(5.5,H106,B106)</f>
        <v>5.7851777592576648E-2</v>
      </c>
      <c r="V106" s="58">
        <f>_xlfn.RRI(5,H106,C106)</f>
        <v>0.15084413276322484</v>
      </c>
      <c r="W106" s="58">
        <f t="shared" si="107"/>
        <v>-0.82460494848213084</v>
      </c>
      <c r="X106" s="58">
        <f t="shared" si="110"/>
        <v>-0.32507739938080499</v>
      </c>
      <c r="Y106" s="58">
        <f t="shared" si="110"/>
        <v>1.5433070866141732</v>
      </c>
      <c r="Z106" s="58">
        <f t="shared" si="110"/>
        <v>0.10434782608695646</v>
      </c>
      <c r="AA106" s="58">
        <f t="shared" si="110"/>
        <v>-1.4527559055118111</v>
      </c>
      <c r="AB106" s="58">
        <f t="shared" si="110"/>
        <v>-4.2987012987012987</v>
      </c>
      <c r="AC106" s="58">
        <f t="shared" si="110"/>
        <v>-0.51875000000000004</v>
      </c>
      <c r="AD106" s="58">
        <f t="shared" si="110"/>
        <v>-2.2598425196850394</v>
      </c>
      <c r="AE106" s="57"/>
      <c r="AF106" s="61"/>
      <c r="AG106" s="8">
        <v>-16.7</v>
      </c>
      <c r="AH106" s="144">
        <v>-25.1</v>
      </c>
      <c r="AI106" s="135"/>
      <c r="AJ106" s="8">
        <v>-12.3</v>
      </c>
      <c r="AK106" s="8">
        <v>-40</v>
      </c>
    </row>
    <row r="107" spans="1:37" x14ac:dyDescent="0.25">
      <c r="A107" s="14" t="s">
        <v>131</v>
      </c>
      <c r="B107" s="61">
        <f>C107+AG107+AH107-(AJ107+AK107)</f>
        <v>-39.399999999999991</v>
      </c>
      <c r="C107" s="8">
        <v>-41.8</v>
      </c>
      <c r="D107" s="8">
        <v>-24.3</v>
      </c>
      <c r="E107" s="8">
        <v>8.6999999999999993</v>
      </c>
      <c r="F107" s="8">
        <v>-14.8</v>
      </c>
      <c r="G107" s="8">
        <v>-18.3</v>
      </c>
      <c r="H107" s="8">
        <v>0.7</v>
      </c>
      <c r="I107" s="336">
        <v>-3.3</v>
      </c>
      <c r="J107" s="57"/>
      <c r="K107" s="57"/>
      <c r="L107" s="57"/>
      <c r="M107" s="57"/>
      <c r="N107" s="57"/>
      <c r="O107" s="57"/>
      <c r="P107" s="57"/>
      <c r="Q107" s="57"/>
      <c r="R107" s="57"/>
      <c r="S107" s="57"/>
      <c r="T107" s="58">
        <f t="shared" si="106"/>
        <v>0.52678209067097148</v>
      </c>
      <c r="U107" s="58"/>
      <c r="V107" s="58"/>
      <c r="W107" s="58">
        <f t="shared" si="107"/>
        <v>-5.342051153076838</v>
      </c>
      <c r="X107" s="58">
        <f t="shared" si="110"/>
        <v>-5.7416267942583872E-2</v>
      </c>
      <c r="Y107" s="58">
        <f t="shared" si="110"/>
        <v>0.72016460905349777</v>
      </c>
      <c r="Z107" s="58">
        <f t="shared" si="110"/>
        <v>-3.7931034482758625</v>
      </c>
      <c r="AA107" s="58">
        <f t="shared" si="110"/>
        <v>-1.5878378378378377</v>
      </c>
      <c r="AB107" s="58">
        <f t="shared" si="110"/>
        <v>-0.19125683060109289</v>
      </c>
      <c r="AC107" s="58">
        <f t="shared" si="110"/>
        <v>-27.142857142857146</v>
      </c>
      <c r="AD107" s="58">
        <f t="shared" si="110"/>
        <v>-1.2121212121212122</v>
      </c>
      <c r="AE107" s="57"/>
      <c r="AF107" s="61"/>
      <c r="AG107" s="8">
        <v>5.2</v>
      </c>
      <c r="AH107" s="144">
        <v>-22.4</v>
      </c>
      <c r="AI107" s="135"/>
      <c r="AJ107" s="8">
        <v>-6.1</v>
      </c>
      <c r="AK107" s="8">
        <v>-13.5</v>
      </c>
    </row>
    <row r="108" spans="1:37" x14ac:dyDescent="0.25">
      <c r="A108" s="14" t="s">
        <v>49</v>
      </c>
      <c r="B108" s="61">
        <f>C108+AG108+AH108-(AJ108+AK108)</f>
        <v>-2.7999999999999972</v>
      </c>
      <c r="C108" s="8">
        <v>32.700000000000003</v>
      </c>
      <c r="D108" s="8">
        <v>20.9</v>
      </c>
      <c r="E108" s="8">
        <v>-25.3</v>
      </c>
      <c r="F108" s="8">
        <v>-3.1</v>
      </c>
      <c r="G108" s="8">
        <v>30.8</v>
      </c>
      <c r="H108" s="8">
        <v>-13.6</v>
      </c>
      <c r="I108" s="336">
        <v>5</v>
      </c>
      <c r="J108" s="57"/>
      <c r="K108" s="57"/>
      <c r="L108" s="57"/>
      <c r="M108" s="57"/>
      <c r="N108" s="57"/>
      <c r="O108" s="57"/>
      <c r="P108" s="57"/>
      <c r="Q108" s="57"/>
      <c r="R108" s="57"/>
      <c r="S108" s="57"/>
      <c r="T108" s="58">
        <f t="shared" si="106"/>
        <v>0.3675072098402794</v>
      </c>
      <c r="U108" s="58"/>
      <c r="V108" s="58"/>
      <c r="W108" s="58">
        <f t="shared" si="107"/>
        <v>7.4802420529506142E-2</v>
      </c>
      <c r="X108" s="58">
        <f t="shared" si="110"/>
        <v>-1.0856269113149846</v>
      </c>
      <c r="Y108" s="58">
        <f t="shared" si="110"/>
        <v>0.56459330143540698</v>
      </c>
      <c r="Z108" s="58">
        <f t="shared" si="110"/>
        <v>-1.8260869565217392</v>
      </c>
      <c r="AA108" s="58">
        <f t="shared" si="110"/>
        <v>7.161290322580645</v>
      </c>
      <c r="AB108" s="58">
        <f t="shared" si="110"/>
        <v>-1.1006493506493507</v>
      </c>
      <c r="AC108" s="58">
        <f t="shared" si="110"/>
        <v>-3.2647058823529411</v>
      </c>
      <c r="AD108" s="58">
        <f t="shared" si="110"/>
        <v>-3.72</v>
      </c>
      <c r="AE108" s="57"/>
      <c r="AF108" s="61"/>
      <c r="AG108" s="8">
        <v>-21.6</v>
      </c>
      <c r="AH108" s="144">
        <v>14.1</v>
      </c>
      <c r="AI108" s="135"/>
      <c r="AJ108" s="8">
        <v>15</v>
      </c>
      <c r="AK108" s="8">
        <v>13</v>
      </c>
    </row>
    <row r="109" spans="1:37" x14ac:dyDescent="0.25">
      <c r="A109" s="14" t="s">
        <v>132</v>
      </c>
      <c r="B109" s="61">
        <f>C109+AG109+AH109-(AJ109+AK109)</f>
        <v>-18.100000000000001</v>
      </c>
      <c r="C109" s="8">
        <v>-7.3</v>
      </c>
      <c r="D109" s="8">
        <v>-21</v>
      </c>
      <c r="E109" s="8">
        <v>8.5</v>
      </c>
      <c r="F109" s="8">
        <v>3.9</v>
      </c>
      <c r="G109" s="8">
        <v>-27</v>
      </c>
      <c r="H109" s="8">
        <v>31.2</v>
      </c>
      <c r="I109" s="336">
        <v>8.4</v>
      </c>
      <c r="J109" s="57"/>
      <c r="K109" s="57"/>
      <c r="L109" s="57"/>
      <c r="M109" s="57"/>
      <c r="N109" s="57"/>
      <c r="O109" s="57"/>
      <c r="P109" s="57"/>
      <c r="Q109" s="57"/>
      <c r="R109" s="57"/>
      <c r="S109" s="57"/>
      <c r="T109" s="58"/>
      <c r="U109" s="58"/>
      <c r="V109" s="58"/>
      <c r="W109" s="58">
        <f t="shared" si="107"/>
        <v>-0.74564316887040505</v>
      </c>
      <c r="X109" s="58">
        <f t="shared" si="110"/>
        <v>1.4794520547945207</v>
      </c>
      <c r="Y109" s="58">
        <f t="shared" si="110"/>
        <v>-0.65238095238095239</v>
      </c>
      <c r="Z109" s="58">
        <f t="shared" si="110"/>
        <v>-3.4705882352941178</v>
      </c>
      <c r="AA109" s="58">
        <f t="shared" si="110"/>
        <v>1.1794871794871795</v>
      </c>
      <c r="AB109" s="58">
        <f t="shared" si="110"/>
        <v>-1.1444444444444444</v>
      </c>
      <c r="AC109" s="58">
        <f t="shared" si="110"/>
        <v>-1.8653846153846154</v>
      </c>
      <c r="AD109" s="58">
        <f t="shared" si="110"/>
        <v>2.714285714285714</v>
      </c>
      <c r="AE109" s="57"/>
      <c r="AF109" s="61"/>
      <c r="AG109" s="8">
        <v>-0.2</v>
      </c>
      <c r="AH109" s="144">
        <v>-18.5</v>
      </c>
      <c r="AI109" s="135"/>
      <c r="AJ109" s="8">
        <v>-3.4</v>
      </c>
      <c r="AK109" s="8">
        <v>-4.5</v>
      </c>
    </row>
    <row r="110" spans="1:37" x14ac:dyDescent="0.25">
      <c r="A110" s="14" t="s">
        <v>133</v>
      </c>
      <c r="B110" s="66">
        <f>C110+AG110+AH110-(AJ110+AK110)</f>
        <v>0.30000000000000027</v>
      </c>
      <c r="C110" s="23">
        <v>3.5</v>
      </c>
      <c r="D110" s="23">
        <v>-7.7</v>
      </c>
      <c r="E110" s="23">
        <v>3</v>
      </c>
      <c r="F110" s="23">
        <v>2.6</v>
      </c>
      <c r="G110" s="23">
        <v>5.5</v>
      </c>
      <c r="H110" s="23">
        <v>1.3</v>
      </c>
      <c r="I110" s="341">
        <v>-1.1000000000000001</v>
      </c>
      <c r="J110" s="57"/>
      <c r="K110" s="73"/>
      <c r="L110" s="73"/>
      <c r="M110" s="73"/>
      <c r="N110" s="73"/>
      <c r="O110" s="73"/>
      <c r="P110" s="73"/>
      <c r="Q110" s="73"/>
      <c r="R110" s="73"/>
      <c r="S110" s="57"/>
      <c r="T110" s="59"/>
      <c r="U110" s="59">
        <f>_xlfn.RRI(5.5,H110,B110)</f>
        <v>-0.23402576055975999</v>
      </c>
      <c r="V110" s="59">
        <f>_xlfn.RRI(5,H110,C110)</f>
        <v>0.21905959874044001</v>
      </c>
      <c r="W110" s="59">
        <f t="shared" si="107"/>
        <v>-0.51302586302586295</v>
      </c>
      <c r="X110" s="59">
        <f t="shared" si="110"/>
        <v>-0.91428571428571426</v>
      </c>
      <c r="Y110" s="59">
        <f t="shared" si="110"/>
        <v>-1.4545454545454544</v>
      </c>
      <c r="Z110" s="59">
        <f t="shared" si="110"/>
        <v>-3.5666666666666664</v>
      </c>
      <c r="AA110" s="59">
        <f t="shared" si="110"/>
        <v>0.1538461538461538</v>
      </c>
      <c r="AB110" s="59">
        <f t="shared" si="110"/>
        <v>-0.52727272727272723</v>
      </c>
      <c r="AC110" s="59">
        <f t="shared" si="110"/>
        <v>3.2307692307692308</v>
      </c>
      <c r="AD110" s="59">
        <f t="shared" si="110"/>
        <v>-2.1818181818181821</v>
      </c>
      <c r="AE110" s="57"/>
      <c r="AF110" s="67"/>
      <c r="AG110" s="23">
        <v>0.2</v>
      </c>
      <c r="AH110" s="146">
        <v>-6</v>
      </c>
      <c r="AI110" s="136"/>
      <c r="AJ110" s="23">
        <v>-1.3</v>
      </c>
      <c r="AK110" s="23">
        <v>-1.3</v>
      </c>
    </row>
    <row r="111" spans="1:37" x14ac:dyDescent="0.25">
      <c r="A111" s="6" t="s">
        <v>134</v>
      </c>
      <c r="B111" s="24">
        <f>SUM(B105:B110)</f>
        <v>78.000000000000185</v>
      </c>
      <c r="C111" s="24">
        <f>SUM(C105:C110)</f>
        <v>101.29999999999984</v>
      </c>
      <c r="D111" s="24">
        <f t="shared" ref="D111:F111" si="112">SUM(D105:D110)</f>
        <v>103.00000000000001</v>
      </c>
      <c r="E111" s="24">
        <f t="shared" si="112"/>
        <v>127.09999999999987</v>
      </c>
      <c r="F111" s="24">
        <f t="shared" si="112"/>
        <v>115.3</v>
      </c>
      <c r="G111" s="24">
        <f>SUM(G105:G110)</f>
        <v>78.299999999999869</v>
      </c>
      <c r="H111" s="24">
        <f>SUM(H105:H110)</f>
        <v>101.79999999999991</v>
      </c>
      <c r="I111" s="24">
        <f>SUM(I105:I110)</f>
        <v>119.4999999999999</v>
      </c>
      <c r="J111" s="69"/>
      <c r="K111" s="70">
        <f>B111/$B$111</f>
        <v>1</v>
      </c>
      <c r="L111" s="70">
        <f>C111/$C$111</f>
        <v>1</v>
      </c>
      <c r="M111" s="70">
        <f>D111/$D$111</f>
        <v>1</v>
      </c>
      <c r="N111" s="70">
        <f>E111/$E$111</f>
        <v>1</v>
      </c>
      <c r="O111" s="70">
        <f>F111/$F$111</f>
        <v>1</v>
      </c>
      <c r="P111" s="70">
        <f>G111/$G$111</f>
        <v>1</v>
      </c>
      <c r="Q111" s="70">
        <f>H111/$H$111</f>
        <v>1</v>
      </c>
      <c r="R111" s="70">
        <f>I111/$I$111</f>
        <v>1</v>
      </c>
      <c r="S111" s="69"/>
      <c r="T111" s="58">
        <f t="shared" si="106"/>
        <v>-2.7162603794636531E-2</v>
      </c>
      <c r="U111" s="58">
        <f>_xlfn.RRI(5.5,H111,B111)</f>
        <v>-4.7264934095756495E-2</v>
      </c>
      <c r="V111" s="58">
        <f>_xlfn.RRI(5,H111,C111)</f>
        <v>-9.84253876441743E-4</v>
      </c>
      <c r="W111" s="20">
        <f t="shared" si="107"/>
        <v>-1.5348462042790695E-2</v>
      </c>
      <c r="X111" s="20">
        <f t="shared" si="110"/>
        <v>-0.23000987166830891</v>
      </c>
      <c r="Y111" s="20">
        <f t="shared" si="110"/>
        <v>-1.650485436893372E-2</v>
      </c>
      <c r="Z111" s="20">
        <f t="shared" si="110"/>
        <v>-0.18961447678992824</v>
      </c>
      <c r="AA111" s="20">
        <f t="shared" si="110"/>
        <v>0.10234171725932237</v>
      </c>
      <c r="AB111" s="20">
        <f t="shared" si="110"/>
        <v>0.47254150702426806</v>
      </c>
      <c r="AC111" s="20">
        <f t="shared" si="110"/>
        <v>-0.23084479371316369</v>
      </c>
      <c r="AD111" s="20">
        <f t="shared" si="110"/>
        <v>-0.1481171548117155</v>
      </c>
      <c r="AE111" s="69"/>
      <c r="AF111" s="24"/>
      <c r="AG111" s="24">
        <f>SUM(AG105:AG110)</f>
        <v>13.199999999999996</v>
      </c>
      <c r="AH111" s="157">
        <f t="shared" ref="AH111:AK111" si="113">SUM(AH105:AH110)</f>
        <v>-15.299999999999999</v>
      </c>
      <c r="AI111" s="138"/>
      <c r="AJ111" s="24">
        <f t="shared" si="113"/>
        <v>29.2</v>
      </c>
      <c r="AK111" s="24">
        <f t="shared" si="113"/>
        <v>-8.0000000000000036</v>
      </c>
    </row>
    <row r="112" spans="1:37" x14ac:dyDescent="0.25">
      <c r="A112" s="14" t="s">
        <v>135</v>
      </c>
      <c r="B112" s="61">
        <f t="shared" ref="B112:B117" si="114">C112+AG112+AH112-(AJ112+AK112)</f>
        <v>-112.10000000000001</v>
      </c>
      <c r="C112" s="8">
        <v>-105.3</v>
      </c>
      <c r="D112" s="8">
        <v>-125</v>
      </c>
      <c r="E112" s="8">
        <v>-69.8</v>
      </c>
      <c r="F112" s="8">
        <v>-37.200000000000003</v>
      </c>
      <c r="G112" s="8">
        <v>-109.7</v>
      </c>
      <c r="H112" s="8">
        <v>-67.5</v>
      </c>
      <c r="I112" s="336">
        <v>-49.9</v>
      </c>
      <c r="J112" s="57"/>
      <c r="K112" s="72">
        <f t="shared" ref="K112:K135" si="115">B112/$B$111</f>
        <v>-1.4371794871794838</v>
      </c>
      <c r="L112" s="72">
        <f t="shared" ref="L112:L135" si="116">C112/$C$111</f>
        <v>-1.0394866732477805</v>
      </c>
      <c r="M112" s="72">
        <f t="shared" ref="M112:M135" si="117">D112/$D$111</f>
        <v>-1.2135922330097086</v>
      </c>
      <c r="N112" s="72">
        <f t="shared" ref="N112:N135" si="118">E112/$E$111</f>
        <v>-0.54917387883556312</v>
      </c>
      <c r="O112" s="72">
        <f t="shared" ref="O112:O135" si="119">F112/$F$111</f>
        <v>-0.32263660017346057</v>
      </c>
      <c r="P112" s="72">
        <f t="shared" ref="P112:P135" si="120">G112/$G$111</f>
        <v>-1.4010217113665413</v>
      </c>
      <c r="Q112" s="72">
        <f t="shared" ref="Q112:Q135" si="121">H112/$H$111</f>
        <v>-0.66306483300589447</v>
      </c>
      <c r="R112" s="70">
        <f t="shared" ref="R112:R135" si="122">I112/$I$111</f>
        <v>-0.41757322175732253</v>
      </c>
      <c r="S112" s="57"/>
      <c r="T112" s="58">
        <f t="shared" si="106"/>
        <v>0.13254283689257607</v>
      </c>
      <c r="U112" s="58">
        <f>_xlfn.RRI(5.5,H112,B112)</f>
        <v>9.6616762210732787E-2</v>
      </c>
      <c r="V112" s="58">
        <f>_xlfn.RRI(5,H112,C112)</f>
        <v>9.3011973943858628E-2</v>
      </c>
      <c r="W112" s="58">
        <f t="shared" si="107"/>
        <v>0.25640737819807785</v>
      </c>
      <c r="X112" s="58">
        <f t="shared" si="110"/>
        <v>6.457739791073136E-2</v>
      </c>
      <c r="Y112" s="58">
        <f t="shared" si="110"/>
        <v>-0.15760000000000002</v>
      </c>
      <c r="Z112" s="58">
        <f t="shared" si="110"/>
        <v>0.79083094555873934</v>
      </c>
      <c r="AA112" s="58">
        <f t="shared" si="110"/>
        <v>0.87634408602150515</v>
      </c>
      <c r="AB112" s="58">
        <f t="shared" si="110"/>
        <v>-0.66089334548769374</v>
      </c>
      <c r="AC112" s="58">
        <f t="shared" si="110"/>
        <v>0.62518518518518518</v>
      </c>
      <c r="AD112" s="58">
        <f t="shared" si="110"/>
        <v>0.35270541082164331</v>
      </c>
      <c r="AE112" s="57"/>
      <c r="AF112" s="61"/>
      <c r="AG112" s="8">
        <v>-32.200000000000003</v>
      </c>
      <c r="AH112" s="144">
        <v>-30.4</v>
      </c>
      <c r="AI112" s="135"/>
      <c r="AJ112" s="8">
        <v>-29.6</v>
      </c>
      <c r="AK112" s="8">
        <v>-26.2</v>
      </c>
    </row>
    <row r="113" spans="1:37" x14ac:dyDescent="0.25">
      <c r="A113" s="14" t="s">
        <v>136</v>
      </c>
      <c r="B113" s="61">
        <f t="shared" si="114"/>
        <v>0</v>
      </c>
      <c r="C113" s="8">
        <v>0</v>
      </c>
      <c r="D113" s="8">
        <v>0</v>
      </c>
      <c r="E113" s="8">
        <v>0</v>
      </c>
      <c r="F113" s="8">
        <v>0</v>
      </c>
      <c r="G113" s="8">
        <v>-264</v>
      </c>
      <c r="H113" s="8">
        <v>0</v>
      </c>
      <c r="I113" s="336">
        <v>0</v>
      </c>
      <c r="J113" s="57"/>
      <c r="K113" s="72"/>
      <c r="L113" s="72"/>
      <c r="M113" s="72"/>
      <c r="N113" s="72"/>
      <c r="O113" s="72"/>
      <c r="P113" s="72"/>
      <c r="Q113" s="72"/>
      <c r="R113" s="70"/>
      <c r="S113" s="57"/>
      <c r="T113" s="58"/>
      <c r="U113" s="58"/>
      <c r="V113" s="58"/>
      <c r="W113" s="58"/>
      <c r="X113" s="58"/>
      <c r="Y113" s="58"/>
      <c r="Z113" s="58"/>
      <c r="AA113" s="58"/>
      <c r="AB113" s="58"/>
      <c r="AC113" s="58"/>
      <c r="AD113" s="58"/>
      <c r="AE113" s="57"/>
      <c r="AF113" s="61"/>
      <c r="AG113" s="61">
        <v>0</v>
      </c>
      <c r="AH113" s="145">
        <v>0</v>
      </c>
      <c r="AI113" s="61"/>
      <c r="AJ113" s="61">
        <v>0</v>
      </c>
      <c r="AK113" s="61">
        <v>0</v>
      </c>
    </row>
    <row r="114" spans="1:37" x14ac:dyDescent="0.25">
      <c r="A114" s="14" t="s">
        <v>137</v>
      </c>
      <c r="B114" s="61">
        <f t="shared" si="114"/>
        <v>0.20000000000000007</v>
      </c>
      <c r="C114" s="8">
        <v>0.8</v>
      </c>
      <c r="D114" s="8">
        <v>6.1</v>
      </c>
      <c r="E114" s="8">
        <v>0.7</v>
      </c>
      <c r="F114" s="8">
        <v>3</v>
      </c>
      <c r="G114" s="8">
        <v>1.5</v>
      </c>
      <c r="H114" s="8">
        <v>0</v>
      </c>
      <c r="I114" s="336">
        <v>0</v>
      </c>
      <c r="J114" s="57"/>
      <c r="K114" s="72">
        <f t="shared" si="115"/>
        <v>2.5641025641025589E-3</v>
      </c>
      <c r="L114" s="72">
        <f t="shared" si="116"/>
        <v>7.8973346495557883E-3</v>
      </c>
      <c r="M114" s="72">
        <f t="shared" si="117"/>
        <v>5.9223300970873777E-2</v>
      </c>
      <c r="N114" s="72">
        <f t="shared" si="118"/>
        <v>5.5074744295830107E-3</v>
      </c>
      <c r="O114" s="72">
        <f t="shared" si="119"/>
        <v>2.6019080659150044E-2</v>
      </c>
      <c r="P114" s="72">
        <f t="shared" si="120"/>
        <v>1.9157088122605397E-2</v>
      </c>
      <c r="Q114" s="72">
        <f t="shared" si="121"/>
        <v>0</v>
      </c>
      <c r="R114" s="70">
        <f t="shared" si="122"/>
        <v>0</v>
      </c>
      <c r="S114" s="57"/>
      <c r="T114" s="58"/>
      <c r="U114" s="58"/>
      <c r="V114" s="58"/>
      <c r="W114" s="58"/>
      <c r="X114" s="58">
        <f>(B114-C114)/C114</f>
        <v>-0.74999999999999989</v>
      </c>
      <c r="Y114" s="58">
        <f>(C114-D114)/D114</f>
        <v>-0.86885245901639352</v>
      </c>
      <c r="Z114" s="58">
        <f>(D114-E114)/E114</f>
        <v>7.7142857142857144</v>
      </c>
      <c r="AA114" s="58">
        <f>(E114-F114)/F114</f>
        <v>-0.76666666666666661</v>
      </c>
      <c r="AB114" s="58">
        <f>(F114-G114)/G114</f>
        <v>1</v>
      </c>
      <c r="AC114" s="58"/>
      <c r="AD114" s="58"/>
      <c r="AE114" s="57"/>
      <c r="AF114" s="61"/>
      <c r="AG114" s="8">
        <v>0.1</v>
      </c>
      <c r="AH114" s="144">
        <v>0</v>
      </c>
      <c r="AI114" s="135"/>
      <c r="AJ114" s="8">
        <v>0.3</v>
      </c>
      <c r="AK114" s="8">
        <v>0.4</v>
      </c>
    </row>
    <row r="115" spans="1:37" x14ac:dyDescent="0.25">
      <c r="A115" s="14" t="s">
        <v>138</v>
      </c>
      <c r="B115" s="61">
        <f t="shared" si="114"/>
        <v>0</v>
      </c>
      <c r="C115" s="8">
        <v>0</v>
      </c>
      <c r="D115" s="8">
        <v>0</v>
      </c>
      <c r="E115" s="8">
        <v>0</v>
      </c>
      <c r="F115" s="8">
        <v>0</v>
      </c>
      <c r="G115" s="8">
        <v>0</v>
      </c>
      <c r="H115" s="8">
        <v>9.5</v>
      </c>
      <c r="I115" s="336">
        <v>0</v>
      </c>
      <c r="J115" s="57"/>
      <c r="K115" s="72"/>
      <c r="L115" s="72"/>
      <c r="M115" s="72"/>
      <c r="N115" s="72"/>
      <c r="O115" s="72"/>
      <c r="P115" s="72"/>
      <c r="Q115" s="72"/>
      <c r="R115" s="70"/>
      <c r="S115" s="57"/>
      <c r="T115" s="58"/>
      <c r="U115" s="58"/>
      <c r="V115" s="58"/>
      <c r="W115" s="58"/>
      <c r="X115" s="58"/>
      <c r="Y115" s="58"/>
      <c r="Z115" s="58"/>
      <c r="AA115" s="58"/>
      <c r="AB115" s="58"/>
      <c r="AC115" s="58"/>
      <c r="AD115" s="58"/>
      <c r="AE115" s="57"/>
      <c r="AF115" s="61"/>
      <c r="AG115" s="61">
        <v>0</v>
      </c>
      <c r="AH115" s="145">
        <v>0</v>
      </c>
      <c r="AI115" s="61"/>
      <c r="AJ115" s="61">
        <v>0</v>
      </c>
      <c r="AK115" s="61">
        <v>0</v>
      </c>
    </row>
    <row r="116" spans="1:37" x14ac:dyDescent="0.25">
      <c r="A116" s="14" t="s">
        <v>139</v>
      </c>
      <c r="B116" s="61">
        <f t="shared" si="114"/>
        <v>2.3000000000000007</v>
      </c>
      <c r="C116" s="8">
        <v>4.4000000000000004</v>
      </c>
      <c r="D116" s="8">
        <v>29.4</v>
      </c>
      <c r="E116" s="8">
        <v>74.7</v>
      </c>
      <c r="F116" s="8">
        <v>0.4</v>
      </c>
      <c r="G116" s="8">
        <v>-4.2</v>
      </c>
      <c r="H116" s="8">
        <v>1.5</v>
      </c>
      <c r="I116" s="336">
        <v>-3.8</v>
      </c>
      <c r="J116" s="57"/>
      <c r="K116" s="72">
        <f t="shared" si="115"/>
        <v>2.9487179487179428E-2</v>
      </c>
      <c r="L116" s="72">
        <f t="shared" si="116"/>
        <v>4.3435340572556831E-2</v>
      </c>
      <c r="M116" s="72">
        <f t="shared" si="117"/>
        <v>0.28543689320388343</v>
      </c>
      <c r="N116" s="72">
        <f t="shared" si="118"/>
        <v>0.58772619984264418</v>
      </c>
      <c r="O116" s="72">
        <f t="shared" si="119"/>
        <v>3.4692107545533394E-3</v>
      </c>
      <c r="P116" s="72">
        <f t="shared" si="120"/>
        <v>-5.3639846743295111E-2</v>
      </c>
      <c r="Q116" s="72">
        <f t="shared" si="121"/>
        <v>1.4734774066797655E-2</v>
      </c>
      <c r="R116" s="70">
        <f t="shared" si="122"/>
        <v>-3.1799163179916344E-2</v>
      </c>
      <c r="S116" s="57"/>
      <c r="T116" s="58"/>
      <c r="U116" s="58">
        <f>_xlfn.RRI(5.5,H116,B116)</f>
        <v>8.0816845416358252E-2</v>
      </c>
      <c r="V116" s="58">
        <f>_xlfn.RRI(5,H116,C116)</f>
        <v>0.2401444770294936</v>
      </c>
      <c r="W116" s="58">
        <f t="shared" si="107"/>
        <v>29.820120556437246</v>
      </c>
      <c r="X116" s="58">
        <f t="shared" ref="X116:AD116" si="123">(B116-C116)/C116</f>
        <v>-0.47727272727272713</v>
      </c>
      <c r="Y116" s="58">
        <f t="shared" si="123"/>
        <v>-0.85034013605442182</v>
      </c>
      <c r="Z116" s="58">
        <f t="shared" si="123"/>
        <v>-0.60642570281124497</v>
      </c>
      <c r="AA116" s="58">
        <f t="shared" si="123"/>
        <v>185.74999999999997</v>
      </c>
      <c r="AB116" s="58">
        <f t="shared" si="123"/>
        <v>-1.0952380952380953</v>
      </c>
      <c r="AC116" s="58">
        <f t="shared" si="123"/>
        <v>-3.8000000000000003</v>
      </c>
      <c r="AD116" s="58">
        <f t="shared" si="123"/>
        <v>-1.3947368421052633</v>
      </c>
      <c r="AE116" s="57"/>
      <c r="AF116" s="61"/>
      <c r="AG116" s="8">
        <v>0</v>
      </c>
      <c r="AH116" s="144">
        <v>1.9</v>
      </c>
      <c r="AI116" s="135"/>
      <c r="AJ116" s="8">
        <v>0.2</v>
      </c>
      <c r="AK116" s="8">
        <v>3.8</v>
      </c>
    </row>
    <row r="117" spans="1:37" x14ac:dyDescent="0.25">
      <c r="A117" s="14" t="s">
        <v>140</v>
      </c>
      <c r="B117" s="66">
        <f t="shared" si="114"/>
        <v>-14.7</v>
      </c>
      <c r="C117" s="23">
        <v>-14.7</v>
      </c>
      <c r="D117" s="23">
        <v>0</v>
      </c>
      <c r="E117" s="23">
        <v>0</v>
      </c>
      <c r="F117" s="23">
        <v>0</v>
      </c>
      <c r="G117" s="23">
        <v>0</v>
      </c>
      <c r="H117" s="23">
        <v>0</v>
      </c>
      <c r="I117" s="341">
        <v>0</v>
      </c>
      <c r="J117" s="57"/>
      <c r="K117" s="74">
        <f t="shared" si="115"/>
        <v>-0.18846153846153801</v>
      </c>
      <c r="L117" s="74">
        <f t="shared" si="116"/>
        <v>-0.14511352418558759</v>
      </c>
      <c r="M117" s="74">
        <f t="shared" si="117"/>
        <v>0</v>
      </c>
      <c r="N117" s="74">
        <f t="shared" si="118"/>
        <v>0</v>
      </c>
      <c r="O117" s="74">
        <f t="shared" si="119"/>
        <v>0</v>
      </c>
      <c r="P117" s="74">
        <f t="shared" si="120"/>
        <v>0</v>
      </c>
      <c r="Q117" s="74">
        <f t="shared" si="121"/>
        <v>0</v>
      </c>
      <c r="R117" s="293">
        <f t="shared" si="122"/>
        <v>0</v>
      </c>
      <c r="S117" s="57"/>
      <c r="T117" s="59"/>
      <c r="U117" s="59"/>
      <c r="V117" s="59"/>
      <c r="W117" s="59"/>
      <c r="X117" s="59"/>
      <c r="Y117" s="59"/>
      <c r="Z117" s="59"/>
      <c r="AA117" s="59"/>
      <c r="AB117" s="59"/>
      <c r="AC117" s="59"/>
      <c r="AD117" s="59"/>
      <c r="AE117" s="57"/>
      <c r="AF117" s="67"/>
      <c r="AG117" s="67">
        <v>0</v>
      </c>
      <c r="AH117" s="161">
        <v>0</v>
      </c>
      <c r="AI117" s="67"/>
      <c r="AJ117" s="67">
        <v>0</v>
      </c>
      <c r="AK117" s="67">
        <v>0</v>
      </c>
    </row>
    <row r="118" spans="1:37" x14ac:dyDescent="0.25">
      <c r="A118" s="6" t="s">
        <v>141</v>
      </c>
      <c r="B118" s="24">
        <f>SUM(B112:B117)</f>
        <v>-124.30000000000001</v>
      </c>
      <c r="C118" s="24">
        <f>SUM(C112:C117)</f>
        <v>-114.8</v>
      </c>
      <c r="D118" s="24">
        <f t="shared" ref="D118:I118" si="124">SUM(D112:D117)</f>
        <v>-89.5</v>
      </c>
      <c r="E118" s="24">
        <f t="shared" si="124"/>
        <v>5.6000000000000085</v>
      </c>
      <c r="F118" s="24">
        <f t="shared" si="124"/>
        <v>-33.800000000000004</v>
      </c>
      <c r="G118" s="24">
        <f t="shared" si="124"/>
        <v>-376.4</v>
      </c>
      <c r="H118" s="24">
        <f t="shared" si="124"/>
        <v>-56.5</v>
      </c>
      <c r="I118" s="24">
        <f t="shared" si="124"/>
        <v>-53.699999999999996</v>
      </c>
      <c r="J118" s="57"/>
      <c r="K118" s="70">
        <f t="shared" si="115"/>
        <v>-1.5935897435897399</v>
      </c>
      <c r="L118" s="70">
        <f t="shared" si="116"/>
        <v>-1.1332675222112554</v>
      </c>
      <c r="M118" s="70">
        <f t="shared" si="117"/>
        <v>-0.86893203883495129</v>
      </c>
      <c r="N118" s="70">
        <f t="shared" si="118"/>
        <v>4.4059795436664155E-2</v>
      </c>
      <c r="O118" s="70">
        <f t="shared" si="119"/>
        <v>-0.29314830875975723</v>
      </c>
      <c r="P118" s="70">
        <f t="shared" si="120"/>
        <v>-4.8071519795657807</v>
      </c>
      <c r="Q118" s="70">
        <f t="shared" si="121"/>
        <v>-0.55500982318271164</v>
      </c>
      <c r="R118" s="70">
        <f t="shared" si="122"/>
        <v>-0.44937238493723886</v>
      </c>
      <c r="S118" s="57"/>
      <c r="T118" s="58">
        <f t="shared" si="106"/>
        <v>0.13499670411052911</v>
      </c>
      <c r="U118" s="58">
        <f>_xlfn.RRI(5.5,H118,B118)</f>
        <v>0.15414046837008022</v>
      </c>
      <c r="V118" s="58">
        <f>_xlfn.RRI(5,H118,C118)</f>
        <v>0.15233482776686635</v>
      </c>
      <c r="W118" s="20">
        <f t="shared" si="107"/>
        <v>-2.1717740272055299</v>
      </c>
      <c r="X118" s="20">
        <f t="shared" ref="X118:AD118" si="125">(B118-C118)/C118</f>
        <v>8.2752613240418244E-2</v>
      </c>
      <c r="Y118" s="20">
        <f t="shared" si="125"/>
        <v>0.28268156424581004</v>
      </c>
      <c r="Z118" s="20">
        <f t="shared" si="125"/>
        <v>-16.982142857142833</v>
      </c>
      <c r="AA118" s="20">
        <f t="shared" si="125"/>
        <v>-1.1656804733727812</v>
      </c>
      <c r="AB118" s="20">
        <f t="shared" si="125"/>
        <v>-0.91020191285866092</v>
      </c>
      <c r="AC118" s="20">
        <f t="shared" si="125"/>
        <v>5.6619469026548668</v>
      </c>
      <c r="AD118" s="20">
        <f t="shared" si="125"/>
        <v>5.2141527001862281E-2</v>
      </c>
      <c r="AE118" s="57"/>
      <c r="AF118" s="61"/>
      <c r="AG118" s="56">
        <f>SUM(AG112:AG117)</f>
        <v>-32.1</v>
      </c>
      <c r="AH118" s="147">
        <f t="shared" ref="AH118:AK118" si="126">SUM(AH112:AH117)</f>
        <v>-28.5</v>
      </c>
      <c r="AI118" s="56"/>
      <c r="AJ118" s="56">
        <f t="shared" si="126"/>
        <v>-29.1</v>
      </c>
      <c r="AK118" s="56">
        <f t="shared" si="126"/>
        <v>-22</v>
      </c>
    </row>
    <row r="119" spans="1:37" x14ac:dyDescent="0.25">
      <c r="A119" s="14" t="s">
        <v>142</v>
      </c>
      <c r="B119" s="61">
        <f t="shared" ref="B119:B128" si="127">C119+AG119+AH119-(AJ119+AK119)</f>
        <v>0</v>
      </c>
      <c r="C119" s="8">
        <v>0</v>
      </c>
      <c r="D119" s="8">
        <v>0</v>
      </c>
      <c r="E119" s="8">
        <v>-57.3</v>
      </c>
      <c r="F119" s="8">
        <v>-61.1</v>
      </c>
      <c r="G119" s="8">
        <v>0</v>
      </c>
      <c r="H119" s="8">
        <v>0</v>
      </c>
      <c r="I119" s="336"/>
      <c r="J119" s="57"/>
      <c r="K119" s="70"/>
      <c r="L119" s="70"/>
      <c r="M119" s="70"/>
      <c r="N119" s="70"/>
      <c r="O119" s="70"/>
      <c r="P119" s="70"/>
      <c r="Q119" s="70"/>
      <c r="R119" s="70"/>
      <c r="S119" s="57"/>
      <c r="T119" s="58"/>
      <c r="U119" s="58"/>
      <c r="V119" s="58"/>
      <c r="W119" s="58"/>
      <c r="X119" s="58"/>
      <c r="Y119" s="58"/>
      <c r="Z119" s="58"/>
      <c r="AA119" s="58"/>
      <c r="AB119" s="58"/>
      <c r="AC119" s="58"/>
      <c r="AD119" s="58"/>
      <c r="AE119" s="57"/>
      <c r="AF119" s="61"/>
      <c r="AG119" s="61">
        <v>0</v>
      </c>
      <c r="AH119" s="145">
        <v>0</v>
      </c>
      <c r="AI119" s="61"/>
      <c r="AJ119" s="61">
        <v>0</v>
      </c>
      <c r="AK119" s="61">
        <v>0</v>
      </c>
    </row>
    <row r="120" spans="1:37" x14ac:dyDescent="0.25">
      <c r="A120" s="14" t="s">
        <v>143</v>
      </c>
      <c r="B120" s="61">
        <f t="shared" si="127"/>
        <v>186.39999999999998</v>
      </c>
      <c r="C120" s="8">
        <v>38.299999999999997</v>
      </c>
      <c r="D120" s="8">
        <v>15.2</v>
      </c>
      <c r="E120" s="8">
        <v>0</v>
      </c>
      <c r="F120" s="8">
        <v>0</v>
      </c>
      <c r="G120" s="8">
        <v>234.9</v>
      </c>
      <c r="H120" s="8">
        <v>705.4</v>
      </c>
      <c r="I120" s="336">
        <v>595.70000000000005</v>
      </c>
      <c r="J120" s="57"/>
      <c r="K120" s="70"/>
      <c r="L120" s="70"/>
      <c r="M120" s="70"/>
      <c r="N120" s="70"/>
      <c r="O120" s="70"/>
      <c r="P120" s="70"/>
      <c r="Q120" s="70"/>
      <c r="R120" s="70"/>
      <c r="S120" s="57"/>
      <c r="T120" s="58"/>
      <c r="U120" s="58"/>
      <c r="V120" s="58"/>
      <c r="W120" s="58"/>
      <c r="X120" s="58"/>
      <c r="Y120" s="58"/>
      <c r="Z120" s="58"/>
      <c r="AA120" s="58"/>
      <c r="AB120" s="58"/>
      <c r="AC120" s="58"/>
      <c r="AD120" s="58"/>
      <c r="AE120" s="57"/>
      <c r="AF120" s="61"/>
      <c r="AG120" s="8">
        <v>139.6</v>
      </c>
      <c r="AH120" s="144">
        <v>63.5</v>
      </c>
      <c r="AI120" s="135"/>
      <c r="AJ120" s="8">
        <v>7.6</v>
      </c>
      <c r="AK120" s="8">
        <v>47.4</v>
      </c>
    </row>
    <row r="121" spans="1:37" x14ac:dyDescent="0.25">
      <c r="A121" s="14" t="s">
        <v>144</v>
      </c>
      <c r="B121" s="61">
        <f t="shared" si="127"/>
        <v>0</v>
      </c>
      <c r="C121" s="8">
        <v>0</v>
      </c>
      <c r="D121" s="8">
        <v>0</v>
      </c>
      <c r="E121" s="8">
        <v>0</v>
      </c>
      <c r="F121" s="8">
        <v>0</v>
      </c>
      <c r="G121" s="8">
        <v>0</v>
      </c>
      <c r="H121" s="8">
        <v>-651.1</v>
      </c>
      <c r="I121" s="336">
        <v>-625.4</v>
      </c>
      <c r="J121" s="57"/>
      <c r="K121" s="70"/>
      <c r="L121" s="70"/>
      <c r="M121" s="70"/>
      <c r="N121" s="70"/>
      <c r="O121" s="70"/>
      <c r="P121" s="70"/>
      <c r="Q121" s="70"/>
      <c r="R121" s="70"/>
      <c r="S121" s="57"/>
      <c r="T121" s="58"/>
      <c r="U121" s="58"/>
      <c r="V121" s="58"/>
      <c r="W121" s="58"/>
      <c r="X121" s="58"/>
      <c r="Y121" s="58"/>
      <c r="Z121" s="58"/>
      <c r="AA121" s="58"/>
      <c r="AB121" s="58"/>
      <c r="AC121" s="58"/>
      <c r="AD121" s="58"/>
      <c r="AE121" s="57"/>
      <c r="AF121" s="61"/>
      <c r="AG121" s="8">
        <v>0</v>
      </c>
      <c r="AH121" s="144">
        <v>0</v>
      </c>
      <c r="AI121" s="135"/>
      <c r="AJ121" s="8">
        <v>0</v>
      </c>
      <c r="AK121" s="8">
        <v>0</v>
      </c>
    </row>
    <row r="122" spans="1:37" x14ac:dyDescent="0.25">
      <c r="A122" s="14" t="s">
        <v>145</v>
      </c>
      <c r="B122" s="61">
        <f t="shared" si="127"/>
        <v>388</v>
      </c>
      <c r="C122" s="8">
        <v>0</v>
      </c>
      <c r="D122" s="8">
        <v>0</v>
      </c>
      <c r="E122" s="8">
        <v>0</v>
      </c>
      <c r="F122" s="8">
        <v>0</v>
      </c>
      <c r="G122" s="8">
        <v>100</v>
      </c>
      <c r="H122" s="8">
        <v>500</v>
      </c>
      <c r="I122" s="336">
        <v>0</v>
      </c>
      <c r="J122" s="57"/>
      <c r="K122" s="70"/>
      <c r="L122" s="70"/>
      <c r="M122" s="70"/>
      <c r="N122" s="70"/>
      <c r="O122" s="70"/>
      <c r="P122" s="70"/>
      <c r="Q122" s="70"/>
      <c r="R122" s="70"/>
      <c r="S122" s="57"/>
      <c r="T122" s="58"/>
      <c r="U122" s="58"/>
      <c r="V122" s="58"/>
      <c r="W122" s="58"/>
      <c r="X122" s="58"/>
      <c r="Y122" s="58"/>
      <c r="Z122" s="58"/>
      <c r="AA122" s="58"/>
      <c r="AB122" s="58"/>
      <c r="AC122" s="58"/>
      <c r="AD122" s="58"/>
      <c r="AE122" s="57"/>
      <c r="AF122" s="61"/>
      <c r="AG122" s="8">
        <v>388</v>
      </c>
      <c r="AH122" s="144">
        <v>0</v>
      </c>
      <c r="AI122" s="135"/>
      <c r="AJ122" s="8">
        <v>0</v>
      </c>
      <c r="AK122" s="8">
        <v>0</v>
      </c>
    </row>
    <row r="123" spans="1:37" x14ac:dyDescent="0.25">
      <c r="A123" s="14" t="s">
        <v>146</v>
      </c>
      <c r="B123" s="61">
        <f t="shared" si="127"/>
        <v>-501</v>
      </c>
      <c r="C123" s="8">
        <v>-2</v>
      </c>
      <c r="D123" s="8">
        <v>-10.1</v>
      </c>
      <c r="E123" s="8">
        <v>-70.7</v>
      </c>
      <c r="F123" s="8">
        <v>-29.7</v>
      </c>
      <c r="G123" s="8">
        <v>-20.3</v>
      </c>
      <c r="H123" s="8">
        <v>-546.70000000000005</v>
      </c>
      <c r="I123" s="336">
        <v>-31.7</v>
      </c>
      <c r="J123" s="57"/>
      <c r="K123" s="72">
        <f t="shared" si="115"/>
        <v>-6.4230769230769083</v>
      </c>
      <c r="L123" s="72">
        <f t="shared" si="116"/>
        <v>-1.9743336623889468E-2</v>
      </c>
      <c r="M123" s="72">
        <f t="shared" si="117"/>
        <v>-9.8058252427184453E-2</v>
      </c>
      <c r="N123" s="72">
        <f t="shared" si="118"/>
        <v>-0.55625491738788413</v>
      </c>
      <c r="O123" s="72">
        <f t="shared" si="119"/>
        <v>-0.25758889852558542</v>
      </c>
      <c r="P123" s="72">
        <f t="shared" si="120"/>
        <v>-0.25925925925925969</v>
      </c>
      <c r="Q123" s="72">
        <f t="shared" si="121"/>
        <v>-5.3703339882121854</v>
      </c>
      <c r="R123" s="70">
        <f t="shared" si="122"/>
        <v>-0.26527196652719687</v>
      </c>
      <c r="S123" s="57"/>
      <c r="T123" s="58">
        <f t="shared" si="106"/>
        <v>-0.36904974204907781</v>
      </c>
      <c r="U123" s="58">
        <f>_xlfn.RRI(5.5,H123,B123)</f>
        <v>-1.5746364432463134E-2</v>
      </c>
      <c r="V123" s="58">
        <f>_xlfn.RRI(5,H123,C123)</f>
        <v>-0.67442115035885153</v>
      </c>
      <c r="W123" s="58">
        <f t="shared" si="107"/>
        <v>41.453589065783859</v>
      </c>
      <c r="X123" s="58">
        <f t="shared" ref="X123:AD123" si="128">(B123-C123)/C123</f>
        <v>249.5</v>
      </c>
      <c r="Y123" s="58">
        <f t="shared" si="128"/>
        <v>-0.80198019801980203</v>
      </c>
      <c r="Z123" s="58">
        <f t="shared" si="128"/>
        <v>-0.8571428571428571</v>
      </c>
      <c r="AA123" s="58">
        <f t="shared" si="128"/>
        <v>1.3804713804713804</v>
      </c>
      <c r="AB123" s="58">
        <f t="shared" si="128"/>
        <v>0.46305418719211816</v>
      </c>
      <c r="AC123" s="58">
        <f t="shared" si="128"/>
        <v>-0.96286811779769532</v>
      </c>
      <c r="AD123" s="58">
        <f t="shared" si="128"/>
        <v>16.246056782334385</v>
      </c>
      <c r="AE123" s="57"/>
      <c r="AF123" s="61"/>
      <c r="AG123" s="8">
        <v>-501</v>
      </c>
      <c r="AH123" s="144">
        <v>0</v>
      </c>
      <c r="AI123" s="135"/>
      <c r="AJ123" s="8">
        <v>0</v>
      </c>
      <c r="AK123" s="8">
        <v>-2</v>
      </c>
    </row>
    <row r="124" spans="1:37" x14ac:dyDescent="0.25">
      <c r="A124" s="14" t="s">
        <v>147</v>
      </c>
      <c r="B124" s="61">
        <f t="shared" si="127"/>
        <v>2.2000000000000002</v>
      </c>
      <c r="C124" s="8">
        <v>1.1000000000000001</v>
      </c>
      <c r="D124" s="8">
        <v>2.4</v>
      </c>
      <c r="E124" s="8">
        <v>1.1000000000000001</v>
      </c>
      <c r="F124" s="8">
        <v>4</v>
      </c>
      <c r="G124" s="8">
        <v>2.9</v>
      </c>
      <c r="H124" s="8">
        <v>2.7</v>
      </c>
      <c r="I124" s="336">
        <v>0.4</v>
      </c>
      <c r="J124" s="57"/>
      <c r="K124" s="72">
        <f t="shared" si="115"/>
        <v>2.820512820512814E-2</v>
      </c>
      <c r="L124" s="72">
        <f t="shared" ref="L124" si="129">C124/$C$111</f>
        <v>1.0858835143139208E-2</v>
      </c>
      <c r="M124" s="72">
        <f t="shared" ref="M124" si="130">D124/$D$111</f>
        <v>2.3300970873786405E-2</v>
      </c>
      <c r="N124" s="72">
        <f t="shared" si="118"/>
        <v>8.6546026750590182E-3</v>
      </c>
      <c r="O124" s="72">
        <f t="shared" si="119"/>
        <v>3.4692107545533389E-2</v>
      </c>
      <c r="P124" s="72">
        <f t="shared" si="120"/>
        <v>3.7037037037037097E-2</v>
      </c>
      <c r="Q124" s="72">
        <f t="shared" si="121"/>
        <v>2.6522593320235779E-2</v>
      </c>
      <c r="R124" s="70">
        <f t="shared" si="122"/>
        <v>3.3472803347280363E-3</v>
      </c>
      <c r="S124" s="57"/>
      <c r="T124" s="58">
        <f t="shared" si="106"/>
        <v>0.18364676543624858</v>
      </c>
      <c r="U124" s="58">
        <f>_xlfn.RRI(5.5,H124,B124)</f>
        <v>-3.6550636978585738E-2</v>
      </c>
      <c r="V124" s="58">
        <f>_xlfn.RRI(5,H124,C124)</f>
        <v>-0.16438585262196659</v>
      </c>
      <c r="W124" s="58"/>
      <c r="X124" s="58"/>
      <c r="Y124" s="58"/>
      <c r="Z124" s="58">
        <f t="shared" ref="Z124:AD125" si="131">(D124-E124)/E124</f>
        <v>1.1818181818181817</v>
      </c>
      <c r="AA124" s="58">
        <f t="shared" si="131"/>
        <v>-0.72499999999999998</v>
      </c>
      <c r="AB124" s="58">
        <f t="shared" si="131"/>
        <v>0.37931034482758624</v>
      </c>
      <c r="AC124" s="58">
        <f t="shared" si="131"/>
        <v>7.4074074074073973E-2</v>
      </c>
      <c r="AD124" s="58">
        <f t="shared" si="131"/>
        <v>5.75</v>
      </c>
      <c r="AE124" s="57"/>
      <c r="AF124" s="61"/>
      <c r="AG124" s="8">
        <v>0.6</v>
      </c>
      <c r="AH124" s="144">
        <v>1.2</v>
      </c>
      <c r="AI124" s="135"/>
      <c r="AJ124" s="8">
        <v>0.4</v>
      </c>
      <c r="AK124" s="8">
        <v>0.3</v>
      </c>
    </row>
    <row r="125" spans="1:37" x14ac:dyDescent="0.25">
      <c r="A125" s="14" t="s">
        <v>148</v>
      </c>
      <c r="B125" s="61">
        <f t="shared" si="127"/>
        <v>-11.000000000000004</v>
      </c>
      <c r="C125" s="8">
        <v>-23.6</v>
      </c>
      <c r="D125" s="8">
        <v>-11.5</v>
      </c>
      <c r="E125" s="8">
        <v>-1.6</v>
      </c>
      <c r="F125" s="8">
        <v>-0.9</v>
      </c>
      <c r="G125" s="8">
        <v>-31.8</v>
      </c>
      <c r="H125" s="8">
        <v>-5.2</v>
      </c>
      <c r="I125" s="336">
        <v>-0.3</v>
      </c>
      <c r="J125" s="57"/>
      <c r="K125" s="72">
        <f t="shared" si="115"/>
        <v>-0.14102564102564075</v>
      </c>
      <c r="L125" s="72">
        <f t="shared" si="116"/>
        <v>-0.23297137216189573</v>
      </c>
      <c r="M125" s="72">
        <f t="shared" si="117"/>
        <v>-0.11165048543689318</v>
      </c>
      <c r="N125" s="72">
        <f t="shared" si="118"/>
        <v>-1.2588512981904026E-2</v>
      </c>
      <c r="O125" s="72">
        <f t="shared" si="119"/>
        <v>-7.8057241977450131E-3</v>
      </c>
      <c r="P125" s="72">
        <f t="shared" si="120"/>
        <v>-0.40613026819923442</v>
      </c>
      <c r="Q125" s="72">
        <f t="shared" si="121"/>
        <v>-5.1080550098231876E-2</v>
      </c>
      <c r="R125" s="70">
        <f t="shared" si="122"/>
        <v>-2.5104602510460272E-3</v>
      </c>
      <c r="S125" s="57"/>
      <c r="T125" s="58">
        <f t="shared" si="106"/>
        <v>1.0699751162289397</v>
      </c>
      <c r="U125" s="58">
        <f>_xlfn.RRI(5.5,H125,B125)</f>
        <v>0.14593952334231264</v>
      </c>
      <c r="V125" s="58">
        <f>_xlfn.RRI(5,H125,C125)</f>
        <v>0.35326151701018493</v>
      </c>
      <c r="W125" s="58">
        <f t="shared" si="107"/>
        <v>1.9378733146522631</v>
      </c>
      <c r="X125" s="58">
        <f>(B125-C125)/C125</f>
        <v>-0.53389830508474567</v>
      </c>
      <c r="Y125" s="58">
        <f>(C125-D125)/D125</f>
        <v>1.0521739130434784</v>
      </c>
      <c r="Z125" s="58">
        <f t="shared" si="131"/>
        <v>6.1875</v>
      </c>
      <c r="AA125" s="58">
        <f t="shared" si="131"/>
        <v>0.77777777777777779</v>
      </c>
      <c r="AB125" s="58">
        <f t="shared" si="131"/>
        <v>-0.97169811320754718</v>
      </c>
      <c r="AC125" s="58">
        <f t="shared" si="131"/>
        <v>5.1153846153846159</v>
      </c>
      <c r="AD125" s="58">
        <f t="shared" si="131"/>
        <v>16.333333333333336</v>
      </c>
      <c r="AE125" s="57"/>
      <c r="AF125" s="61"/>
      <c r="AG125" s="8">
        <v>-0.1</v>
      </c>
      <c r="AH125" s="144">
        <v>-5.8</v>
      </c>
      <c r="AI125" s="135"/>
      <c r="AJ125" s="8">
        <v>-7.4</v>
      </c>
      <c r="AK125" s="8">
        <v>-11.1</v>
      </c>
    </row>
    <row r="126" spans="1:37" x14ac:dyDescent="0.25">
      <c r="A126" s="14" t="s">
        <v>149</v>
      </c>
      <c r="B126" s="61">
        <f t="shared" si="127"/>
        <v>-5.0999999999999996</v>
      </c>
      <c r="C126" s="8">
        <v>-4.8</v>
      </c>
      <c r="D126" s="8">
        <v>0</v>
      </c>
      <c r="E126" s="8">
        <v>-0.2</v>
      </c>
      <c r="F126" s="8">
        <v>-1</v>
      </c>
      <c r="G126" s="8">
        <v>-2.9</v>
      </c>
      <c r="H126" s="8">
        <v>-11</v>
      </c>
      <c r="I126" s="336">
        <v>0</v>
      </c>
      <c r="J126" s="57"/>
      <c r="K126" s="72">
        <f t="shared" si="115"/>
        <v>-6.5384615384615222E-2</v>
      </c>
      <c r="L126" s="72">
        <f t="shared" si="116"/>
        <v>-4.7384007897334719E-2</v>
      </c>
      <c r="M126" s="72">
        <f t="shared" si="117"/>
        <v>0</v>
      </c>
      <c r="N126" s="72">
        <f t="shared" si="118"/>
        <v>-1.5735641227380033E-3</v>
      </c>
      <c r="O126" s="72">
        <f t="shared" si="119"/>
        <v>-8.6730268863833473E-3</v>
      </c>
      <c r="P126" s="72">
        <f t="shared" si="120"/>
        <v>-3.7037037037037097E-2</v>
      </c>
      <c r="Q126" s="72">
        <f t="shared" si="121"/>
        <v>-0.10805500982318281</v>
      </c>
      <c r="R126" s="70">
        <f t="shared" si="122"/>
        <v>0</v>
      </c>
      <c r="S126" s="57"/>
      <c r="T126" s="58"/>
      <c r="U126" s="58"/>
      <c r="V126" s="58"/>
      <c r="W126" s="58"/>
      <c r="X126" s="58"/>
      <c r="Y126" s="58"/>
      <c r="Z126" s="58"/>
      <c r="AA126" s="58"/>
      <c r="AB126" s="58"/>
      <c r="AC126" s="58"/>
      <c r="AD126" s="58"/>
      <c r="AE126" s="57"/>
      <c r="AF126" s="61"/>
      <c r="AG126" s="8">
        <v>-4.0999999999999996</v>
      </c>
      <c r="AH126" s="144">
        <v>-0.8</v>
      </c>
      <c r="AI126" s="135"/>
      <c r="AJ126" s="8">
        <v>-4.5</v>
      </c>
      <c r="AK126" s="8">
        <v>-0.1</v>
      </c>
    </row>
    <row r="127" spans="1:37" ht="15.75" customHeight="1" x14ac:dyDescent="0.25">
      <c r="A127" s="14" t="s">
        <v>150</v>
      </c>
      <c r="B127" s="61">
        <f t="shared" si="127"/>
        <v>0</v>
      </c>
      <c r="C127" s="8">
        <v>0</v>
      </c>
      <c r="D127" s="8">
        <v>0</v>
      </c>
      <c r="E127" s="8">
        <v>0</v>
      </c>
      <c r="F127" s="8">
        <v>0</v>
      </c>
      <c r="G127" s="8">
        <v>0</v>
      </c>
      <c r="H127" s="8">
        <v>0</v>
      </c>
      <c r="I127" s="336">
        <v>-1.4</v>
      </c>
      <c r="J127" s="57"/>
      <c r="K127" s="72"/>
      <c r="L127" s="72"/>
      <c r="M127" s="72"/>
      <c r="N127" s="72"/>
      <c r="O127" s="72"/>
      <c r="P127" s="72"/>
      <c r="Q127" s="72"/>
      <c r="R127" s="70"/>
      <c r="S127" s="57"/>
      <c r="T127" s="58"/>
      <c r="U127" s="58"/>
      <c r="V127" s="58"/>
      <c r="W127" s="58"/>
      <c r="X127" s="58"/>
      <c r="Y127" s="58"/>
      <c r="Z127" s="58"/>
      <c r="AA127" s="58"/>
      <c r="AB127" s="58"/>
      <c r="AC127" s="58"/>
      <c r="AD127" s="58"/>
      <c r="AE127" s="57"/>
      <c r="AF127" s="61"/>
      <c r="AG127" s="61">
        <v>0</v>
      </c>
      <c r="AH127" s="145">
        <v>0</v>
      </c>
      <c r="AI127" s="61"/>
      <c r="AJ127" s="61">
        <v>0</v>
      </c>
      <c r="AK127" s="61">
        <v>0</v>
      </c>
    </row>
    <row r="128" spans="1:37" x14ac:dyDescent="0.25">
      <c r="A128" s="14" t="s">
        <v>151</v>
      </c>
      <c r="B128" s="66">
        <f t="shared" si="127"/>
        <v>-4.5999999999999996</v>
      </c>
      <c r="C128" s="23">
        <v>-4.2</v>
      </c>
      <c r="D128" s="23">
        <v>0</v>
      </c>
      <c r="E128" s="23">
        <v>0</v>
      </c>
      <c r="F128" s="23">
        <v>0</v>
      </c>
      <c r="G128" s="23">
        <v>0</v>
      </c>
      <c r="H128" s="23">
        <v>0</v>
      </c>
      <c r="I128" s="225">
        <v>0</v>
      </c>
      <c r="J128" s="57"/>
      <c r="K128" s="74">
        <f t="shared" si="115"/>
        <v>-5.8974358974358827E-2</v>
      </c>
      <c r="L128" s="74">
        <f t="shared" si="116"/>
        <v>-4.1461006910167887E-2</v>
      </c>
      <c r="M128" s="74">
        <f t="shared" ref="M128" si="132">D128/$D$111</f>
        <v>0</v>
      </c>
      <c r="N128" s="74">
        <f t="shared" ref="N128" si="133">E128/$E$111</f>
        <v>0</v>
      </c>
      <c r="O128" s="74">
        <f t="shared" ref="O128" si="134">F128/$F$111</f>
        <v>0</v>
      </c>
      <c r="P128" s="74">
        <f t="shared" ref="P128" si="135">G128/$G$111</f>
        <v>0</v>
      </c>
      <c r="Q128" s="74">
        <f t="shared" ref="Q128" si="136">H128/$H$111</f>
        <v>0</v>
      </c>
      <c r="R128" s="293">
        <f t="shared" si="122"/>
        <v>0</v>
      </c>
      <c r="S128" s="57"/>
      <c r="T128" s="59"/>
      <c r="U128" s="59"/>
      <c r="V128" s="59"/>
      <c r="W128" s="59"/>
      <c r="X128" s="59"/>
      <c r="Y128" s="59"/>
      <c r="Z128" s="59"/>
      <c r="AA128" s="59"/>
      <c r="AB128" s="59"/>
      <c r="AC128" s="59"/>
      <c r="AD128" s="59"/>
      <c r="AE128" s="57"/>
      <c r="AF128" s="121"/>
      <c r="AG128" s="23">
        <v>-1.2</v>
      </c>
      <c r="AH128" s="146">
        <v>-1.3</v>
      </c>
      <c r="AI128" s="136"/>
      <c r="AJ128" s="23">
        <v>-1</v>
      </c>
      <c r="AK128" s="23">
        <v>-1.1000000000000001</v>
      </c>
    </row>
    <row r="129" spans="1:37" x14ac:dyDescent="0.25">
      <c r="A129" s="6" t="s">
        <v>152</v>
      </c>
      <c r="B129" s="24">
        <f t="shared" ref="B129:I129" si="137">SUM(B119:B128)</f>
        <v>54.899999999999977</v>
      </c>
      <c r="C129" s="24">
        <f t="shared" si="137"/>
        <v>4.7999999999999963</v>
      </c>
      <c r="D129" s="24">
        <f t="shared" si="137"/>
        <v>-4</v>
      </c>
      <c r="E129" s="24">
        <f t="shared" si="137"/>
        <v>-128.69999999999999</v>
      </c>
      <c r="F129" s="24">
        <f t="shared" si="137"/>
        <v>-88.7</v>
      </c>
      <c r="G129" s="24">
        <f t="shared" si="137"/>
        <v>282.79999999999995</v>
      </c>
      <c r="H129" s="24">
        <f t="shared" si="137"/>
        <v>-5.9000000000000918</v>
      </c>
      <c r="I129" s="24">
        <f t="shared" si="137"/>
        <v>-62.699999999999932</v>
      </c>
      <c r="J129" s="69"/>
      <c r="K129" s="70">
        <f t="shared" si="115"/>
        <v>0.7038461538461519</v>
      </c>
      <c r="L129" s="70">
        <f t="shared" si="116"/>
        <v>4.7384007897334685E-2</v>
      </c>
      <c r="M129" s="70">
        <f t="shared" si="117"/>
        <v>-3.8834951456310676E-2</v>
      </c>
      <c r="N129" s="70">
        <f t="shared" si="118"/>
        <v>-1.012588512981905</v>
      </c>
      <c r="O129" s="70">
        <f t="shared" si="119"/>
        <v>-0.76929748482220295</v>
      </c>
      <c r="P129" s="70">
        <f t="shared" si="120"/>
        <v>3.6117496807152034</v>
      </c>
      <c r="Q129" s="70">
        <f t="shared" si="121"/>
        <v>-5.7956777996071678E-2</v>
      </c>
      <c r="R129" s="70">
        <f t="shared" si="122"/>
        <v>-0.52468619246861914</v>
      </c>
      <c r="S129" s="69"/>
      <c r="T129" s="58"/>
      <c r="U129" s="58"/>
      <c r="V129" s="58"/>
      <c r="W129" s="20"/>
      <c r="X129" s="20"/>
      <c r="Y129" s="20"/>
      <c r="Z129" s="20"/>
      <c r="AA129" s="20"/>
      <c r="AB129" s="20"/>
      <c r="AC129" s="20"/>
      <c r="AD129" s="20"/>
      <c r="AE129" s="69"/>
      <c r="AF129" s="24"/>
      <c r="AG129" s="24">
        <f>SUM(AG119:AG128)</f>
        <v>21.800000000000022</v>
      </c>
      <c r="AH129" s="157">
        <f t="shared" ref="AH129:AK129" si="138">SUM(AH119:AH128)</f>
        <v>56.800000000000011</v>
      </c>
      <c r="AI129" s="138"/>
      <c r="AJ129" s="24">
        <f t="shared" si="138"/>
        <v>-4.9000000000000004</v>
      </c>
      <c r="AK129" s="24">
        <f t="shared" si="138"/>
        <v>33.399999999999991</v>
      </c>
    </row>
    <row r="130" spans="1:37" x14ac:dyDescent="0.25">
      <c r="A130" s="14" t="s">
        <v>153</v>
      </c>
      <c r="B130" s="66">
        <f>C130+AG130+AH130-(AJ130+AK130)</f>
        <v>-1.7999999999999998</v>
      </c>
      <c r="C130" s="23">
        <v>-4.5</v>
      </c>
      <c r="D130" s="23">
        <v>-2.5</v>
      </c>
      <c r="E130" s="23">
        <v>1.5</v>
      </c>
      <c r="F130" s="23">
        <v>-0.4</v>
      </c>
      <c r="G130" s="23">
        <v>-4.4000000000000004</v>
      </c>
      <c r="H130" s="23">
        <v>0.1</v>
      </c>
      <c r="I130" s="341">
        <v>-4.0999999999999996</v>
      </c>
      <c r="J130" s="57"/>
      <c r="K130" s="74">
        <f t="shared" si="115"/>
        <v>-2.3076923076923019E-2</v>
      </c>
      <c r="L130" s="74">
        <f t="shared" si="116"/>
        <v>-4.4422507403751303E-2</v>
      </c>
      <c r="M130" s="74">
        <f t="shared" si="117"/>
        <v>-2.4271844660194171E-2</v>
      </c>
      <c r="N130" s="74">
        <f t="shared" si="118"/>
        <v>1.1801730920535025E-2</v>
      </c>
      <c r="O130" s="74">
        <f t="shared" si="119"/>
        <v>-3.4692107545533394E-3</v>
      </c>
      <c r="P130" s="74">
        <f t="shared" si="120"/>
        <v>-5.6194125159642498E-2</v>
      </c>
      <c r="Q130" s="74">
        <f t="shared" si="121"/>
        <v>9.8231827111984363E-4</v>
      </c>
      <c r="R130" s="293">
        <f t="shared" si="122"/>
        <v>-3.4309623430962367E-2</v>
      </c>
      <c r="S130" s="57"/>
      <c r="T130" s="59"/>
      <c r="U130" s="59"/>
      <c r="V130" s="59"/>
      <c r="W130" s="59"/>
      <c r="X130" s="59"/>
      <c r="Y130" s="59"/>
      <c r="Z130" s="59"/>
      <c r="AA130" s="59"/>
      <c r="AB130" s="59"/>
      <c r="AC130" s="59"/>
      <c r="AD130" s="59"/>
      <c r="AE130" s="57"/>
      <c r="AF130" s="67"/>
      <c r="AG130" s="23">
        <v>-1.1000000000000001</v>
      </c>
      <c r="AH130" s="146">
        <v>0.1</v>
      </c>
      <c r="AI130" s="136"/>
      <c r="AJ130" s="23">
        <v>-4</v>
      </c>
      <c r="AK130" s="23">
        <v>0.3</v>
      </c>
    </row>
    <row r="131" spans="1:37" x14ac:dyDescent="0.25">
      <c r="A131" s="6" t="s">
        <v>156</v>
      </c>
      <c r="B131" s="81">
        <f t="shared" ref="B131:H131" si="139">SUM(B129:B130,B118,B111)</f>
        <v>6.8000000000001535</v>
      </c>
      <c r="C131" s="81">
        <f t="shared" si="139"/>
        <v>-13.200000000000159</v>
      </c>
      <c r="D131" s="81">
        <f t="shared" si="139"/>
        <v>7.0000000000000142</v>
      </c>
      <c r="E131" s="56">
        <f t="shared" si="139"/>
        <v>5.4999999999998863</v>
      </c>
      <c r="F131" s="56">
        <f t="shared" si="139"/>
        <v>-7.6000000000000085</v>
      </c>
      <c r="G131" s="56">
        <f t="shared" si="139"/>
        <v>-19.700000000000131</v>
      </c>
      <c r="H131" s="81">
        <f t="shared" si="139"/>
        <v>39.499999999999822</v>
      </c>
      <c r="I131" s="81">
        <f>SUM(I129:I130,I118,I111)</f>
        <v>-1.0000000000000142</v>
      </c>
      <c r="J131" s="69"/>
      <c r="K131" s="70">
        <f t="shared" si="115"/>
        <v>8.7179487179488938E-2</v>
      </c>
      <c r="L131" s="70">
        <f t="shared" si="116"/>
        <v>-0.13030602171767205</v>
      </c>
      <c r="M131" s="70">
        <f t="shared" si="117"/>
        <v>6.7961165048543812E-2</v>
      </c>
      <c r="N131" s="70">
        <f t="shared" si="118"/>
        <v>4.3273013375294198E-2</v>
      </c>
      <c r="O131" s="70">
        <f t="shared" si="119"/>
        <v>-6.5915004336513525E-2</v>
      </c>
      <c r="P131" s="70">
        <f t="shared" si="120"/>
        <v>-0.2515964240102192</v>
      </c>
      <c r="Q131" s="70">
        <f t="shared" si="121"/>
        <v>0.38801571709233651</v>
      </c>
      <c r="R131" s="70">
        <f t="shared" si="122"/>
        <v>-8.3682008368202096E-3</v>
      </c>
      <c r="S131" s="69"/>
      <c r="T131" s="58"/>
      <c r="U131" s="58"/>
      <c r="V131" s="58"/>
      <c r="W131" s="20"/>
      <c r="X131" s="20"/>
      <c r="Y131" s="20"/>
      <c r="Z131" s="20"/>
      <c r="AA131" s="20"/>
      <c r="AB131" s="20"/>
      <c r="AC131" s="20"/>
      <c r="AD131" s="20"/>
      <c r="AE131" s="69"/>
      <c r="AF131" s="24"/>
      <c r="AG131" s="24">
        <f>SUM(AG111,AG118,AG129:AG130)</f>
        <v>1.8000000000000163</v>
      </c>
      <c r="AH131" s="157">
        <f t="shared" ref="AH131:AK131" si="140">SUM(AH111,AH118,AH129:AH130)</f>
        <v>13.100000000000014</v>
      </c>
      <c r="AI131" s="138"/>
      <c r="AJ131" s="24">
        <f t="shared" si="140"/>
        <v>-8.8000000000000025</v>
      </c>
      <c r="AK131" s="24">
        <f t="shared" si="140"/>
        <v>3.6999999999999877</v>
      </c>
    </row>
    <row r="132" spans="1:37" x14ac:dyDescent="0.25">
      <c r="A132" s="14" t="s">
        <v>160</v>
      </c>
      <c r="B132" s="66">
        <f>C132+AG132+AH132-(AJ132+AK132)</f>
        <v>0</v>
      </c>
      <c r="C132" s="84">
        <v>0</v>
      </c>
      <c r="D132" s="84">
        <v>0</v>
      </c>
      <c r="E132" s="125">
        <v>0.7</v>
      </c>
      <c r="F132" s="125">
        <v>2.5</v>
      </c>
      <c r="G132" s="125">
        <v>6.2</v>
      </c>
      <c r="H132" s="84">
        <v>0</v>
      </c>
      <c r="I132" s="84">
        <v>0</v>
      </c>
      <c r="J132" s="57"/>
      <c r="K132" s="74">
        <f>B132/$B$111</f>
        <v>0</v>
      </c>
      <c r="L132" s="74">
        <f>C132/$C$111</f>
        <v>0</v>
      </c>
      <c r="M132" s="74">
        <f>D132/$D$111</f>
        <v>0</v>
      </c>
      <c r="N132" s="74">
        <f>E132/$E$111</f>
        <v>5.5074744295830107E-3</v>
      </c>
      <c r="O132" s="74">
        <f>F132/$F$111</f>
        <v>2.1682567215958369E-2</v>
      </c>
      <c r="P132" s="74">
        <f>G132/$G$111</f>
        <v>7.9182630906768969E-2</v>
      </c>
      <c r="Q132" s="74">
        <f>H132/$H$111</f>
        <v>0</v>
      </c>
      <c r="R132" s="293">
        <f t="shared" si="122"/>
        <v>0</v>
      </c>
      <c r="S132" s="57"/>
      <c r="T132" s="59"/>
      <c r="U132" s="59"/>
      <c r="V132" s="59"/>
      <c r="W132" s="59"/>
      <c r="X132" s="59"/>
      <c r="Y132" s="59"/>
      <c r="Z132" s="59"/>
      <c r="AA132" s="59"/>
      <c r="AB132" s="59"/>
      <c r="AC132" s="59"/>
      <c r="AD132" s="59"/>
      <c r="AE132" s="57"/>
      <c r="AF132" s="67"/>
      <c r="AG132" s="71">
        <v>0</v>
      </c>
      <c r="AH132" s="162">
        <v>0</v>
      </c>
      <c r="AI132" s="71"/>
      <c r="AJ132" s="71">
        <v>0</v>
      </c>
      <c r="AK132" s="71">
        <v>0</v>
      </c>
    </row>
    <row r="133" spans="1:37" x14ac:dyDescent="0.25">
      <c r="A133" s="85" t="s">
        <v>164</v>
      </c>
      <c r="B133" s="56">
        <f>B131+B132</f>
        <v>6.8000000000001535</v>
      </c>
      <c r="C133" s="56">
        <f>C131+C132</f>
        <v>-13.200000000000159</v>
      </c>
      <c r="D133" s="56">
        <f t="shared" ref="D133" si="141">D131+D132</f>
        <v>7.0000000000000142</v>
      </c>
      <c r="E133" s="56">
        <f>E131+E132</f>
        <v>6.1999999999998865</v>
      </c>
      <c r="F133" s="56">
        <f>F131+F132</f>
        <v>-5.1000000000000085</v>
      </c>
      <c r="G133" s="56">
        <f>G131+G132</f>
        <v>-13.500000000000131</v>
      </c>
      <c r="H133" s="56">
        <f>H131+H132</f>
        <v>39.499999999999822</v>
      </c>
      <c r="I133" s="56">
        <f>I131+I132</f>
        <v>-1.0000000000000142</v>
      </c>
      <c r="J133" s="57"/>
      <c r="K133" s="82"/>
      <c r="L133" s="82"/>
      <c r="M133" s="82"/>
      <c r="N133" s="82"/>
      <c r="O133" s="82"/>
      <c r="P133" s="82"/>
      <c r="Q133" s="82"/>
      <c r="R133" s="70"/>
      <c r="S133" s="57"/>
      <c r="T133" s="58"/>
      <c r="U133" s="58"/>
      <c r="V133" s="58"/>
      <c r="W133" s="80"/>
      <c r="X133" s="80"/>
      <c r="Y133" s="80"/>
      <c r="Z133" s="80"/>
      <c r="AA133" s="80"/>
      <c r="AB133" s="80"/>
      <c r="AC133" s="80"/>
      <c r="AD133" s="80"/>
      <c r="AE133" s="57"/>
      <c r="AF133" s="61"/>
      <c r="AG133" s="83">
        <f>SUM(AG131:AG132)</f>
        <v>1.8000000000000163</v>
      </c>
      <c r="AH133" s="163">
        <f t="shared" ref="AH133:AK133" si="142">SUM(AH131:AH132)</f>
        <v>13.100000000000014</v>
      </c>
      <c r="AI133" s="83"/>
      <c r="AJ133" s="83">
        <f t="shared" si="142"/>
        <v>-8.8000000000000025</v>
      </c>
      <c r="AK133" s="83">
        <f t="shared" si="142"/>
        <v>3.6999999999999877</v>
      </c>
    </row>
    <row r="134" spans="1:37" x14ac:dyDescent="0.25">
      <c r="A134" s="14" t="s">
        <v>154</v>
      </c>
      <c r="B134" s="66">
        <f>C135</f>
        <v>32.299999999999415</v>
      </c>
      <c r="C134" s="126">
        <f>D135</f>
        <v>45.499999999999574</v>
      </c>
      <c r="D134" s="126">
        <f t="shared" ref="D134" si="143">E135</f>
        <v>38.499999999999559</v>
      </c>
      <c r="E134" s="66">
        <f>F135</f>
        <v>32.29999999999967</v>
      </c>
      <c r="F134" s="67">
        <f>G135</f>
        <v>37.399999999999679</v>
      </c>
      <c r="G134" s="131">
        <f>H135-SUM(E132:G132)</f>
        <v>50.899999999999814</v>
      </c>
      <c r="H134" s="126">
        <f>I135</f>
        <v>20.799999999999986</v>
      </c>
      <c r="I134" s="336">
        <v>21.8</v>
      </c>
      <c r="J134" s="57"/>
      <c r="K134" s="74">
        <f t="shared" si="115"/>
        <v>0.41410256410255564</v>
      </c>
      <c r="L134" s="74">
        <f t="shared" si="116"/>
        <v>0.4491609081934812</v>
      </c>
      <c r="M134" s="74">
        <f t="shared" si="117"/>
        <v>0.37378640776698596</v>
      </c>
      <c r="N134" s="74">
        <f t="shared" si="118"/>
        <v>0.25413060582218494</v>
      </c>
      <c r="O134" s="74">
        <f t="shared" si="119"/>
        <v>0.32437120555073445</v>
      </c>
      <c r="P134" s="74">
        <f t="shared" si="120"/>
        <v>0.65006385696040736</v>
      </c>
      <c r="Q134" s="74">
        <f t="shared" si="121"/>
        <v>0.20432220039292734</v>
      </c>
      <c r="R134" s="293">
        <f t="shared" si="122"/>
        <v>0.18242677824267797</v>
      </c>
      <c r="S134" s="57"/>
      <c r="T134" s="59">
        <f t="shared" si="106"/>
        <v>0.13047028326615417</v>
      </c>
      <c r="U134" s="18">
        <f>_xlfn.RRI(5.5,H134,B134)</f>
        <v>8.3309569459422139E-2</v>
      </c>
      <c r="V134" s="18">
        <f>_xlfn.RRI(5,H134,C134)</f>
        <v>0.16947141871400806</v>
      </c>
      <c r="W134" s="18">
        <f t="shared" si="107"/>
        <v>0.18819742852565824</v>
      </c>
      <c r="X134" s="18">
        <f t="shared" ref="X134:AD135" si="144">(B134-C134)/C134</f>
        <v>-0.29010989010989635</v>
      </c>
      <c r="Y134" s="18">
        <f t="shared" si="144"/>
        <v>0.18181818181818427</v>
      </c>
      <c r="Z134" s="18">
        <f t="shared" si="144"/>
        <v>0.19195046439628335</v>
      </c>
      <c r="AA134" s="18">
        <f t="shared" si="144"/>
        <v>-0.13636363636363777</v>
      </c>
      <c r="AB134" s="18">
        <f t="shared" si="144"/>
        <v>-0.26522593320236121</v>
      </c>
      <c r="AC134" s="18">
        <f t="shared" si="144"/>
        <v>1.4471153846153773</v>
      </c>
      <c r="AD134" s="18">
        <f t="shared" si="144"/>
        <v>-4.5871559633028171E-2</v>
      </c>
      <c r="AE134" s="57"/>
      <c r="AF134" s="67"/>
      <c r="AG134" s="127">
        <f>AH135</f>
        <v>46.400000000000013</v>
      </c>
      <c r="AH134" s="164">
        <v>33.299999999999997</v>
      </c>
      <c r="AI134" s="127"/>
      <c r="AJ134" s="127">
        <f>AK135</f>
        <v>49.199999999999989</v>
      </c>
      <c r="AK134" s="127">
        <v>45.5</v>
      </c>
    </row>
    <row r="135" spans="1:37" ht="15.75" thickBot="1" x14ac:dyDescent="0.3">
      <c r="A135" s="6" t="s">
        <v>155</v>
      </c>
      <c r="B135" s="101">
        <f t="shared" ref="B135:G135" si="145">SUM(B133:B134)</f>
        <v>39.099999999999568</v>
      </c>
      <c r="C135" s="101">
        <f t="shared" si="145"/>
        <v>32.299999999999415</v>
      </c>
      <c r="D135" s="101">
        <f t="shared" si="145"/>
        <v>45.499999999999574</v>
      </c>
      <c r="E135" s="101">
        <f t="shared" si="145"/>
        <v>38.499999999999559</v>
      </c>
      <c r="F135" s="101">
        <f t="shared" si="145"/>
        <v>32.29999999999967</v>
      </c>
      <c r="G135" s="101">
        <f t="shared" si="145"/>
        <v>37.399999999999679</v>
      </c>
      <c r="H135" s="101">
        <f t="shared" ref="H135:I135" si="146">SUM(H133:H134)</f>
        <v>60.299999999999812</v>
      </c>
      <c r="I135" s="350">
        <f t="shared" si="146"/>
        <v>20.799999999999986</v>
      </c>
      <c r="J135" s="69"/>
      <c r="K135" s="75">
        <f t="shared" si="115"/>
        <v>0.50128205128204451</v>
      </c>
      <c r="L135" s="75">
        <f t="shared" si="116"/>
        <v>0.31885488647580912</v>
      </c>
      <c r="M135" s="75">
        <f t="shared" si="117"/>
        <v>0.44174757281552979</v>
      </c>
      <c r="N135" s="75">
        <f t="shared" si="118"/>
        <v>0.30291109362706214</v>
      </c>
      <c r="O135" s="75">
        <f t="shared" si="119"/>
        <v>0.28013876843017926</v>
      </c>
      <c r="P135" s="75">
        <f t="shared" si="120"/>
        <v>0.47765006385695713</v>
      </c>
      <c r="Q135" s="75">
        <f t="shared" si="121"/>
        <v>0.59233791748526388</v>
      </c>
      <c r="R135" s="75">
        <f t="shared" si="122"/>
        <v>0.17405857740585778</v>
      </c>
      <c r="S135" s="69"/>
      <c r="T135" s="351">
        <f t="shared" si="106"/>
        <v>7.6109663094262814E-2</v>
      </c>
      <c r="U135" s="99">
        <f>_xlfn.RRI(5.5,H135,B135)</f>
        <v>-7.5743259728057399E-2</v>
      </c>
      <c r="V135" s="19">
        <f>_xlfn.RRI(5,H135,C135)</f>
        <v>-0.11737333850566756</v>
      </c>
      <c r="W135" s="19">
        <f t="shared" si="107"/>
        <v>-3.6991065333101529E-2</v>
      </c>
      <c r="X135" s="19">
        <f t="shared" si="144"/>
        <v>0.21052631578948225</v>
      </c>
      <c r="Y135" s="19">
        <f t="shared" si="144"/>
        <v>-0.29010989010989635</v>
      </c>
      <c r="Z135" s="19">
        <f t="shared" si="144"/>
        <v>0.18181818181818427</v>
      </c>
      <c r="AA135" s="19">
        <f t="shared" si="144"/>
        <v>0.19195046439628335</v>
      </c>
      <c r="AB135" s="19">
        <f t="shared" si="144"/>
        <v>-0.13636363636363777</v>
      </c>
      <c r="AC135" s="100">
        <f t="shared" si="144"/>
        <v>-0.37976782752902494</v>
      </c>
      <c r="AD135" s="100">
        <f t="shared" si="144"/>
        <v>1.8990384615384546</v>
      </c>
      <c r="AE135" s="69"/>
      <c r="AF135" s="26"/>
      <c r="AG135" s="122">
        <f>AG131+AG134</f>
        <v>48.200000000000031</v>
      </c>
      <c r="AH135" s="165">
        <f>SUM(AH133:AH134)</f>
        <v>46.400000000000013</v>
      </c>
      <c r="AI135" s="141"/>
      <c r="AJ135" s="122">
        <f>AJ131+AJ134</f>
        <v>40.399999999999984</v>
      </c>
      <c r="AK135" s="122">
        <f>AK131+AK134</f>
        <v>49.199999999999989</v>
      </c>
    </row>
    <row r="136" spans="1:37" ht="15.75" thickTop="1" x14ac:dyDescent="0.25">
      <c r="B136" s="61"/>
      <c r="C136" s="57"/>
      <c r="D136" s="57"/>
      <c r="E136" s="57"/>
      <c r="F136" s="57"/>
      <c r="G136" s="57"/>
      <c r="H136" s="57"/>
      <c r="J136" s="79"/>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61"/>
      <c r="AH136" s="61"/>
      <c r="AI136" s="61"/>
      <c r="AJ136" s="61"/>
      <c r="AK136" s="61"/>
    </row>
    <row r="137" spans="1:37" x14ac:dyDescent="0.25">
      <c r="A137" s="14" t="s">
        <v>157</v>
      </c>
      <c r="B137" s="61"/>
      <c r="C137" s="86">
        <v>-41.3</v>
      </c>
      <c r="D137" s="86">
        <v>-38.1</v>
      </c>
      <c r="E137" s="86">
        <v>-50.1</v>
      </c>
      <c r="F137" s="86">
        <v>-60.9</v>
      </c>
      <c r="G137" s="86">
        <v>-49.8</v>
      </c>
      <c r="H137" s="86">
        <v>-37.6</v>
      </c>
      <c r="I137" s="336">
        <v>-42.7</v>
      </c>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61"/>
      <c r="AH137" s="61"/>
      <c r="AI137" s="61"/>
      <c r="AJ137" s="61"/>
      <c r="AK137" s="61"/>
    </row>
    <row r="138" spans="1:37" x14ac:dyDescent="0.25">
      <c r="A138" s="14" t="s">
        <v>101</v>
      </c>
      <c r="B138" s="61"/>
      <c r="C138" s="86">
        <v>-20.7</v>
      </c>
      <c r="D138" s="86">
        <v>-23.4</v>
      </c>
      <c r="E138" s="86">
        <v>-13.4</v>
      </c>
      <c r="F138" s="86">
        <v>-16.8</v>
      </c>
      <c r="G138" s="86">
        <v>-25.9</v>
      </c>
      <c r="H138" s="86">
        <v>-16.600000000000001</v>
      </c>
      <c r="I138" s="336">
        <v>-11.6</v>
      </c>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61"/>
      <c r="AH138" s="61"/>
      <c r="AI138" s="61"/>
      <c r="AJ138" s="61"/>
      <c r="AK138" s="61"/>
    </row>
    <row r="139" spans="1:37" x14ac:dyDescent="0.25">
      <c r="A139" s="14" t="s">
        <v>158</v>
      </c>
      <c r="B139" s="61">
        <f>C139+AG139+AH139-(AJ139+AK139)</f>
        <v>5</v>
      </c>
      <c r="C139" s="55">
        <v>4.2</v>
      </c>
      <c r="D139" s="55">
        <v>0</v>
      </c>
      <c r="E139" s="55">
        <v>0</v>
      </c>
      <c r="F139" s="55">
        <v>0</v>
      </c>
      <c r="G139" s="55">
        <v>0</v>
      </c>
      <c r="H139" s="55">
        <v>0</v>
      </c>
      <c r="I139" s="55">
        <v>0</v>
      </c>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116">
        <v>1.4</v>
      </c>
      <c r="AH139" s="116">
        <v>1.5</v>
      </c>
      <c r="AI139" s="123"/>
      <c r="AJ139" s="116">
        <v>1.1000000000000001</v>
      </c>
      <c r="AK139" s="116">
        <v>1</v>
      </c>
    </row>
    <row r="140" spans="1:37" x14ac:dyDescent="0.25">
      <c r="B140" s="57"/>
      <c r="C140" s="57"/>
      <c r="D140" s="57"/>
      <c r="E140" s="57"/>
      <c r="F140" s="57"/>
      <c r="G140" s="57"/>
      <c r="H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63"/>
      <c r="AH140" s="63"/>
      <c r="AI140" s="63"/>
      <c r="AJ140" s="63"/>
      <c r="AK140" s="63"/>
    </row>
    <row r="141" spans="1:37" s="1" customFormat="1" x14ac:dyDescent="0.25">
      <c r="A141" s="1" t="s">
        <v>111</v>
      </c>
      <c r="B141" s="1" t="s">
        <v>264</v>
      </c>
      <c r="I141" s="331"/>
      <c r="K141" s="1" t="s">
        <v>264</v>
      </c>
      <c r="U141" s="1" t="s">
        <v>264</v>
      </c>
      <c r="AF141" s="1" t="s">
        <v>0</v>
      </c>
    </row>
    <row r="142" spans="1:37" s="1" customFormat="1" x14ac:dyDescent="0.25">
      <c r="A142" s="1" t="s">
        <v>107</v>
      </c>
      <c r="I142" s="331"/>
      <c r="K142" s="1" t="s">
        <v>265</v>
      </c>
      <c r="U142" s="1" t="s">
        <v>74</v>
      </c>
      <c r="AF142" s="1" t="s">
        <v>73</v>
      </c>
    </row>
    <row r="143" spans="1:37" s="1" customFormat="1" x14ac:dyDescent="0.25">
      <c r="A143" s="1" t="s">
        <v>3</v>
      </c>
      <c r="H143" s="2"/>
      <c r="I143" s="332"/>
      <c r="Q143" s="2"/>
      <c r="R143" s="2"/>
      <c r="U143" s="1" t="s">
        <v>263</v>
      </c>
      <c r="V143" s="1" t="s">
        <v>4</v>
      </c>
      <c r="W143" s="1" t="s">
        <v>5</v>
      </c>
      <c r="X143" s="22" t="s">
        <v>75</v>
      </c>
      <c r="Y143" s="1" t="s">
        <v>6</v>
      </c>
      <c r="Z143" s="1" t="s">
        <v>7</v>
      </c>
      <c r="AA143" s="1" t="s">
        <v>8</v>
      </c>
      <c r="AB143" s="1" t="s">
        <v>9</v>
      </c>
      <c r="AC143" s="1" t="s">
        <v>10</v>
      </c>
      <c r="AF143" s="109" t="s">
        <v>262</v>
      </c>
      <c r="AG143" s="109" t="s">
        <v>260</v>
      </c>
      <c r="AH143" s="111" t="s">
        <v>261</v>
      </c>
      <c r="AI143" s="109" t="s">
        <v>262</v>
      </c>
      <c r="AJ143" s="109" t="s">
        <v>260</v>
      </c>
      <c r="AK143" s="109" t="s">
        <v>261</v>
      </c>
    </row>
    <row r="144" spans="1:37" s="1" customFormat="1" ht="15.75" thickBot="1" x14ac:dyDescent="0.3">
      <c r="A144" s="2" t="s">
        <v>11</v>
      </c>
      <c r="B144" s="17" t="s">
        <v>72</v>
      </c>
      <c r="C144" s="3">
        <v>2022</v>
      </c>
      <c r="D144" s="3">
        <v>2021</v>
      </c>
      <c r="E144" s="3">
        <v>2020</v>
      </c>
      <c r="F144" s="3">
        <v>2019</v>
      </c>
      <c r="G144" s="3">
        <v>2018</v>
      </c>
      <c r="H144" s="3">
        <v>2017</v>
      </c>
      <c r="I144" s="3">
        <v>2016</v>
      </c>
      <c r="K144" s="17" t="s">
        <v>72</v>
      </c>
      <c r="L144" s="3">
        <v>2022</v>
      </c>
      <c r="M144" s="3">
        <v>2021</v>
      </c>
      <c r="N144" s="3">
        <v>2020</v>
      </c>
      <c r="O144" s="3">
        <v>2019</v>
      </c>
      <c r="P144" s="3">
        <v>2018</v>
      </c>
      <c r="Q144" s="3">
        <v>2017</v>
      </c>
      <c r="R144" s="7"/>
      <c r="U144" s="4" t="s">
        <v>12</v>
      </c>
      <c r="V144" s="4" t="s">
        <v>12</v>
      </c>
      <c r="W144" s="4" t="s">
        <v>13</v>
      </c>
      <c r="X144" s="21" t="s">
        <v>72</v>
      </c>
      <c r="Y144" s="3">
        <v>2022</v>
      </c>
      <c r="Z144" s="3">
        <v>2021</v>
      </c>
      <c r="AA144" s="3">
        <v>2020</v>
      </c>
      <c r="AB144" s="3">
        <v>2019</v>
      </c>
      <c r="AC144" s="3">
        <v>2018</v>
      </c>
      <c r="AD144" s="7"/>
      <c r="AE144" s="7"/>
      <c r="AF144" s="110">
        <v>2023</v>
      </c>
      <c r="AG144" s="110">
        <v>2023</v>
      </c>
      <c r="AH144" s="112">
        <v>2023</v>
      </c>
      <c r="AI144" s="110">
        <v>2022</v>
      </c>
      <c r="AJ144" s="110">
        <v>2022</v>
      </c>
      <c r="AK144" s="110">
        <v>2022</v>
      </c>
    </row>
    <row r="145" spans="1:37" x14ac:dyDescent="0.25">
      <c r="A145" s="5" t="s">
        <v>15</v>
      </c>
      <c r="B145" s="16">
        <f>C145+AG145-AJ145</f>
        <v>-3.6000000000000005</v>
      </c>
      <c r="C145" s="9">
        <v>-3.5</v>
      </c>
      <c r="D145" s="9">
        <v>-3.3</v>
      </c>
      <c r="E145" s="9">
        <v>-7.9</v>
      </c>
      <c r="F145" s="9">
        <v>-7.6</v>
      </c>
      <c r="G145" s="9">
        <v>-2.5</v>
      </c>
      <c r="H145" s="9">
        <v>-2.5</v>
      </c>
      <c r="I145" s="61">
        <v>-3.8</v>
      </c>
      <c r="J145" s="57"/>
      <c r="K145" s="58">
        <f>B145/$B$29</f>
        <v>-1.8861993083935874E-3</v>
      </c>
      <c r="L145" s="58">
        <f>C145/$C$29</f>
        <v>-2.0451092672665655E-3</v>
      </c>
      <c r="M145" s="58">
        <f>D145/$D$29</f>
        <v>-1.9856790420602921E-3</v>
      </c>
      <c r="N145" s="58">
        <f>E145/$E$29</f>
        <v>-4.9418240960840739E-3</v>
      </c>
      <c r="O145" s="58">
        <f>F145/$F$29</f>
        <v>-4.8574715582257438E-3</v>
      </c>
      <c r="P145" s="58">
        <f>G145/$G$29</f>
        <v>-1.6893033313061692E-3</v>
      </c>
      <c r="Q145" s="58">
        <f>H145/$H$29</f>
        <v>-2.082986168971838E-3</v>
      </c>
      <c r="R145" s="58"/>
      <c r="S145" s="57"/>
      <c r="T145" s="57"/>
      <c r="U145" s="58">
        <f>_xlfn.RRI(5.5,H145,B145)</f>
        <v>6.8545895355792696E-2</v>
      </c>
      <c r="V145" s="58">
        <f>_xlfn.RRI(5,H145,C145)</f>
        <v>6.9610375725068785E-2</v>
      </c>
      <c r="W145" s="58">
        <f>AVERAGE(X145:AC145)</f>
        <v>-0.26439544872922627</v>
      </c>
      <c r="X145" s="58">
        <f t="shared" ref="X145:AC147" si="147">(C145-B145)/C145</f>
        <v>-2.8571428571428723E-2</v>
      </c>
      <c r="Y145" s="58">
        <f t="shared" si="147"/>
        <v>-6.0606060606060663E-2</v>
      </c>
      <c r="Z145" s="58">
        <f t="shared" si="147"/>
        <v>0.58227848101265822</v>
      </c>
      <c r="AA145" s="58">
        <f t="shared" si="147"/>
        <v>-3.9473684210526411E-2</v>
      </c>
      <c r="AB145" s="58">
        <f t="shared" si="147"/>
        <v>-2.04</v>
      </c>
      <c r="AC145" s="58">
        <f t="shared" si="147"/>
        <v>0</v>
      </c>
      <c r="AD145" s="58"/>
      <c r="AE145" s="57"/>
      <c r="AF145" s="132"/>
      <c r="AG145" s="9">
        <v>-3.4</v>
      </c>
      <c r="AH145" s="167">
        <v>-3.7</v>
      </c>
      <c r="AI145" s="53"/>
      <c r="AJ145" s="9">
        <v>-3.3</v>
      </c>
      <c r="AK145" s="9">
        <v>-3.5</v>
      </c>
    </row>
    <row r="146" spans="1:37" x14ac:dyDescent="0.25">
      <c r="A146" s="5" t="s">
        <v>16</v>
      </c>
      <c r="B146" s="16">
        <f>C146+AG146-AJ146</f>
        <v>248.09999999999997</v>
      </c>
      <c r="C146" s="10">
        <v>219.2</v>
      </c>
      <c r="D146" s="10">
        <v>186.1</v>
      </c>
      <c r="E146" s="10">
        <v>183</v>
      </c>
      <c r="F146" s="10">
        <v>171.5</v>
      </c>
      <c r="G146" s="10">
        <v>192.2</v>
      </c>
      <c r="H146" s="10">
        <v>161.69999999999999</v>
      </c>
      <c r="I146" s="337">
        <v>140.6</v>
      </c>
      <c r="J146" s="57"/>
      <c r="K146" s="59">
        <f t="shared" ref="K146:K147" si="148">B146/$B$29</f>
        <v>0.12999056900345804</v>
      </c>
      <c r="L146" s="59">
        <f t="shared" ref="L146:L147" si="149">C146/$C$29</f>
        <v>0.12808227182423745</v>
      </c>
      <c r="M146" s="59">
        <f t="shared" ref="M146:M147" si="150">D146/$D$29</f>
        <v>0.11198026355376375</v>
      </c>
      <c r="N146" s="59">
        <f t="shared" ref="N146:N147" si="151">E146/$E$29</f>
        <v>0.11447516577004879</v>
      </c>
      <c r="O146" s="59">
        <f t="shared" ref="O146:O147" si="152">F146/$F$29</f>
        <v>0.10961268055733094</v>
      </c>
      <c r="P146" s="59">
        <f t="shared" ref="P146:P147" si="153">G146/$G$29</f>
        <v>0.12987364011081828</v>
      </c>
      <c r="Q146" s="59">
        <f t="shared" ref="Q146:Q147" si="154">H146/$H$29</f>
        <v>0.13472754540909848</v>
      </c>
      <c r="R146" s="80"/>
      <c r="S146" s="57"/>
      <c r="T146" s="57"/>
      <c r="U146" s="58">
        <f>_xlfn.RRI(5.5,H146,B146)</f>
        <v>8.094362466686289E-2</v>
      </c>
      <c r="V146" s="58">
        <f>_xlfn.RRI(5,H146,C146)</f>
        <v>6.2737745969493108E-2</v>
      </c>
      <c r="W146" s="58">
        <f t="shared" ref="W146:W177" si="155">AVERAGE(X146:AC146)</f>
        <v>-7.910338426320361E-2</v>
      </c>
      <c r="X146" s="58">
        <f t="shared" si="147"/>
        <v>-0.13184306569343057</v>
      </c>
      <c r="Y146" s="58">
        <f t="shared" si="147"/>
        <v>-0.17786136485760343</v>
      </c>
      <c r="Z146" s="58">
        <f t="shared" si="147"/>
        <v>-1.6939890710382481E-2</v>
      </c>
      <c r="AA146" s="58">
        <f t="shared" si="147"/>
        <v>-6.7055393586005832E-2</v>
      </c>
      <c r="AB146" s="58">
        <f t="shared" si="147"/>
        <v>0.10770031217481785</v>
      </c>
      <c r="AC146" s="58">
        <f t="shared" si="147"/>
        <v>-0.1886209029066172</v>
      </c>
      <c r="AD146" s="58"/>
      <c r="AE146" s="57"/>
      <c r="AF146" s="133"/>
      <c r="AG146" s="10">
        <v>261.7</v>
      </c>
      <c r="AH146" s="149">
        <v>245.3</v>
      </c>
      <c r="AI146" s="133"/>
      <c r="AJ146" s="10">
        <v>232.8</v>
      </c>
      <c r="AK146" s="10">
        <v>227</v>
      </c>
    </row>
    <row r="147" spans="1:37" ht="15.75" thickBot="1" x14ac:dyDescent="0.3">
      <c r="A147" s="6" t="s">
        <v>76</v>
      </c>
      <c r="B147" s="102">
        <f>SUM(B145:B146)</f>
        <v>244.49999999999997</v>
      </c>
      <c r="C147" s="102">
        <f>SUM(C145:C146)</f>
        <v>215.7</v>
      </c>
      <c r="D147" s="103">
        <f>SUM(D145:D146)</f>
        <v>182.79999999999998</v>
      </c>
      <c r="E147" s="103">
        <f t="shared" ref="E147:H147" si="156">SUM(E145:E146)</f>
        <v>175.1</v>
      </c>
      <c r="F147" s="103">
        <f t="shared" si="156"/>
        <v>163.9</v>
      </c>
      <c r="G147" s="103">
        <f t="shared" si="156"/>
        <v>189.7</v>
      </c>
      <c r="H147" s="103">
        <f t="shared" si="156"/>
        <v>159.19999999999999</v>
      </c>
      <c r="I147" s="103">
        <f>SUM(I145:I146)</f>
        <v>136.79999999999998</v>
      </c>
      <c r="J147" s="57"/>
      <c r="K147" s="19">
        <f t="shared" si="148"/>
        <v>0.12810436969506445</v>
      </c>
      <c r="L147" s="19">
        <f t="shared" si="149"/>
        <v>0.12603716255697089</v>
      </c>
      <c r="M147" s="19">
        <f t="shared" si="150"/>
        <v>0.10999458451170345</v>
      </c>
      <c r="N147" s="19">
        <f t="shared" si="151"/>
        <v>0.10953334167396472</v>
      </c>
      <c r="O147" s="19">
        <f t="shared" si="152"/>
        <v>0.1047552089991052</v>
      </c>
      <c r="P147" s="19">
        <f t="shared" si="153"/>
        <v>0.1281843367795121</v>
      </c>
      <c r="Q147" s="19">
        <f t="shared" si="154"/>
        <v>0.13264455924012664</v>
      </c>
      <c r="R147" s="32"/>
      <c r="S147" s="57"/>
      <c r="T147" s="57"/>
      <c r="U147" s="58">
        <f>_xlfn.RRI(5.5,H147,B147)</f>
        <v>8.1133280360158988E-2</v>
      </c>
      <c r="V147" s="58">
        <f>_xlfn.RRI(5,H147,C147)</f>
        <v>6.2628394073854121E-2</v>
      </c>
      <c r="W147" s="58">
        <f t="shared" si="155"/>
        <v>-8.0230802223865083E-2</v>
      </c>
      <c r="X147" s="58">
        <f t="shared" si="147"/>
        <v>-0.13351877607788587</v>
      </c>
      <c r="Y147" s="58">
        <f t="shared" si="147"/>
        <v>-0.17997811816192566</v>
      </c>
      <c r="Z147" s="58">
        <f t="shared" si="147"/>
        <v>-4.3974871501998795E-2</v>
      </c>
      <c r="AA147" s="58">
        <f t="shared" si="147"/>
        <v>-6.8334350213544767E-2</v>
      </c>
      <c r="AB147" s="58">
        <f t="shared" si="147"/>
        <v>0.13600421718502892</v>
      </c>
      <c r="AC147" s="58">
        <f t="shared" si="147"/>
        <v>-0.19158291457286433</v>
      </c>
      <c r="AD147" s="58"/>
      <c r="AE147" s="57"/>
      <c r="AF147" s="132"/>
      <c r="AG147" s="132">
        <f>SUM(AG145:AG146)</f>
        <v>258.3</v>
      </c>
      <c r="AH147" s="168">
        <f t="shared" ref="AH147:AK147" si="157">SUM(AH145:AH146)</f>
        <v>241.60000000000002</v>
      </c>
      <c r="AI147" s="132"/>
      <c r="AJ147" s="132">
        <f t="shared" si="157"/>
        <v>229.5</v>
      </c>
      <c r="AK147" s="132">
        <f t="shared" si="157"/>
        <v>223.5</v>
      </c>
    </row>
    <row r="148" spans="1:37" ht="15.75" thickTop="1" x14ac:dyDescent="0.25">
      <c r="B148" s="50"/>
      <c r="C148" s="61"/>
      <c r="D148" s="61"/>
      <c r="E148" s="61"/>
      <c r="F148" s="61"/>
      <c r="G148" s="61"/>
      <c r="H148" s="61"/>
      <c r="J148" s="57"/>
      <c r="K148" s="80"/>
      <c r="L148" s="80"/>
      <c r="M148" s="80"/>
      <c r="N148" s="80"/>
      <c r="O148" s="80"/>
      <c r="P148" s="80"/>
      <c r="Q148" s="80"/>
      <c r="R148" s="80"/>
      <c r="S148" s="57"/>
      <c r="T148" s="57"/>
      <c r="U148" s="58"/>
      <c r="V148" s="58"/>
      <c r="W148" s="58"/>
      <c r="X148" s="58"/>
      <c r="Y148" s="58"/>
      <c r="Z148" s="58"/>
      <c r="AA148" s="58"/>
      <c r="AB148" s="58"/>
      <c r="AC148" s="58"/>
      <c r="AD148" s="58"/>
      <c r="AE148" s="57"/>
      <c r="AF148" s="132"/>
      <c r="AG148" s="132"/>
      <c r="AH148" s="168"/>
      <c r="AI148" s="132"/>
      <c r="AJ148" s="132"/>
      <c r="AK148" s="132"/>
    </row>
    <row r="149" spans="1:37" x14ac:dyDescent="0.25">
      <c r="A149" s="5" t="s">
        <v>18</v>
      </c>
      <c r="B149" s="16">
        <f>C149+AG149-AK149</f>
        <v>384.4</v>
      </c>
      <c r="C149" s="9">
        <v>318.5</v>
      </c>
      <c r="D149" s="9">
        <v>266.8</v>
      </c>
      <c r="E149" s="9">
        <v>233.7</v>
      </c>
      <c r="F149" s="9">
        <v>237</v>
      </c>
      <c r="G149" s="9">
        <v>199.5</v>
      </c>
      <c r="H149" s="9">
        <v>173.6</v>
      </c>
      <c r="I149" s="337">
        <v>157.69999999999999</v>
      </c>
      <c r="J149" s="57"/>
      <c r="K149" s="80">
        <f t="shared" ref="K149:K169" si="158">B149/$B$29</f>
        <v>0.20140417059624857</v>
      </c>
      <c r="L149" s="80">
        <f t="shared" ref="L149:L169" si="159">C149/$C$29</f>
        <v>0.18610494332125743</v>
      </c>
      <c r="M149" s="80">
        <f t="shared" ref="M149:M169" si="160">D149/$D$29</f>
        <v>0.16053914194596547</v>
      </c>
      <c r="N149" s="80">
        <f t="shared" ref="N149:N169" si="161">E149/$E$29</f>
        <v>0.14619041661453772</v>
      </c>
      <c r="O149" s="80">
        <f t="shared" ref="O149:O169" si="162">F149/$F$29</f>
        <v>0.1514764156973028</v>
      </c>
      <c r="P149" s="80">
        <f t="shared" ref="P149:P169" si="163">G149/$G$29</f>
        <v>0.13480640583823231</v>
      </c>
      <c r="Q149" s="80">
        <f t="shared" ref="Q149:Q169" si="164">H149/$H$29</f>
        <v>0.14464255957340441</v>
      </c>
      <c r="R149" s="80"/>
      <c r="S149" s="57"/>
      <c r="T149" s="57"/>
      <c r="U149" s="58">
        <f>_xlfn.RRI(5.5,H149,B149)</f>
        <v>0.1554994844038815</v>
      </c>
      <c r="V149" s="58">
        <f>_xlfn.RRI(5,H149,C149)</f>
        <v>0.12904679733078961</v>
      </c>
      <c r="W149" s="58">
        <f t="shared" si="155"/>
        <v>-0.14425991434786201</v>
      </c>
      <c r="X149" s="58">
        <f t="shared" ref="X149:AC153" si="165">(C149-B149)/C149</f>
        <v>-0.20690737833594969</v>
      </c>
      <c r="Y149" s="58">
        <f t="shared" si="165"/>
        <v>-0.19377811094452768</v>
      </c>
      <c r="Z149" s="58">
        <f t="shared" si="165"/>
        <v>-0.14163457424047934</v>
      </c>
      <c r="AA149" s="58">
        <f t="shared" si="165"/>
        <v>1.3924050632911441E-2</v>
      </c>
      <c r="AB149" s="58">
        <f t="shared" si="165"/>
        <v>-0.18796992481203006</v>
      </c>
      <c r="AC149" s="58">
        <f t="shared" si="165"/>
        <v>-0.14919354838709681</v>
      </c>
      <c r="AD149" s="58"/>
      <c r="AE149" s="57"/>
      <c r="AF149" s="132"/>
      <c r="AG149" s="9">
        <v>341.4</v>
      </c>
      <c r="AH149" s="148">
        <v>345</v>
      </c>
      <c r="AI149" s="132"/>
      <c r="AJ149" s="9">
        <v>279.5</v>
      </c>
      <c r="AK149" s="9">
        <v>275.5</v>
      </c>
    </row>
    <row r="150" spans="1:37" x14ac:dyDescent="0.25">
      <c r="A150" s="5" t="s">
        <v>19</v>
      </c>
      <c r="B150" s="16">
        <f>C150+AG150-AK150</f>
        <v>9.1999999999999975</v>
      </c>
      <c r="C150" s="9">
        <v>10.199999999999999</v>
      </c>
      <c r="D150" s="9">
        <v>12.6</v>
      </c>
      <c r="E150" s="9">
        <v>12.4</v>
      </c>
      <c r="F150" s="9">
        <v>12</v>
      </c>
      <c r="G150" s="9">
        <v>16</v>
      </c>
      <c r="H150" s="9">
        <v>11.2</v>
      </c>
      <c r="I150" s="337">
        <v>14.2</v>
      </c>
      <c r="J150" s="57"/>
      <c r="K150" s="80">
        <f t="shared" si="158"/>
        <v>4.8202871214502773E-3</v>
      </c>
      <c r="L150" s="80">
        <f t="shared" si="159"/>
        <v>5.9600327217482754E-3</v>
      </c>
      <c r="M150" s="80">
        <f t="shared" si="160"/>
        <v>7.5816836151392977E-3</v>
      </c>
      <c r="N150" s="80">
        <f t="shared" si="161"/>
        <v>7.756787188790192E-3</v>
      </c>
      <c r="O150" s="80">
        <f t="shared" si="162"/>
        <v>7.6696919340406488E-3</v>
      </c>
      <c r="P150" s="80">
        <f t="shared" si="163"/>
        <v>1.0811541320359483E-2</v>
      </c>
      <c r="Q150" s="80">
        <f t="shared" si="164"/>
        <v>9.331778036993834E-3</v>
      </c>
      <c r="R150" s="80"/>
      <c r="S150" s="57"/>
      <c r="T150" s="57"/>
      <c r="U150" s="58">
        <f>_xlfn.RRI(5.5,H150,B150)</f>
        <v>-3.5133479605173989E-2</v>
      </c>
      <c r="V150" s="58">
        <f>_xlfn.RRI(5,H150,C150)</f>
        <v>-1.8531354828478674E-2</v>
      </c>
      <c r="W150" s="58">
        <f t="shared" si="155"/>
        <v>1.0080268666606449E-2</v>
      </c>
      <c r="X150" s="58">
        <f t="shared" si="165"/>
        <v>9.8039215686274689E-2</v>
      </c>
      <c r="Y150" s="58">
        <f t="shared" si="165"/>
        <v>0.19047619047619052</v>
      </c>
      <c r="Z150" s="58">
        <f t="shared" si="165"/>
        <v>-1.6129032258064457E-2</v>
      </c>
      <c r="AA150" s="58">
        <f t="shared" si="165"/>
        <v>-3.3333333333333361E-2</v>
      </c>
      <c r="AB150" s="58">
        <f t="shared" si="165"/>
        <v>0.25</v>
      </c>
      <c r="AC150" s="58">
        <f t="shared" si="165"/>
        <v>-0.42857142857142866</v>
      </c>
      <c r="AD150" s="58"/>
      <c r="AE150" s="57"/>
      <c r="AF150" s="132"/>
      <c r="AG150" s="9">
        <v>10.1</v>
      </c>
      <c r="AH150" s="148">
        <v>11.8</v>
      </c>
      <c r="AI150" s="132"/>
      <c r="AJ150" s="9">
        <v>11.1</v>
      </c>
      <c r="AK150" s="9">
        <v>11.1</v>
      </c>
    </row>
    <row r="151" spans="1:37" x14ac:dyDescent="0.25">
      <c r="A151" s="5" t="s">
        <v>20</v>
      </c>
      <c r="B151" s="16">
        <f>C151+AG151-AK151</f>
        <v>133.4</v>
      </c>
      <c r="C151" s="9">
        <v>130.4</v>
      </c>
      <c r="D151" s="9">
        <v>112.1</v>
      </c>
      <c r="E151" s="9">
        <v>99.3</v>
      </c>
      <c r="F151" s="9">
        <v>113.4</v>
      </c>
      <c r="G151" s="9">
        <v>128.1</v>
      </c>
      <c r="H151" s="9">
        <v>98.4</v>
      </c>
      <c r="I151" s="337">
        <v>103.6</v>
      </c>
      <c r="J151" s="57"/>
      <c r="K151" s="80">
        <f t="shared" si="158"/>
        <v>6.9894163261029041E-2</v>
      </c>
      <c r="L151" s="80">
        <f t="shared" si="159"/>
        <v>7.6194928129017181E-2</v>
      </c>
      <c r="M151" s="80">
        <f t="shared" si="160"/>
        <v>6.7452915337866293E-2</v>
      </c>
      <c r="N151" s="80">
        <f t="shared" si="161"/>
        <v>6.2116852245715004E-2</v>
      </c>
      <c r="O151" s="80">
        <f t="shared" si="162"/>
        <v>7.247858877668413E-2</v>
      </c>
      <c r="P151" s="80">
        <f t="shared" si="163"/>
        <v>8.6559902696128108E-2</v>
      </c>
      <c r="Q151" s="80">
        <f t="shared" si="164"/>
        <v>8.1986335610731542E-2</v>
      </c>
      <c r="R151" s="80"/>
      <c r="S151" s="57"/>
      <c r="T151" s="57"/>
      <c r="U151" s="58">
        <f>_xlfn.RRI(5.5,H151,B151)</f>
        <v>5.6888625269295057E-2</v>
      </c>
      <c r="V151" s="58">
        <f>_xlfn.RRI(5,H151,C151)</f>
        <v>5.7928942504797298E-2</v>
      </c>
      <c r="W151" s="58">
        <f t="shared" si="155"/>
        <v>-6.2982016263179508E-2</v>
      </c>
      <c r="X151" s="58">
        <f t="shared" si="165"/>
        <v>-2.3006134969325152E-2</v>
      </c>
      <c r="Y151" s="58">
        <f t="shared" si="165"/>
        <v>-0.16324710080285471</v>
      </c>
      <c r="Z151" s="58">
        <f t="shared" si="165"/>
        <v>-0.12890231621349443</v>
      </c>
      <c r="AA151" s="58">
        <f t="shared" si="165"/>
        <v>0.1243386243386244</v>
      </c>
      <c r="AB151" s="58">
        <f t="shared" si="165"/>
        <v>0.11475409836065566</v>
      </c>
      <c r="AC151" s="58">
        <f t="shared" si="165"/>
        <v>-0.30182926829268281</v>
      </c>
      <c r="AD151" s="58"/>
      <c r="AE151" s="57"/>
      <c r="AF151" s="132"/>
      <c r="AG151" s="9">
        <v>125.5</v>
      </c>
      <c r="AH151" s="148">
        <v>126.1</v>
      </c>
      <c r="AI151" s="132"/>
      <c r="AJ151" s="9">
        <v>120.5</v>
      </c>
      <c r="AK151" s="9">
        <v>122.5</v>
      </c>
    </row>
    <row r="152" spans="1:37" x14ac:dyDescent="0.25">
      <c r="A152" s="5" t="s">
        <v>21</v>
      </c>
      <c r="B152" s="49">
        <f>C152+AG152-AK152</f>
        <v>-127.9</v>
      </c>
      <c r="C152" s="10">
        <v>-103.4</v>
      </c>
      <c r="D152" s="10">
        <v>-77.7</v>
      </c>
      <c r="E152" s="10">
        <v>-49.6</v>
      </c>
      <c r="F152" s="10">
        <v>-63.3</v>
      </c>
      <c r="G152" s="10">
        <v>-58.9</v>
      </c>
      <c r="H152" s="10">
        <v>-46.3</v>
      </c>
      <c r="I152" s="337">
        <v>-46.8</v>
      </c>
      <c r="J152" s="57"/>
      <c r="K152" s="59">
        <f t="shared" si="158"/>
        <v>-6.7012469873205499E-2</v>
      </c>
      <c r="L152" s="59">
        <f t="shared" si="159"/>
        <v>-6.041837092438939E-2</v>
      </c>
      <c r="M152" s="59">
        <f t="shared" si="160"/>
        <v>-4.6753715626692338E-2</v>
      </c>
      <c r="N152" s="59">
        <f t="shared" si="161"/>
        <v>-3.1027148755160768E-2</v>
      </c>
      <c r="O152" s="59">
        <f t="shared" si="162"/>
        <v>-4.0457624952064418E-2</v>
      </c>
      <c r="P152" s="59">
        <f t="shared" si="163"/>
        <v>-3.9799986485573348E-2</v>
      </c>
      <c r="Q152" s="59">
        <f t="shared" si="164"/>
        <v>-3.8576903849358433E-2</v>
      </c>
      <c r="R152" s="80"/>
      <c r="S152" s="57"/>
      <c r="T152" s="57"/>
      <c r="U152" s="58">
        <f>_xlfn.RRI(5.5,H152,B152)</f>
        <v>0.20291368107378149</v>
      </c>
      <c r="V152" s="58">
        <f>_xlfn.RRI(5,H152,C152)</f>
        <v>0.17432392638022898</v>
      </c>
      <c r="W152" s="58">
        <f t="shared" si="155"/>
        <v>-0.21077448522134343</v>
      </c>
      <c r="X152" s="58">
        <f t="shared" si="165"/>
        <v>-0.2369439071566731</v>
      </c>
      <c r="Y152" s="58">
        <f t="shared" si="165"/>
        <v>-0.33075933075933078</v>
      </c>
      <c r="Z152" s="58">
        <f t="shared" si="165"/>
        <v>-0.56653225806451613</v>
      </c>
      <c r="AA152" s="58">
        <f t="shared" si="165"/>
        <v>0.21642969984202207</v>
      </c>
      <c r="AB152" s="58">
        <f t="shared" si="165"/>
        <v>-7.4702886247877742E-2</v>
      </c>
      <c r="AC152" s="58">
        <f t="shared" si="165"/>
        <v>-0.27213822894168471</v>
      </c>
      <c r="AD152" s="58"/>
      <c r="AE152" s="57"/>
      <c r="AF152" s="133"/>
      <c r="AG152" s="10">
        <v>-103.9</v>
      </c>
      <c r="AH152" s="149">
        <v>-103.7</v>
      </c>
      <c r="AI152" s="133"/>
      <c r="AJ152" s="10">
        <v>-84.5</v>
      </c>
      <c r="AK152" s="10">
        <v>-79.400000000000006</v>
      </c>
    </row>
    <row r="153" spans="1:37" ht="15.75" thickBot="1" x14ac:dyDescent="0.3">
      <c r="A153" s="6" t="s">
        <v>77</v>
      </c>
      <c r="B153" s="102">
        <f>SUM(B149:B152)</f>
        <v>399.1</v>
      </c>
      <c r="C153" s="102">
        <f>SUM(C149:C152)</f>
        <v>355.70000000000005</v>
      </c>
      <c r="D153" s="103">
        <f t="shared" ref="D153:I153" si="166">SUM(D149:D152)</f>
        <v>313.8</v>
      </c>
      <c r="E153" s="103">
        <f t="shared" si="166"/>
        <v>295.79999999999995</v>
      </c>
      <c r="F153" s="103">
        <f t="shared" si="166"/>
        <v>299.09999999999997</v>
      </c>
      <c r="G153" s="103">
        <f t="shared" si="166"/>
        <v>284.70000000000005</v>
      </c>
      <c r="H153" s="103">
        <f t="shared" si="166"/>
        <v>236.89999999999998</v>
      </c>
      <c r="I153" s="103">
        <f t="shared" si="166"/>
        <v>228.7</v>
      </c>
      <c r="J153" s="57"/>
      <c r="K153" s="19">
        <f t="shared" si="158"/>
        <v>0.20910615110552241</v>
      </c>
      <c r="L153" s="19">
        <f t="shared" si="159"/>
        <v>0.20784153324763352</v>
      </c>
      <c r="M153" s="19">
        <f t="shared" si="160"/>
        <v>0.1888200252722787</v>
      </c>
      <c r="N153" s="19">
        <f t="shared" si="161"/>
        <v>0.18503690729388214</v>
      </c>
      <c r="O153" s="19">
        <f t="shared" si="162"/>
        <v>0.19116707145596315</v>
      </c>
      <c r="P153" s="19">
        <f t="shared" si="163"/>
        <v>0.19237786336914658</v>
      </c>
      <c r="Q153" s="19">
        <f t="shared" si="164"/>
        <v>0.19738376937177135</v>
      </c>
      <c r="R153" s="32"/>
      <c r="S153" s="57"/>
      <c r="T153" s="57"/>
      <c r="U153" s="58">
        <f>_xlfn.RRI(5.5,H153,B153)</f>
        <v>9.9473708334730793E-2</v>
      </c>
      <c r="V153" s="58">
        <f>_xlfn.RRI(5,H153,C153)</f>
        <v>8.4685315966525287E-2</v>
      </c>
      <c r="W153" s="58">
        <f t="shared" si="155"/>
        <v>-9.2951459205828854E-2</v>
      </c>
      <c r="X153" s="58">
        <f t="shared" si="165"/>
        <v>-0.12201293224627487</v>
      </c>
      <c r="Y153" s="58">
        <f t="shared" si="165"/>
        <v>-0.13352453792224356</v>
      </c>
      <c r="Z153" s="58">
        <f t="shared" si="165"/>
        <v>-6.0851926977687827E-2</v>
      </c>
      <c r="AA153" s="58">
        <f t="shared" si="165"/>
        <v>1.1033099297893719E-2</v>
      </c>
      <c r="AB153" s="58">
        <f t="shared" si="165"/>
        <v>-5.0579557428872213E-2</v>
      </c>
      <c r="AC153" s="58">
        <f t="shared" si="165"/>
        <v>-0.20177289995778841</v>
      </c>
      <c r="AD153" s="58"/>
      <c r="AE153" s="57"/>
      <c r="AF153" s="132"/>
      <c r="AG153" s="132">
        <f>SUM(AG149:AG152)</f>
        <v>373.1</v>
      </c>
      <c r="AH153" s="168">
        <f t="shared" ref="AH153:AK153" si="167">SUM(AH149:AH152)</f>
        <v>379.2</v>
      </c>
      <c r="AI153" s="132"/>
      <c r="AJ153" s="132">
        <f t="shared" si="167"/>
        <v>326.60000000000002</v>
      </c>
      <c r="AK153" s="132">
        <f t="shared" si="167"/>
        <v>329.70000000000005</v>
      </c>
    </row>
    <row r="154" spans="1:37" ht="15.75" thickTop="1" x14ac:dyDescent="0.25">
      <c r="B154" s="50"/>
      <c r="C154" s="61"/>
      <c r="D154" s="61"/>
      <c r="E154" s="61"/>
      <c r="F154" s="61"/>
      <c r="G154" s="61"/>
      <c r="H154" s="61"/>
      <c r="J154" s="57"/>
      <c r="K154" s="80"/>
      <c r="L154" s="80"/>
      <c r="M154" s="80"/>
      <c r="N154" s="80"/>
      <c r="O154" s="80"/>
      <c r="P154" s="80"/>
      <c r="Q154" s="80"/>
      <c r="R154" s="80"/>
      <c r="S154" s="57"/>
      <c r="T154" s="57"/>
      <c r="U154" s="58"/>
      <c r="V154" s="58"/>
      <c r="W154" s="58"/>
      <c r="X154" s="58"/>
      <c r="Y154" s="58"/>
      <c r="Z154" s="58"/>
      <c r="AA154" s="58"/>
      <c r="AB154" s="58"/>
      <c r="AC154" s="58"/>
      <c r="AD154" s="58"/>
      <c r="AE154" s="57"/>
      <c r="AF154" s="132"/>
      <c r="AG154" s="132"/>
      <c r="AH154" s="168"/>
      <c r="AI154" s="132"/>
      <c r="AJ154" s="132"/>
      <c r="AK154" s="132"/>
    </row>
    <row r="155" spans="1:37" x14ac:dyDescent="0.25">
      <c r="A155" s="5" t="s">
        <v>36</v>
      </c>
      <c r="B155" s="16"/>
      <c r="C155" s="9">
        <v>224.9</v>
      </c>
      <c r="D155" s="9">
        <v>226.9</v>
      </c>
      <c r="E155" s="9">
        <v>228.5</v>
      </c>
      <c r="F155" s="9">
        <v>227</v>
      </c>
      <c r="G155" s="9">
        <v>228.8</v>
      </c>
      <c r="H155" s="9">
        <v>154.69999999999999</v>
      </c>
      <c r="I155" s="337">
        <v>152.5</v>
      </c>
      <c r="J155" s="57"/>
      <c r="K155" s="80">
        <f t="shared" si="158"/>
        <v>0</v>
      </c>
      <c r="L155" s="80">
        <f t="shared" si="159"/>
        <v>0.13141287834521445</v>
      </c>
      <c r="M155" s="80">
        <f t="shared" si="160"/>
        <v>0.13653047716469102</v>
      </c>
      <c r="N155" s="80">
        <f t="shared" si="161"/>
        <v>0.14293757037407734</v>
      </c>
      <c r="O155" s="80">
        <f t="shared" si="162"/>
        <v>0.14508500575226893</v>
      </c>
      <c r="P155" s="80">
        <f t="shared" si="163"/>
        <v>0.1546050408811406</v>
      </c>
      <c r="Q155" s="80">
        <f t="shared" si="164"/>
        <v>0.12889518413597734</v>
      </c>
      <c r="R155" s="80"/>
      <c r="S155" s="57"/>
      <c r="T155" s="57"/>
      <c r="U155" s="58">
        <f t="shared" ref="U155:U165" si="168">_xlfn.RRI(5.5,H155,B155)</f>
        <v>-1</v>
      </c>
      <c r="V155" s="58">
        <f t="shared" ref="V155:V165" si="169">_xlfn.RRI(5,H155,C155)</f>
        <v>7.7704827736732041E-2</v>
      </c>
      <c r="W155" s="58">
        <f t="shared" si="155"/>
        <v>8.9680708434037734E-2</v>
      </c>
      <c r="X155" s="58">
        <f t="shared" ref="X155:X165" si="170">(C155-B155)/C155</f>
        <v>1</v>
      </c>
      <c r="Y155" s="58">
        <f t="shared" ref="Y155:Y165" si="171">(D155-C155)/D155</f>
        <v>8.8144557073600704E-3</v>
      </c>
      <c r="Z155" s="58">
        <f t="shared" ref="Z155:Z165" si="172">(E155-D155)/E155</f>
        <v>7.0021881838074149E-3</v>
      </c>
      <c r="AA155" s="58">
        <f t="shared" ref="AA155:AA165" si="173">(F155-E155)/F155</f>
        <v>-6.6079295154185024E-3</v>
      </c>
      <c r="AB155" s="58">
        <f t="shared" ref="AB155:AB165" si="174">(G155-F155)/G155</f>
        <v>7.8671328671329165E-3</v>
      </c>
      <c r="AC155" s="58">
        <f t="shared" ref="AC155:AC165" si="175">(H155-G155)/H155</f>
        <v>-0.47899159663865565</v>
      </c>
      <c r="AD155" s="58"/>
      <c r="AE155" s="57"/>
      <c r="AF155" s="132"/>
      <c r="AG155" s="132"/>
      <c r="AH155" s="168"/>
      <c r="AI155" s="132"/>
      <c r="AJ155" s="132"/>
      <c r="AK155" s="132"/>
    </row>
    <row r="156" spans="1:37" x14ac:dyDescent="0.25">
      <c r="A156" s="5" t="s">
        <v>37</v>
      </c>
      <c r="B156" s="16"/>
      <c r="C156" s="9">
        <v>-110.5</v>
      </c>
      <c r="D156" s="9">
        <v>-97.6</v>
      </c>
      <c r="E156" s="9">
        <v>-84.7</v>
      </c>
      <c r="F156" s="9">
        <v>-69.5</v>
      </c>
      <c r="G156" s="9">
        <v>-56.5</v>
      </c>
      <c r="H156" s="9">
        <v>-43.9</v>
      </c>
      <c r="I156" s="337">
        <v>-33.6</v>
      </c>
      <c r="J156" s="57"/>
      <c r="K156" s="80">
        <f t="shared" si="158"/>
        <v>0</v>
      </c>
      <c r="L156" s="80">
        <f t="shared" si="159"/>
        <v>-6.4567021152272988E-2</v>
      </c>
      <c r="M156" s="80">
        <f t="shared" si="160"/>
        <v>-5.8727961971237731E-2</v>
      </c>
      <c r="N156" s="80">
        <f t="shared" si="161"/>
        <v>-5.2983860878268486E-2</v>
      </c>
      <c r="O156" s="80">
        <f t="shared" si="162"/>
        <v>-4.4420299117985423E-2</v>
      </c>
      <c r="P156" s="80">
        <f t="shared" si="163"/>
        <v>-3.8178255287519426E-2</v>
      </c>
      <c r="Q156" s="80">
        <f t="shared" si="164"/>
        <v>-3.6577237127145473E-2</v>
      </c>
      <c r="R156" s="80"/>
      <c r="S156" s="57"/>
      <c r="T156" s="57"/>
      <c r="U156" s="58">
        <f t="shared" si="168"/>
        <v>-1</v>
      </c>
      <c r="V156" s="58">
        <f t="shared" si="169"/>
        <v>0.20276159285545092</v>
      </c>
      <c r="W156" s="58">
        <f t="shared" si="155"/>
        <v>-3.380641872602582E-3</v>
      </c>
      <c r="X156" s="58">
        <f t="shared" si="170"/>
        <v>1</v>
      </c>
      <c r="Y156" s="58">
        <f t="shared" si="171"/>
        <v>-0.13217213114754106</v>
      </c>
      <c r="Z156" s="58">
        <f t="shared" si="172"/>
        <v>-0.15230224321133401</v>
      </c>
      <c r="AA156" s="58">
        <f t="shared" si="173"/>
        <v>-0.21870503597122307</v>
      </c>
      <c r="AB156" s="58">
        <f t="shared" si="174"/>
        <v>-0.23008849557522124</v>
      </c>
      <c r="AC156" s="58">
        <f t="shared" si="175"/>
        <v>-0.28701594533029617</v>
      </c>
      <c r="AD156" s="58"/>
      <c r="AE156" s="57"/>
      <c r="AF156" s="132"/>
      <c r="AG156" s="132"/>
      <c r="AH156" s="168"/>
      <c r="AI156" s="132"/>
      <c r="AJ156" s="132"/>
      <c r="AK156" s="132"/>
    </row>
    <row r="157" spans="1:37" x14ac:dyDescent="0.25">
      <c r="A157" s="5" t="s">
        <v>38</v>
      </c>
      <c r="B157" s="16"/>
      <c r="C157" s="9">
        <v>26.4</v>
      </c>
      <c r="D157" s="9">
        <v>26.5</v>
      </c>
      <c r="E157" s="9">
        <v>26.8</v>
      </c>
      <c r="F157" s="9">
        <v>26.7</v>
      </c>
      <c r="G157" s="9">
        <v>26.7</v>
      </c>
      <c r="H157" s="9">
        <v>26.8</v>
      </c>
      <c r="I157" s="337">
        <v>26.7</v>
      </c>
      <c r="J157" s="57"/>
      <c r="K157" s="80">
        <f t="shared" si="158"/>
        <v>0</v>
      </c>
      <c r="L157" s="80">
        <f t="shared" si="159"/>
        <v>1.5425967044524948E-2</v>
      </c>
      <c r="M157" s="80">
        <f t="shared" si="160"/>
        <v>1.5945604428665983E-2</v>
      </c>
      <c r="N157" s="80">
        <f t="shared" si="161"/>
        <v>1.6764669085449772E-2</v>
      </c>
      <c r="O157" s="80">
        <f t="shared" si="162"/>
        <v>1.7065064553240444E-2</v>
      </c>
      <c r="P157" s="80">
        <f t="shared" si="163"/>
        <v>1.8041759578349886E-2</v>
      </c>
      <c r="Q157" s="80">
        <f t="shared" si="164"/>
        <v>2.2329611731378103E-2</v>
      </c>
      <c r="R157" s="80"/>
      <c r="S157" s="57"/>
      <c r="T157" s="57"/>
      <c r="U157" s="58">
        <f t="shared" si="168"/>
        <v>-1</v>
      </c>
      <c r="V157" s="58">
        <f t="shared" si="169"/>
        <v>-3.0030572485640894E-3</v>
      </c>
      <c r="W157" s="58">
        <f t="shared" si="155"/>
        <v>0.16915893994798814</v>
      </c>
      <c r="X157" s="58">
        <f t="shared" si="170"/>
        <v>1</v>
      </c>
      <c r="Y157" s="58">
        <f t="shared" si="171"/>
        <v>3.7735849056604312E-3</v>
      </c>
      <c r="Z157" s="58">
        <f t="shared" si="172"/>
        <v>1.1194029850746294E-2</v>
      </c>
      <c r="AA157" s="58">
        <f t="shared" si="173"/>
        <v>-3.7453183520599785E-3</v>
      </c>
      <c r="AB157" s="58">
        <f t="shared" si="174"/>
        <v>0</v>
      </c>
      <c r="AC157" s="58">
        <f t="shared" si="175"/>
        <v>3.7313432835821424E-3</v>
      </c>
      <c r="AD157" s="58"/>
      <c r="AE157" s="57"/>
      <c r="AF157" s="132"/>
      <c r="AG157" s="132"/>
      <c r="AH157" s="168"/>
      <c r="AI157" s="132"/>
      <c r="AJ157" s="132"/>
      <c r="AK157" s="132"/>
    </row>
    <row r="158" spans="1:37" x14ac:dyDescent="0.25">
      <c r="A158" s="5" t="s">
        <v>39</v>
      </c>
      <c r="B158" s="16"/>
      <c r="C158" s="9">
        <v>-26</v>
      </c>
      <c r="D158" s="9">
        <v>-25.9</v>
      </c>
      <c r="E158" s="9">
        <v>-23.6</v>
      </c>
      <c r="F158" s="9">
        <v>-19.899999999999999</v>
      </c>
      <c r="G158" s="9">
        <v>-16.2</v>
      </c>
      <c r="H158" s="9">
        <v>-12.5</v>
      </c>
      <c r="I158" s="337">
        <v>-8.8000000000000007</v>
      </c>
      <c r="J158" s="57"/>
      <c r="K158" s="80">
        <f t="shared" si="158"/>
        <v>0</v>
      </c>
      <c r="L158" s="80">
        <f t="shared" si="159"/>
        <v>-1.5192240271123056E-2</v>
      </c>
      <c r="M158" s="80">
        <f t="shared" si="160"/>
        <v>-1.5584571875564111E-2</v>
      </c>
      <c r="N158" s="80">
        <f t="shared" si="161"/>
        <v>-1.4762917552858754E-2</v>
      </c>
      <c r="O158" s="80">
        <f t="shared" si="162"/>
        <v>-1.2718905790617407E-2</v>
      </c>
      <c r="P158" s="80">
        <f t="shared" si="163"/>
        <v>-1.0946685586863977E-2</v>
      </c>
      <c r="Q158" s="80">
        <f t="shared" si="164"/>
        <v>-1.0414930844859189E-2</v>
      </c>
      <c r="R158" s="80"/>
      <c r="S158" s="57"/>
      <c r="T158" s="57"/>
      <c r="U158" s="58">
        <f t="shared" si="168"/>
        <v>-1</v>
      </c>
      <c r="V158" s="58">
        <f t="shared" si="169"/>
        <v>0.15774434135315829</v>
      </c>
      <c r="W158" s="58">
        <f t="shared" si="155"/>
        <v>3.1392776508458502E-2</v>
      </c>
      <c r="X158" s="58">
        <f t="shared" si="170"/>
        <v>1</v>
      </c>
      <c r="Y158" s="58">
        <f t="shared" si="171"/>
        <v>-3.8610038610039162E-3</v>
      </c>
      <c r="Z158" s="58">
        <f t="shared" si="172"/>
        <v>-9.7457627118643947E-2</v>
      </c>
      <c r="AA158" s="58">
        <f t="shared" si="173"/>
        <v>-0.1859296482412062</v>
      </c>
      <c r="AB158" s="58">
        <f t="shared" si="174"/>
        <v>-0.22839506172839502</v>
      </c>
      <c r="AC158" s="58">
        <f t="shared" si="175"/>
        <v>-0.29599999999999993</v>
      </c>
      <c r="AD158" s="58"/>
      <c r="AE158" s="57"/>
      <c r="AF158" s="132"/>
      <c r="AG158" s="132"/>
      <c r="AH158" s="168"/>
      <c r="AI158" s="132"/>
      <c r="AJ158" s="132"/>
      <c r="AK158" s="132"/>
    </row>
    <row r="159" spans="1:37" x14ac:dyDescent="0.25">
      <c r="A159" s="5" t="s">
        <v>40</v>
      </c>
      <c r="B159" s="16"/>
      <c r="C159" s="9">
        <v>7.7</v>
      </c>
      <c r="D159" s="9">
        <v>7.6</v>
      </c>
      <c r="E159" s="9">
        <v>7.9</v>
      </c>
      <c r="F159" s="9">
        <v>7.6</v>
      </c>
      <c r="G159" s="9">
        <v>7.6</v>
      </c>
      <c r="H159" s="9">
        <v>6.5</v>
      </c>
      <c r="I159" s="337">
        <v>6.1</v>
      </c>
      <c r="J159" s="57"/>
      <c r="K159" s="80">
        <f t="shared" si="158"/>
        <v>0</v>
      </c>
      <c r="L159" s="80">
        <f t="shared" si="159"/>
        <v>4.499240387986444E-3</v>
      </c>
      <c r="M159" s="80">
        <f t="shared" si="160"/>
        <v>4.5730790059570368E-3</v>
      </c>
      <c r="N159" s="80">
        <f t="shared" si="161"/>
        <v>4.9418240960840739E-3</v>
      </c>
      <c r="O159" s="80">
        <f t="shared" si="162"/>
        <v>4.8574715582257438E-3</v>
      </c>
      <c r="P159" s="80">
        <f t="shared" si="163"/>
        <v>5.1354821271707542E-3</v>
      </c>
      <c r="Q159" s="80">
        <f t="shared" si="164"/>
        <v>5.4157640393267788E-3</v>
      </c>
      <c r="R159" s="80"/>
      <c r="S159" s="57"/>
      <c r="T159" s="57"/>
      <c r="U159" s="58">
        <f t="shared" si="168"/>
        <v>-1</v>
      </c>
      <c r="V159" s="58">
        <f t="shared" si="169"/>
        <v>3.4464219527427398E-2</v>
      </c>
      <c r="W159" s="58">
        <f t="shared" si="155"/>
        <v>0.13601872256102768</v>
      </c>
      <c r="X159" s="58">
        <f t="shared" si="170"/>
        <v>1</v>
      </c>
      <c r="Y159" s="58">
        <f t="shared" si="171"/>
        <v>-1.3157894736842176E-2</v>
      </c>
      <c r="Z159" s="58">
        <f t="shared" si="172"/>
        <v>3.7974683544303889E-2</v>
      </c>
      <c r="AA159" s="58">
        <f t="shared" si="173"/>
        <v>-3.9473684210526411E-2</v>
      </c>
      <c r="AB159" s="58">
        <f t="shared" si="174"/>
        <v>0</v>
      </c>
      <c r="AC159" s="58">
        <f t="shared" si="175"/>
        <v>-0.16923076923076918</v>
      </c>
      <c r="AD159" s="58"/>
      <c r="AE159" s="57"/>
      <c r="AF159" s="132"/>
      <c r="AG159" s="132"/>
      <c r="AH159" s="168"/>
      <c r="AI159" s="132"/>
      <c r="AJ159" s="132"/>
      <c r="AK159" s="132"/>
    </row>
    <row r="160" spans="1:37" x14ac:dyDescent="0.25">
      <c r="A160" s="5" t="s">
        <v>41</v>
      </c>
      <c r="B160" s="16"/>
      <c r="C160" s="9">
        <v>-6.5</v>
      </c>
      <c r="D160" s="9">
        <v>-6.4</v>
      </c>
      <c r="E160" s="9">
        <v>-5.8</v>
      </c>
      <c r="F160" s="9">
        <v>-4.4000000000000004</v>
      </c>
      <c r="G160" s="9">
        <v>-3.5</v>
      </c>
      <c r="H160" s="9">
        <v>-2.7</v>
      </c>
      <c r="I160" s="337">
        <v>-1.9</v>
      </c>
      <c r="J160" s="57"/>
      <c r="K160" s="80">
        <f t="shared" si="158"/>
        <v>0</v>
      </c>
      <c r="L160" s="80">
        <f t="shared" si="159"/>
        <v>-3.7980600677807639E-3</v>
      </c>
      <c r="M160" s="80">
        <f t="shared" si="160"/>
        <v>-3.8510138997532944E-3</v>
      </c>
      <c r="N160" s="80">
        <f t="shared" si="161"/>
        <v>-3.6281746528212186E-3</v>
      </c>
      <c r="O160" s="80">
        <f t="shared" si="162"/>
        <v>-2.8122203758149046E-3</v>
      </c>
      <c r="P160" s="80">
        <f t="shared" si="163"/>
        <v>-2.3650246638286369E-3</v>
      </c>
      <c r="Q160" s="80">
        <f t="shared" si="164"/>
        <v>-2.249625062489585E-3</v>
      </c>
      <c r="R160" s="80"/>
      <c r="S160" s="57"/>
      <c r="T160" s="57"/>
      <c r="U160" s="58">
        <f t="shared" si="168"/>
        <v>-1</v>
      </c>
      <c r="V160" s="58">
        <f t="shared" si="169"/>
        <v>0.1920923980459821</v>
      </c>
      <c r="W160" s="58">
        <f t="shared" si="155"/>
        <v>1.5509587528265794E-3</v>
      </c>
      <c r="X160" s="58">
        <f t="shared" si="170"/>
        <v>1</v>
      </c>
      <c r="Y160" s="58">
        <f t="shared" si="171"/>
        <v>-1.5624999999999944E-2</v>
      </c>
      <c r="Z160" s="58">
        <f t="shared" si="172"/>
        <v>-0.10344827586206906</v>
      </c>
      <c r="AA160" s="58">
        <f t="shared" si="173"/>
        <v>-0.31818181818181801</v>
      </c>
      <c r="AB160" s="58">
        <f t="shared" si="174"/>
        <v>-0.25714285714285723</v>
      </c>
      <c r="AC160" s="58">
        <f t="shared" si="175"/>
        <v>-0.29629629629629622</v>
      </c>
      <c r="AD160" s="58"/>
      <c r="AE160" s="57"/>
      <c r="AF160" s="132"/>
      <c r="AG160" s="132"/>
      <c r="AH160" s="168"/>
      <c r="AI160" s="132"/>
      <c r="AJ160" s="132"/>
      <c r="AK160" s="132"/>
    </row>
    <row r="161" spans="1:37" x14ac:dyDescent="0.25">
      <c r="A161" s="5" t="s">
        <v>42</v>
      </c>
      <c r="B161" s="16"/>
      <c r="C161" s="9">
        <v>2.4</v>
      </c>
      <c r="D161" s="9">
        <v>2.4</v>
      </c>
      <c r="E161" s="9">
        <v>2.6</v>
      </c>
      <c r="F161" s="9">
        <v>2.4</v>
      </c>
      <c r="G161" s="9">
        <v>2.4</v>
      </c>
      <c r="H161" s="9">
        <v>2.5</v>
      </c>
      <c r="I161" s="337">
        <v>2.2000000000000002</v>
      </c>
      <c r="J161" s="57"/>
      <c r="K161" s="80">
        <f t="shared" si="158"/>
        <v>0</v>
      </c>
      <c r="L161" s="80">
        <f t="shared" si="159"/>
        <v>1.402360640411359E-3</v>
      </c>
      <c r="M161" s="80">
        <f t="shared" si="160"/>
        <v>1.4441302124074853E-3</v>
      </c>
      <c r="N161" s="80">
        <f t="shared" si="161"/>
        <v>1.6264231202302016E-3</v>
      </c>
      <c r="O161" s="80">
        <f t="shared" si="162"/>
        <v>1.5339383868081297E-3</v>
      </c>
      <c r="P161" s="80">
        <f t="shared" si="163"/>
        <v>1.6217311980539224E-3</v>
      </c>
      <c r="Q161" s="80">
        <f t="shared" si="164"/>
        <v>2.082986168971838E-3</v>
      </c>
      <c r="R161" s="80"/>
      <c r="S161" s="57"/>
      <c r="T161" s="57"/>
      <c r="U161" s="58">
        <f t="shared" si="168"/>
        <v>-1</v>
      </c>
      <c r="V161" s="58">
        <f t="shared" si="169"/>
        <v>-8.1311607174336942E-3</v>
      </c>
      <c r="W161" s="58">
        <f t="shared" si="155"/>
        <v>0.17226495726495727</v>
      </c>
      <c r="X161" s="58">
        <f t="shared" si="170"/>
        <v>1</v>
      </c>
      <c r="Y161" s="58">
        <f t="shared" si="171"/>
        <v>0</v>
      </c>
      <c r="Z161" s="58">
        <f t="shared" si="172"/>
        <v>7.6923076923076983E-2</v>
      </c>
      <c r="AA161" s="58">
        <f t="shared" si="173"/>
        <v>-8.3333333333333412E-2</v>
      </c>
      <c r="AB161" s="58">
        <f t="shared" si="174"/>
        <v>0</v>
      </c>
      <c r="AC161" s="58">
        <f t="shared" si="175"/>
        <v>4.0000000000000036E-2</v>
      </c>
      <c r="AD161" s="58"/>
      <c r="AE161" s="57"/>
      <c r="AF161" s="132"/>
      <c r="AG161" s="132"/>
      <c r="AH161" s="168"/>
      <c r="AI161" s="132"/>
      <c r="AJ161" s="132"/>
      <c r="AK161" s="132"/>
    </row>
    <row r="162" spans="1:37" x14ac:dyDescent="0.25">
      <c r="A162" s="5" t="s">
        <v>43</v>
      </c>
      <c r="B162" s="16"/>
      <c r="C162" s="9">
        <v>-2.4</v>
      </c>
      <c r="D162" s="9">
        <v>-2.4</v>
      </c>
      <c r="E162" s="9">
        <v>-2.6</v>
      </c>
      <c r="F162" s="9">
        <v>-2.2999999999999998</v>
      </c>
      <c r="G162" s="9">
        <v>-2.1</v>
      </c>
      <c r="H162" s="9">
        <v>-2</v>
      </c>
      <c r="I162" s="337">
        <v>-1.5</v>
      </c>
      <c r="J162" s="57"/>
      <c r="K162" s="80">
        <f t="shared" si="158"/>
        <v>0</v>
      </c>
      <c r="L162" s="80">
        <f t="shared" si="159"/>
        <v>-1.402360640411359E-3</v>
      </c>
      <c r="M162" s="80">
        <f t="shared" si="160"/>
        <v>-1.4441302124074853E-3</v>
      </c>
      <c r="N162" s="80">
        <f t="shared" si="161"/>
        <v>-1.6264231202302016E-3</v>
      </c>
      <c r="O162" s="80">
        <f t="shared" si="162"/>
        <v>-1.4700242873577909E-3</v>
      </c>
      <c r="P162" s="80">
        <f t="shared" si="163"/>
        <v>-1.4190147982971822E-3</v>
      </c>
      <c r="Q162" s="80">
        <f t="shared" si="164"/>
        <v>-1.6663889351774704E-3</v>
      </c>
      <c r="R162" s="80"/>
      <c r="S162" s="57"/>
      <c r="T162" s="57"/>
      <c r="U162" s="58">
        <f t="shared" si="168"/>
        <v>-1</v>
      </c>
      <c r="V162" s="58">
        <f t="shared" si="169"/>
        <v>3.7137289336648172E-2</v>
      </c>
      <c r="W162" s="58">
        <f t="shared" si="155"/>
        <v>0.13354169984604769</v>
      </c>
      <c r="X162" s="58">
        <f t="shared" si="170"/>
        <v>1</v>
      </c>
      <c r="Y162" s="58">
        <f t="shared" si="171"/>
        <v>0</v>
      </c>
      <c r="Z162" s="58">
        <f t="shared" si="172"/>
        <v>7.6923076923076983E-2</v>
      </c>
      <c r="AA162" s="58">
        <f t="shared" si="173"/>
        <v>-0.13043478260869579</v>
      </c>
      <c r="AB162" s="58">
        <f t="shared" si="174"/>
        <v>-9.5238095238095108E-2</v>
      </c>
      <c r="AC162" s="58">
        <f t="shared" si="175"/>
        <v>-5.0000000000000044E-2</v>
      </c>
      <c r="AD162" s="58"/>
      <c r="AE162" s="57"/>
      <c r="AF162" s="132"/>
      <c r="AG162" s="132"/>
      <c r="AH162" s="168"/>
      <c r="AI162" s="132"/>
      <c r="AJ162" s="132"/>
      <c r="AK162" s="132"/>
    </row>
    <row r="163" spans="1:37" x14ac:dyDescent="0.25">
      <c r="A163" s="5" t="s">
        <v>44</v>
      </c>
      <c r="B163" s="51"/>
      <c r="C163" s="9">
        <v>1.6</v>
      </c>
      <c r="D163" s="9">
        <v>1.7</v>
      </c>
      <c r="E163" s="9">
        <v>1.7</v>
      </c>
      <c r="F163" s="9">
        <v>1.6</v>
      </c>
      <c r="G163" s="9">
        <v>1.6</v>
      </c>
      <c r="H163" s="9">
        <v>1.4</v>
      </c>
      <c r="I163" s="337">
        <v>1.3</v>
      </c>
      <c r="J163" s="57"/>
      <c r="K163" s="80">
        <f t="shared" si="158"/>
        <v>0</v>
      </c>
      <c r="L163" s="80">
        <f t="shared" si="159"/>
        <v>9.3490709360757277E-4</v>
      </c>
      <c r="M163" s="80">
        <f t="shared" si="160"/>
        <v>1.0229255671219688E-3</v>
      </c>
      <c r="N163" s="80">
        <f t="shared" si="161"/>
        <v>1.0634305016889779E-3</v>
      </c>
      <c r="O163" s="80">
        <f t="shared" si="162"/>
        <v>1.0226255912054198E-3</v>
      </c>
      <c r="P163" s="80">
        <f t="shared" si="163"/>
        <v>1.0811541320359483E-3</v>
      </c>
      <c r="Q163" s="80">
        <f t="shared" si="164"/>
        <v>1.1664722546242292E-3</v>
      </c>
      <c r="R163" s="80"/>
      <c r="S163" s="57"/>
      <c r="T163" s="57"/>
      <c r="U163" s="58">
        <f t="shared" si="168"/>
        <v>-1</v>
      </c>
      <c r="V163" s="58">
        <f t="shared" si="169"/>
        <v>2.7066087089351765E-2</v>
      </c>
      <c r="W163" s="58">
        <f t="shared" si="155"/>
        <v>0.14224439775910364</v>
      </c>
      <c r="X163" s="58">
        <f t="shared" si="170"/>
        <v>1</v>
      </c>
      <c r="Y163" s="58">
        <f t="shared" si="171"/>
        <v>5.8823529411764629E-2</v>
      </c>
      <c r="Z163" s="58">
        <f t="shared" si="172"/>
        <v>0</v>
      </c>
      <c r="AA163" s="58">
        <f t="shared" si="173"/>
        <v>-6.2499999999999917E-2</v>
      </c>
      <c r="AB163" s="58">
        <f t="shared" si="174"/>
        <v>0</v>
      </c>
      <c r="AC163" s="58">
        <f t="shared" si="175"/>
        <v>-0.14285714285714299</v>
      </c>
      <c r="AD163" s="58"/>
      <c r="AE163" s="57"/>
      <c r="AF163" s="132"/>
      <c r="AG163" s="132"/>
      <c r="AH163" s="168"/>
      <c r="AI163" s="132"/>
      <c r="AJ163" s="132"/>
      <c r="AK163" s="132"/>
    </row>
    <row r="164" spans="1:37" x14ac:dyDescent="0.25">
      <c r="A164" s="46" t="s">
        <v>271</v>
      </c>
      <c r="B164" s="52"/>
      <c r="C164" s="53">
        <v>-1.5</v>
      </c>
      <c r="D164" s="9">
        <v>-1.3</v>
      </c>
      <c r="E164" s="9">
        <v>-1</v>
      </c>
      <c r="F164" s="9">
        <v>-0.8</v>
      </c>
      <c r="G164" s="9">
        <v>-0.8</v>
      </c>
      <c r="H164" s="9">
        <v>-1.2</v>
      </c>
      <c r="I164" s="337">
        <v>-1.1000000000000001</v>
      </c>
      <c r="J164" s="57"/>
      <c r="K164" s="59">
        <f t="shared" si="158"/>
        <v>0</v>
      </c>
      <c r="L164" s="59">
        <f t="shared" si="159"/>
        <v>-8.7647540025709942E-4</v>
      </c>
      <c r="M164" s="59">
        <f t="shared" si="160"/>
        <v>-7.8223719838738787E-4</v>
      </c>
      <c r="N164" s="59">
        <f t="shared" si="161"/>
        <v>-6.2554735393469292E-4</v>
      </c>
      <c r="O164" s="59">
        <f t="shared" si="162"/>
        <v>-5.1131279560270989E-4</v>
      </c>
      <c r="P164" s="59">
        <f t="shared" si="163"/>
        <v>-5.4057706601797417E-4</v>
      </c>
      <c r="Q164" s="59">
        <f t="shared" si="164"/>
        <v>-9.9983336110648227E-4</v>
      </c>
      <c r="R164" s="80"/>
      <c r="S164" s="57"/>
      <c r="T164" s="57"/>
      <c r="U164" s="58">
        <f t="shared" si="168"/>
        <v>-1</v>
      </c>
      <c r="V164" s="58">
        <f t="shared" si="169"/>
        <v>4.5639552591273169E-2</v>
      </c>
      <c r="W164" s="58">
        <f t="shared" si="155"/>
        <v>0.10491452991452992</v>
      </c>
      <c r="X164" s="58">
        <f t="shared" si="170"/>
        <v>1</v>
      </c>
      <c r="Y164" s="58">
        <f t="shared" si="171"/>
        <v>-0.1538461538461538</v>
      </c>
      <c r="Z164" s="58">
        <f t="shared" si="172"/>
        <v>-0.30000000000000004</v>
      </c>
      <c r="AA164" s="58">
        <f t="shared" si="173"/>
        <v>-0.24999999999999994</v>
      </c>
      <c r="AB164" s="58">
        <f t="shared" si="174"/>
        <v>0</v>
      </c>
      <c r="AC164" s="58">
        <f t="shared" si="175"/>
        <v>0.33333333333333326</v>
      </c>
      <c r="AD164" s="58"/>
      <c r="AE164" s="57"/>
      <c r="AF164" s="132"/>
      <c r="AG164" s="132"/>
      <c r="AH164" s="168"/>
      <c r="AI164" s="132"/>
      <c r="AJ164" s="132"/>
      <c r="AK164" s="132"/>
    </row>
    <row r="165" spans="1:37" ht="15.75" thickBot="1" x14ac:dyDescent="0.3">
      <c r="A165" s="85" t="s">
        <v>78</v>
      </c>
      <c r="B165" s="104"/>
      <c r="C165" s="103">
        <f t="shared" ref="C165:I165" si="176">SUM(C155:C164)</f>
        <v>116.10000000000001</v>
      </c>
      <c r="D165" s="103">
        <f t="shared" si="176"/>
        <v>131.49999999999997</v>
      </c>
      <c r="E165" s="103">
        <f t="shared" si="176"/>
        <v>149.80000000000001</v>
      </c>
      <c r="F165" s="103">
        <f t="shared" si="176"/>
        <v>168.39999999999995</v>
      </c>
      <c r="G165" s="103">
        <f t="shared" si="176"/>
        <v>188</v>
      </c>
      <c r="H165" s="103">
        <f t="shared" si="176"/>
        <v>129.60000000000002</v>
      </c>
      <c r="I165" s="103">
        <f t="shared" si="176"/>
        <v>141.89999999999998</v>
      </c>
      <c r="J165" s="57"/>
      <c r="K165" s="19">
        <f t="shared" si="158"/>
        <v>0</v>
      </c>
      <c r="L165" s="19">
        <f t="shared" si="159"/>
        <v>6.78391959798995E-2</v>
      </c>
      <c r="M165" s="19">
        <f t="shared" si="160"/>
        <v>7.9126301221493445E-2</v>
      </c>
      <c r="N165" s="19">
        <f t="shared" si="161"/>
        <v>9.3706993619417006E-2</v>
      </c>
      <c r="O165" s="19">
        <f t="shared" si="162"/>
        <v>0.10763134347437041</v>
      </c>
      <c r="P165" s="19">
        <f t="shared" si="163"/>
        <v>0.12703561051422393</v>
      </c>
      <c r="Q165" s="19">
        <f t="shared" si="164"/>
        <v>0.1079820029995001</v>
      </c>
      <c r="R165" s="32"/>
      <c r="S165" s="57"/>
      <c r="T165" s="57"/>
      <c r="U165" s="58">
        <f t="shared" si="168"/>
        <v>-1</v>
      </c>
      <c r="V165" s="58">
        <f t="shared" si="169"/>
        <v>-2.1759940095709362E-2</v>
      </c>
      <c r="W165" s="58">
        <f t="shared" si="155"/>
        <v>0.16722708193607391</v>
      </c>
      <c r="X165" s="58">
        <f t="shared" si="170"/>
        <v>1</v>
      </c>
      <c r="Y165" s="58">
        <f t="shared" si="171"/>
        <v>0.11711026615969557</v>
      </c>
      <c r="Z165" s="58">
        <f t="shared" si="172"/>
        <v>0.12216288384512709</v>
      </c>
      <c r="AA165" s="58">
        <f t="shared" si="173"/>
        <v>0.11045130641330132</v>
      </c>
      <c r="AB165" s="58">
        <f t="shared" si="174"/>
        <v>0.10425531914893645</v>
      </c>
      <c r="AC165" s="58">
        <f t="shared" si="175"/>
        <v>-0.45061728395061701</v>
      </c>
      <c r="AD165" s="58"/>
      <c r="AE165" s="57"/>
      <c r="AF165" s="132"/>
      <c r="AG165" s="132"/>
      <c r="AH165" s="168"/>
      <c r="AI165" s="132"/>
      <c r="AJ165" s="132"/>
      <c r="AK165" s="132"/>
    </row>
    <row r="166" spans="1:37" ht="15.75" thickTop="1" x14ac:dyDescent="0.25">
      <c r="B166" s="61"/>
      <c r="C166" s="61"/>
      <c r="D166" s="61"/>
      <c r="E166" s="61"/>
      <c r="F166" s="61"/>
      <c r="G166" s="61"/>
      <c r="H166" s="61"/>
      <c r="J166" s="57"/>
      <c r="K166" s="80"/>
      <c r="L166" s="80"/>
      <c r="M166" s="80"/>
      <c r="N166" s="80"/>
      <c r="O166" s="80"/>
      <c r="P166" s="80"/>
      <c r="Q166" s="80"/>
      <c r="R166" s="80"/>
      <c r="S166" s="57"/>
      <c r="T166" s="57"/>
      <c r="U166" s="58"/>
      <c r="V166" s="58"/>
      <c r="W166" s="58"/>
      <c r="X166" s="58"/>
      <c r="Y166" s="58"/>
      <c r="Z166" s="58"/>
      <c r="AA166" s="58"/>
      <c r="AB166" s="58"/>
      <c r="AC166" s="58"/>
      <c r="AD166" s="58"/>
      <c r="AE166" s="57"/>
      <c r="AF166" s="132"/>
      <c r="AG166" s="132"/>
      <c r="AH166" s="168"/>
      <c r="AI166" s="132"/>
      <c r="AJ166" s="132"/>
      <c r="AK166" s="132"/>
    </row>
    <row r="167" spans="1:37" ht="15" customHeight="1" x14ac:dyDescent="0.25">
      <c r="A167" s="5" t="s">
        <v>109</v>
      </c>
      <c r="B167" s="61">
        <f>C167+AG167-AJ167</f>
        <v>142.6</v>
      </c>
      <c r="C167" s="9">
        <v>140.1</v>
      </c>
      <c r="D167" s="9">
        <v>135.9</v>
      </c>
      <c r="E167" s="9">
        <v>131.80000000000001</v>
      </c>
      <c r="F167" s="9">
        <v>136.19999999999999</v>
      </c>
      <c r="G167" s="9">
        <v>145.69999999999999</v>
      </c>
      <c r="H167" s="9">
        <v>121.9</v>
      </c>
      <c r="I167" s="337">
        <v>116.8</v>
      </c>
      <c r="J167" s="57"/>
      <c r="K167" s="80">
        <f t="shared" si="158"/>
        <v>7.4714450382479314E-2</v>
      </c>
      <c r="L167" s="80">
        <f t="shared" si="159"/>
        <v>8.1862802384013084E-2</v>
      </c>
      <c r="M167" s="80">
        <f t="shared" si="160"/>
        <v>8.1773873277573864E-2</v>
      </c>
      <c r="N167" s="80">
        <f t="shared" si="161"/>
        <v>8.2447141248592537E-2</v>
      </c>
      <c r="O167" s="80">
        <f t="shared" si="162"/>
        <v>8.7051003451361353E-2</v>
      </c>
      <c r="P167" s="80">
        <f t="shared" si="163"/>
        <v>9.8452598148523529E-2</v>
      </c>
      <c r="Q167" s="80">
        <f t="shared" si="164"/>
        <v>0.10156640559906682</v>
      </c>
      <c r="R167" s="80"/>
      <c r="S167" s="57"/>
      <c r="T167" s="57"/>
      <c r="U167" s="58">
        <f>_xlfn.RRI(5.5,H167,B167)</f>
        <v>2.8927310042646148E-2</v>
      </c>
      <c r="V167" s="58">
        <f>_xlfn.RRI(5,H167,C167)</f>
        <v>2.8221985959977935E-2</v>
      </c>
      <c r="W167" s="58">
        <f t="shared" si="155"/>
        <v>-2.9598551790714467E-2</v>
      </c>
      <c r="X167" s="58">
        <f t="shared" ref="X167:AC169" si="177">(C167-B167)/C167</f>
        <v>-1.7844396859386154E-2</v>
      </c>
      <c r="Y167" s="58">
        <f t="shared" si="177"/>
        <v>-3.0905077262693072E-2</v>
      </c>
      <c r="Z167" s="58">
        <f t="shared" si="177"/>
        <v>-3.1107738998482504E-2</v>
      </c>
      <c r="AA167" s="58">
        <f t="shared" si="177"/>
        <v>3.230543318649029E-2</v>
      </c>
      <c r="AB167" s="58">
        <f t="shared" si="177"/>
        <v>6.5202470830473577E-2</v>
      </c>
      <c r="AC167" s="58">
        <f t="shared" si="177"/>
        <v>-0.19524200164068894</v>
      </c>
      <c r="AD167" s="58"/>
      <c r="AE167" s="57"/>
      <c r="AF167" s="132"/>
      <c r="AG167" s="9">
        <v>39.9</v>
      </c>
      <c r="AH167" s="148">
        <v>37.6</v>
      </c>
      <c r="AI167" s="53"/>
      <c r="AJ167" s="9">
        <v>37.4</v>
      </c>
      <c r="AK167" s="9">
        <v>35.6</v>
      </c>
    </row>
    <row r="168" spans="1:37" ht="15" customHeight="1" x14ac:dyDescent="0.25">
      <c r="A168" s="5" t="s">
        <v>86</v>
      </c>
      <c r="B168" s="68">
        <f>C168+AG168-AJ168</f>
        <v>13.8</v>
      </c>
      <c r="C168" s="10">
        <v>13.2</v>
      </c>
      <c r="D168" s="10">
        <v>13</v>
      </c>
      <c r="E168" s="10">
        <v>11.3</v>
      </c>
      <c r="F168" s="10">
        <v>12.1</v>
      </c>
      <c r="G168" s="10">
        <v>12.5</v>
      </c>
      <c r="H168" s="10">
        <v>10.6</v>
      </c>
      <c r="I168" s="337">
        <v>8.9</v>
      </c>
      <c r="J168" s="57"/>
      <c r="K168" s="59">
        <f t="shared" si="158"/>
        <v>7.2304306821754181E-3</v>
      </c>
      <c r="L168" s="59">
        <f t="shared" si="159"/>
        <v>7.7129835222624742E-3</v>
      </c>
      <c r="M168" s="59">
        <f t="shared" si="160"/>
        <v>7.822371983873878E-3</v>
      </c>
      <c r="N168" s="59">
        <f t="shared" si="161"/>
        <v>7.0686850994620305E-3</v>
      </c>
      <c r="O168" s="59">
        <f t="shared" si="162"/>
        <v>7.7336060334909874E-3</v>
      </c>
      <c r="P168" s="59">
        <f t="shared" si="163"/>
        <v>8.4465166565308464E-3</v>
      </c>
      <c r="Q168" s="59">
        <f t="shared" si="164"/>
        <v>8.8318613564405922E-3</v>
      </c>
      <c r="R168" s="80"/>
      <c r="S168" s="57"/>
      <c r="T168" s="57"/>
      <c r="U168" s="58">
        <f>_xlfn.RRI(5.5,H168,B168)</f>
        <v>4.9135287623395474E-2</v>
      </c>
      <c r="V168" s="58">
        <f>_xlfn.RRI(5,H168,C168)</f>
        <v>4.4849196772801969E-2</v>
      </c>
      <c r="W168" s="58">
        <f t="shared" si="155"/>
        <v>-4.8735203209132695E-2</v>
      </c>
      <c r="X168" s="58">
        <f t="shared" si="177"/>
        <v>-4.5454545454545567E-2</v>
      </c>
      <c r="Y168" s="58">
        <f t="shared" si="177"/>
        <v>-1.538461538461533E-2</v>
      </c>
      <c r="Z168" s="58">
        <f t="shared" si="177"/>
        <v>-0.15044247787610612</v>
      </c>
      <c r="AA168" s="58">
        <f t="shared" si="177"/>
        <v>6.6115702479338762E-2</v>
      </c>
      <c r="AB168" s="58">
        <f t="shared" si="177"/>
        <v>3.2000000000000028E-2</v>
      </c>
      <c r="AC168" s="58">
        <f t="shared" si="177"/>
        <v>-0.17924528301886797</v>
      </c>
      <c r="AD168" s="58"/>
      <c r="AE168" s="57"/>
      <c r="AF168" s="173"/>
      <c r="AG168" s="10">
        <v>3.8</v>
      </c>
      <c r="AH168" s="149">
        <v>4</v>
      </c>
      <c r="AI168" s="54"/>
      <c r="AJ168" s="10">
        <v>3.2</v>
      </c>
      <c r="AK168" s="10">
        <v>3.5</v>
      </c>
    </row>
    <row r="169" spans="1:37" ht="15.75" thickBot="1" x14ac:dyDescent="0.3">
      <c r="A169" s="6" t="s">
        <v>110</v>
      </c>
      <c r="B169" s="103">
        <f>SUM(B167:B168)</f>
        <v>156.4</v>
      </c>
      <c r="C169" s="103">
        <f>SUM(C167:C168)</f>
        <v>153.29999999999998</v>
      </c>
      <c r="D169" s="103">
        <f t="shared" ref="D169:I169" si="178">SUM(D167:D168)</f>
        <v>148.9</v>
      </c>
      <c r="E169" s="103">
        <f t="shared" si="178"/>
        <v>143.10000000000002</v>
      </c>
      <c r="F169" s="103">
        <f t="shared" si="178"/>
        <v>148.29999999999998</v>
      </c>
      <c r="G169" s="103">
        <f t="shared" si="178"/>
        <v>158.19999999999999</v>
      </c>
      <c r="H169" s="103">
        <f t="shared" si="178"/>
        <v>132.5</v>
      </c>
      <c r="I169" s="103">
        <f t="shared" si="178"/>
        <v>125.7</v>
      </c>
      <c r="J169" s="57"/>
      <c r="K169" s="19">
        <f t="shared" si="158"/>
        <v>8.1944881064654737E-2</v>
      </c>
      <c r="L169" s="19">
        <f t="shared" si="159"/>
        <v>8.9575785906275546E-2</v>
      </c>
      <c r="M169" s="19">
        <f t="shared" si="160"/>
        <v>8.9596245261447743E-2</v>
      </c>
      <c r="N169" s="19">
        <f t="shared" si="161"/>
        <v>8.9515826348054564E-2</v>
      </c>
      <c r="O169" s="19">
        <f t="shared" si="162"/>
        <v>9.4784609484852345E-2</v>
      </c>
      <c r="P169" s="19">
        <f t="shared" si="163"/>
        <v>0.10689911480505439</v>
      </c>
      <c r="Q169" s="19">
        <f t="shared" si="164"/>
        <v>0.11039826695550742</v>
      </c>
      <c r="R169" s="32"/>
      <c r="S169" s="57"/>
      <c r="T169" s="57"/>
      <c r="U169" s="58">
        <f>_xlfn.RRI(5.5,H169,B169)</f>
        <v>3.0610834411654242E-2</v>
      </c>
      <c r="V169" s="58">
        <f>_xlfn.RRI(5,H169,C169)</f>
        <v>2.9592227363256507E-2</v>
      </c>
      <c r="W169" s="58">
        <f t="shared" si="155"/>
        <v>-3.1103684827474647E-2</v>
      </c>
      <c r="X169" s="58">
        <f t="shared" si="177"/>
        <v>-2.0221787345075168E-2</v>
      </c>
      <c r="Y169" s="58">
        <f t="shared" si="177"/>
        <v>-2.9550033579583461E-2</v>
      </c>
      <c r="Z169" s="58">
        <f t="shared" si="177"/>
        <v>-4.0531097134870596E-2</v>
      </c>
      <c r="AA169" s="58">
        <f t="shared" si="177"/>
        <v>3.5064059339177077E-2</v>
      </c>
      <c r="AB169" s="58">
        <f t="shared" si="177"/>
        <v>6.2579013906447573E-2</v>
      </c>
      <c r="AC169" s="58">
        <f t="shared" si="177"/>
        <v>-0.19396226415094331</v>
      </c>
      <c r="AD169" s="58"/>
      <c r="AE169" s="57"/>
      <c r="AF169" s="132"/>
      <c r="AG169" s="132">
        <f>SUM(AG167:AG168)</f>
        <v>43.699999999999996</v>
      </c>
      <c r="AH169" s="168">
        <f t="shared" ref="AH169" si="179">SUM(AH167:AH168)</f>
        <v>41.6</v>
      </c>
      <c r="AI169" s="132"/>
      <c r="AJ169" s="132">
        <f>SUM(AJ167:AJ168)</f>
        <v>40.6</v>
      </c>
      <c r="AK169" s="132">
        <f>SUM(AK167:AK168)</f>
        <v>39.1</v>
      </c>
    </row>
    <row r="170" spans="1:37" ht="15.75" thickTop="1" x14ac:dyDescent="0.25">
      <c r="B170" s="61"/>
      <c r="C170" s="61"/>
      <c r="D170" s="61"/>
      <c r="E170" s="61"/>
      <c r="F170" s="61"/>
      <c r="G170" s="61"/>
      <c r="H170" s="61"/>
      <c r="J170" s="57"/>
      <c r="K170" s="57"/>
      <c r="L170" s="57"/>
      <c r="M170" s="57"/>
      <c r="N170" s="57"/>
      <c r="O170" s="57"/>
      <c r="P170" s="57"/>
      <c r="Q170" s="57"/>
      <c r="R170" s="57"/>
      <c r="S170" s="57"/>
      <c r="T170" s="57"/>
      <c r="U170" s="58"/>
      <c r="V170" s="58"/>
      <c r="W170" s="58"/>
      <c r="X170" s="58"/>
      <c r="Y170" s="58"/>
      <c r="Z170" s="58"/>
      <c r="AA170" s="58"/>
      <c r="AB170" s="58"/>
      <c r="AC170" s="58"/>
      <c r="AD170" s="58"/>
      <c r="AE170" s="57"/>
      <c r="AF170" s="132"/>
      <c r="AG170" s="132"/>
      <c r="AH170" s="168"/>
      <c r="AI170" s="132"/>
      <c r="AJ170" s="132"/>
      <c r="AK170" s="132"/>
    </row>
    <row r="171" spans="1:37" s="35" customFormat="1" ht="15" customHeight="1" x14ac:dyDescent="0.25">
      <c r="A171" s="34" t="s">
        <v>95</v>
      </c>
      <c r="B171" s="38"/>
      <c r="C171" s="9">
        <v>3</v>
      </c>
      <c r="D171" s="9">
        <v>5.2</v>
      </c>
      <c r="E171" s="9">
        <v>0.7</v>
      </c>
      <c r="F171" s="9">
        <v>-14.9</v>
      </c>
      <c r="G171" s="9">
        <v>-0.5</v>
      </c>
      <c r="H171" s="9">
        <v>0.2</v>
      </c>
      <c r="I171" s="337">
        <v>-0.2</v>
      </c>
      <c r="U171" s="58">
        <f t="shared" ref="U171:U177" si="180">_xlfn.RRI(5.5,H171,B171)</f>
        <v>-1</v>
      </c>
      <c r="V171" s="58">
        <f t="shared" ref="V171:V177" si="181">_xlfn.RRI(5,H171,C171)</f>
        <v>0.71877192758747888</v>
      </c>
      <c r="W171" s="58">
        <f t="shared" si="155"/>
        <v>-4.8764191066204488</v>
      </c>
      <c r="X171" s="58">
        <f t="shared" ref="X171:AC177" si="182">(C171-B171)/C171</f>
        <v>1</v>
      </c>
      <c r="Y171" s="58">
        <f t="shared" si="182"/>
        <v>0.42307692307692307</v>
      </c>
      <c r="Z171" s="58">
        <f t="shared" si="182"/>
        <v>-6.4285714285714288</v>
      </c>
      <c r="AA171" s="58">
        <f t="shared" si="182"/>
        <v>1.0469798657718121</v>
      </c>
      <c r="AB171" s="58">
        <f t="shared" si="182"/>
        <v>-28.8</v>
      </c>
      <c r="AC171" s="58">
        <f t="shared" si="182"/>
        <v>3.4999999999999996</v>
      </c>
      <c r="AD171" s="58"/>
      <c r="AF171" s="38"/>
      <c r="AG171" s="38"/>
      <c r="AH171" s="158"/>
      <c r="AI171" s="38"/>
      <c r="AJ171" s="38"/>
      <c r="AK171" s="38"/>
    </row>
    <row r="172" spans="1:37" s="35" customFormat="1" ht="15" customHeight="1" x14ac:dyDescent="0.25">
      <c r="A172" s="34" t="s">
        <v>96</v>
      </c>
      <c r="B172" s="38"/>
      <c r="C172" s="9">
        <v>-0.6</v>
      </c>
      <c r="D172" s="9">
        <v>1.1000000000000001</v>
      </c>
      <c r="E172" s="9">
        <v>1.6</v>
      </c>
      <c r="F172" s="9">
        <v>0.4</v>
      </c>
      <c r="G172" s="9">
        <v>-0.2</v>
      </c>
      <c r="H172" s="9">
        <v>-1.2</v>
      </c>
      <c r="I172" s="337">
        <v>0.5</v>
      </c>
      <c r="U172" s="58">
        <f t="shared" si="180"/>
        <v>-1</v>
      </c>
      <c r="V172" s="58">
        <f t="shared" si="181"/>
        <v>-0.12944943670387588</v>
      </c>
      <c r="W172" s="58">
        <f t="shared" si="155"/>
        <v>0.61521464646464652</v>
      </c>
      <c r="X172" s="58">
        <f t="shared" si="182"/>
        <v>1</v>
      </c>
      <c r="Y172" s="58">
        <f t="shared" si="182"/>
        <v>1.5454545454545454</v>
      </c>
      <c r="Z172" s="58">
        <f t="shared" si="182"/>
        <v>0.3125</v>
      </c>
      <c r="AA172" s="58">
        <f t="shared" si="182"/>
        <v>-3.0000000000000004</v>
      </c>
      <c r="AB172" s="58">
        <f t="shared" si="182"/>
        <v>3.0000000000000004</v>
      </c>
      <c r="AC172" s="58">
        <f t="shared" si="182"/>
        <v>0.83333333333333337</v>
      </c>
      <c r="AD172" s="58"/>
      <c r="AF172" s="38"/>
      <c r="AG172" s="38"/>
      <c r="AH172" s="158"/>
      <c r="AI172" s="38"/>
      <c r="AJ172" s="38"/>
      <c r="AK172" s="38"/>
    </row>
    <row r="173" spans="1:37" s="35" customFormat="1" ht="15" customHeight="1" x14ac:dyDescent="0.25">
      <c r="A173" s="34" t="s">
        <v>97</v>
      </c>
      <c r="B173" s="38"/>
      <c r="C173" s="9">
        <v>0.2</v>
      </c>
      <c r="D173" s="9">
        <v>10.6</v>
      </c>
      <c r="E173" s="9">
        <v>6.1</v>
      </c>
      <c r="F173" s="9">
        <v>3.1</v>
      </c>
      <c r="G173" s="9">
        <v>9.6</v>
      </c>
      <c r="H173" s="9">
        <v>2.6</v>
      </c>
      <c r="I173" s="337">
        <v>-1.6</v>
      </c>
      <c r="U173" s="58">
        <f t="shared" si="180"/>
        <v>-1</v>
      </c>
      <c r="V173" s="58">
        <f t="shared" si="181"/>
        <v>-0.40129714445850229</v>
      </c>
      <c r="W173" s="58">
        <f t="shared" si="155"/>
        <v>-0.28992318950321971</v>
      </c>
      <c r="X173" s="58">
        <f t="shared" si="182"/>
        <v>1</v>
      </c>
      <c r="Y173" s="58">
        <f t="shared" si="182"/>
        <v>0.98113207547169823</v>
      </c>
      <c r="Z173" s="58">
        <f t="shared" si="182"/>
        <v>-0.73770491803278693</v>
      </c>
      <c r="AA173" s="58">
        <f t="shared" si="182"/>
        <v>-0.96774193548387077</v>
      </c>
      <c r="AB173" s="58">
        <f t="shared" si="182"/>
        <v>0.67708333333333337</v>
      </c>
      <c r="AC173" s="58">
        <f t="shared" si="182"/>
        <v>-2.6923076923076921</v>
      </c>
      <c r="AD173" s="58"/>
      <c r="AF173" s="38"/>
      <c r="AG173" s="38"/>
      <c r="AH173" s="158"/>
      <c r="AI173" s="38"/>
      <c r="AJ173" s="38"/>
      <c r="AK173" s="38"/>
    </row>
    <row r="174" spans="1:37" s="35" customFormat="1" ht="15" customHeight="1" x14ac:dyDescent="0.25">
      <c r="A174" s="34" t="s">
        <v>98</v>
      </c>
      <c r="B174" s="38"/>
      <c r="C174" s="9">
        <v>28.4</v>
      </c>
      <c r="D174" s="9">
        <v>18.2</v>
      </c>
      <c r="E174" s="9">
        <v>11.1</v>
      </c>
      <c r="F174" s="9">
        <v>14.4</v>
      </c>
      <c r="G174" s="9">
        <v>17.899999999999999</v>
      </c>
      <c r="H174" s="9">
        <v>15.7</v>
      </c>
      <c r="I174" s="337">
        <v>13.3</v>
      </c>
      <c r="U174" s="58">
        <f t="shared" si="180"/>
        <v>-1</v>
      </c>
      <c r="V174" s="58">
        <f t="shared" si="181"/>
        <v>0.12585830952313648</v>
      </c>
      <c r="W174" s="58">
        <f t="shared" si="155"/>
        <v>1.4081800718236323E-2</v>
      </c>
      <c r="X174" s="58">
        <f t="shared" si="182"/>
        <v>1</v>
      </c>
      <c r="Y174" s="58">
        <f t="shared" si="182"/>
        <v>-0.56043956043956045</v>
      </c>
      <c r="Z174" s="58">
        <f t="shared" si="182"/>
        <v>-0.63963963963963966</v>
      </c>
      <c r="AA174" s="58">
        <f t="shared" si="182"/>
        <v>0.22916666666666671</v>
      </c>
      <c r="AB174" s="58">
        <f t="shared" si="182"/>
        <v>0.19553072625698315</v>
      </c>
      <c r="AC174" s="58">
        <f t="shared" si="182"/>
        <v>-0.14012738853503182</v>
      </c>
      <c r="AD174" s="58"/>
      <c r="AF174" s="38"/>
      <c r="AG174" s="38"/>
      <c r="AH174" s="158"/>
      <c r="AI174" s="38"/>
      <c r="AJ174" s="38"/>
      <c r="AK174" s="38"/>
    </row>
    <row r="175" spans="1:37" s="35" customFormat="1" ht="15" customHeight="1" x14ac:dyDescent="0.25">
      <c r="A175" s="47" t="s">
        <v>99</v>
      </c>
      <c r="B175" s="38"/>
      <c r="C175" s="53">
        <v>0.6</v>
      </c>
      <c r="D175" s="9">
        <v>0.9</v>
      </c>
      <c r="E175" s="9">
        <v>0.7</v>
      </c>
      <c r="F175" s="9">
        <v>0.5</v>
      </c>
      <c r="G175" s="9">
        <v>0.1</v>
      </c>
      <c r="H175" s="9">
        <v>0.6</v>
      </c>
      <c r="I175" s="337">
        <v>1.3</v>
      </c>
      <c r="U175" s="58">
        <f t="shared" si="180"/>
        <v>-1</v>
      </c>
      <c r="V175" s="58">
        <f t="shared" si="181"/>
        <v>0</v>
      </c>
      <c r="W175" s="58">
        <f t="shared" si="155"/>
        <v>-0.41984126984126974</v>
      </c>
      <c r="X175" s="58">
        <f t="shared" si="182"/>
        <v>1</v>
      </c>
      <c r="Y175" s="58">
        <f t="shared" si="182"/>
        <v>0.33333333333333337</v>
      </c>
      <c r="Z175" s="58">
        <f t="shared" si="182"/>
        <v>-0.28571428571428581</v>
      </c>
      <c r="AA175" s="58">
        <f t="shared" si="182"/>
        <v>-0.39999999999999991</v>
      </c>
      <c r="AB175" s="58">
        <f t="shared" si="182"/>
        <v>-4</v>
      </c>
      <c r="AC175" s="58">
        <f t="shared" si="182"/>
        <v>0.83333333333333337</v>
      </c>
      <c r="AD175" s="58"/>
      <c r="AF175" s="38"/>
      <c r="AG175" s="38"/>
      <c r="AH175" s="158"/>
      <c r="AI175" s="38"/>
      <c r="AJ175" s="38"/>
      <c r="AK175" s="38"/>
    </row>
    <row r="176" spans="1:37" s="35" customFormat="1" ht="15" customHeight="1" x14ac:dyDescent="0.25">
      <c r="A176" s="47" t="s">
        <v>100</v>
      </c>
      <c r="B176" s="48"/>
      <c r="C176" s="54">
        <v>0</v>
      </c>
      <c r="D176" s="10">
        <v>-1.5</v>
      </c>
      <c r="E176" s="10">
        <v>0.8</v>
      </c>
      <c r="F176" s="10">
        <v>-3.5</v>
      </c>
      <c r="G176" s="10">
        <v>-1.2</v>
      </c>
      <c r="H176" s="10">
        <v>11.1</v>
      </c>
      <c r="I176" s="337">
        <v>-1.9</v>
      </c>
      <c r="U176" s="58">
        <f t="shared" si="180"/>
        <v>-1</v>
      </c>
      <c r="V176" s="58">
        <f t="shared" si="181"/>
        <v>-1</v>
      </c>
      <c r="W176" s="58" t="e">
        <f t="shared" si="155"/>
        <v>#DIV/0!</v>
      </c>
      <c r="X176" s="58" t="e">
        <f t="shared" si="182"/>
        <v>#DIV/0!</v>
      </c>
      <c r="Y176" s="58">
        <f t="shared" si="182"/>
        <v>1</v>
      </c>
      <c r="Z176" s="58">
        <f t="shared" si="182"/>
        <v>2.8749999999999996</v>
      </c>
      <c r="AA176" s="58">
        <f t="shared" si="182"/>
        <v>1.2285714285714284</v>
      </c>
      <c r="AB176" s="58">
        <f t="shared" si="182"/>
        <v>-1.9166666666666665</v>
      </c>
      <c r="AC176" s="58">
        <f t="shared" si="182"/>
        <v>1.1081081081081081</v>
      </c>
      <c r="AD176" s="58"/>
      <c r="AF176" s="38"/>
      <c r="AG176" s="38"/>
      <c r="AH176" s="158"/>
      <c r="AI176" s="38"/>
      <c r="AJ176" s="38"/>
      <c r="AK176" s="38"/>
    </row>
    <row r="177" spans="1:37" ht="15.75" thickBot="1" x14ac:dyDescent="0.3">
      <c r="A177" s="105" t="s">
        <v>113</v>
      </c>
      <c r="B177" s="106"/>
      <c r="C177" s="103">
        <f>SUM(C171:C176)</f>
        <v>31.6</v>
      </c>
      <c r="D177" s="103">
        <f t="shared" ref="D177:I177" si="183">SUM(D171:D176)</f>
        <v>34.499999999999993</v>
      </c>
      <c r="E177" s="103">
        <f t="shared" si="183"/>
        <v>21</v>
      </c>
      <c r="F177" s="103">
        <f t="shared" si="183"/>
        <v>0</v>
      </c>
      <c r="G177" s="103">
        <f t="shared" si="183"/>
        <v>25.7</v>
      </c>
      <c r="H177" s="103">
        <f t="shared" si="183"/>
        <v>29</v>
      </c>
      <c r="I177" s="103">
        <f t="shared" si="183"/>
        <v>11.4</v>
      </c>
      <c r="J177" s="57"/>
      <c r="K177" s="57"/>
      <c r="L177" s="57"/>
      <c r="M177" s="57"/>
      <c r="N177" s="57"/>
      <c r="O177" s="57"/>
      <c r="P177" s="57"/>
      <c r="Q177" s="57"/>
      <c r="R177" s="57"/>
      <c r="S177" s="57"/>
      <c r="T177" s="57"/>
      <c r="U177" s="58">
        <f t="shared" si="180"/>
        <v>-1</v>
      </c>
      <c r="V177" s="58">
        <f t="shared" si="181"/>
        <v>1.7320548959203874E-2</v>
      </c>
      <c r="W177" s="58" t="e">
        <f t="shared" si="155"/>
        <v>#DIV/0!</v>
      </c>
      <c r="X177" s="58">
        <f t="shared" si="182"/>
        <v>1</v>
      </c>
      <c r="Y177" s="58">
        <f t="shared" si="182"/>
        <v>8.4057971014492527E-2</v>
      </c>
      <c r="Z177" s="58">
        <f t="shared" si="182"/>
        <v>-0.64285714285714257</v>
      </c>
      <c r="AA177" s="58" t="e">
        <f t="shared" si="182"/>
        <v>#DIV/0!</v>
      </c>
      <c r="AB177" s="58">
        <f t="shared" si="182"/>
        <v>1</v>
      </c>
      <c r="AC177" s="58">
        <f t="shared" si="182"/>
        <v>0.11379310344827588</v>
      </c>
      <c r="AD177" s="58"/>
      <c r="AE177" s="57"/>
      <c r="AF177" s="132"/>
      <c r="AG177" s="132"/>
      <c r="AH177" s="168"/>
      <c r="AI177" s="132"/>
      <c r="AJ177" s="132"/>
      <c r="AK177" s="132"/>
    </row>
    <row r="178" spans="1:37" ht="15.75" thickTop="1" x14ac:dyDescent="0.25"/>
  </sheetData>
  <phoneticPr fontId="18" type="noConversion"/>
  <hyperlinks>
    <hyperlink ref="G134" location="'10K Info'!A1" display="'10K Info'!A1" xr:uid="{99889415-A6CD-45C6-AECA-D39DB0004B9D}"/>
  </hyperlinks>
  <pageMargins left="0.7" right="0.7" top="0.75" bottom="0.75" header="0.3" footer="0.3"/>
  <ignoredErrors>
    <ignoredError sqref="C147:H147" formulaRange="1"/>
  </ignoredError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5291C-76FC-4FFF-8FAA-390F8A9EFA1A}">
  <dimension ref="A1:AK495"/>
  <sheetViews>
    <sheetView zoomScaleNormal="100" workbookViewId="0">
      <pane xSplit="1" topLeftCell="B1" activePane="topRight" state="frozen"/>
      <selection pane="topRight" activeCell="B20" sqref="B20"/>
    </sheetView>
  </sheetViews>
  <sheetFormatPr defaultRowHeight="15" x14ac:dyDescent="0.25"/>
  <cols>
    <col min="1" max="1" width="56.140625" bestFit="1" customWidth="1"/>
    <col min="2" max="2" width="10.28515625" customWidth="1"/>
    <col min="3" max="8" width="11" bestFit="1" customWidth="1"/>
    <col min="9" max="9" width="11" customWidth="1"/>
    <col min="10" max="10" width="3.42578125" bestFit="1" customWidth="1"/>
    <col min="11" max="11" width="9.5703125" customWidth="1"/>
    <col min="12" max="12" width="9.42578125" customWidth="1"/>
    <col min="13" max="14" width="9.5703125" bestFit="1" customWidth="1"/>
    <col min="19" max="19" width="2.85546875" customWidth="1"/>
    <col min="20" max="20" width="9.28515625" customWidth="1"/>
    <col min="31" max="31" width="2.28515625" customWidth="1"/>
    <col min="32" max="32" width="11.7109375" customWidth="1"/>
    <col min="33" max="33" width="11" bestFit="1" customWidth="1"/>
    <col min="34" max="35" width="11" customWidth="1"/>
    <col min="36" max="36" width="11" bestFit="1" customWidth="1"/>
    <col min="37" max="37" width="11" customWidth="1"/>
  </cols>
  <sheetData>
    <row r="1" spans="1:37" s="1" customFormat="1" x14ac:dyDescent="0.25">
      <c r="A1" s="1" t="s">
        <v>111</v>
      </c>
      <c r="B1" s="1" t="s">
        <v>318</v>
      </c>
      <c r="K1" s="1" t="s">
        <v>318</v>
      </c>
      <c r="U1" s="1" t="s">
        <v>318</v>
      </c>
      <c r="AF1" s="1" t="s">
        <v>318</v>
      </c>
    </row>
    <row r="2" spans="1:37" s="1" customFormat="1" x14ac:dyDescent="0.25">
      <c r="A2" s="1" t="s">
        <v>1</v>
      </c>
      <c r="K2" s="1" t="s">
        <v>2</v>
      </c>
      <c r="U2" s="1" t="s">
        <v>74</v>
      </c>
      <c r="AF2" s="1" t="s">
        <v>73</v>
      </c>
    </row>
    <row r="3" spans="1:37" s="1" customFormat="1" x14ac:dyDescent="0.25">
      <c r="A3" s="1" t="s">
        <v>3</v>
      </c>
      <c r="H3" s="2"/>
      <c r="I3" s="2"/>
      <c r="Q3" s="2"/>
      <c r="R3" s="2"/>
      <c r="T3" s="1" t="s">
        <v>536</v>
      </c>
      <c r="U3" s="1" t="s">
        <v>263</v>
      </c>
      <c r="V3" s="1" t="s">
        <v>4</v>
      </c>
      <c r="W3" s="1" t="s">
        <v>5</v>
      </c>
      <c r="X3" s="22" t="s">
        <v>75</v>
      </c>
      <c r="Y3" s="1" t="s">
        <v>6</v>
      </c>
      <c r="Z3" s="1" t="s">
        <v>7</v>
      </c>
      <c r="AA3" s="1" t="s">
        <v>8</v>
      </c>
      <c r="AB3" s="1" t="s">
        <v>9</v>
      </c>
      <c r="AC3" s="1" t="s">
        <v>10</v>
      </c>
      <c r="AD3" s="1" t="s">
        <v>537</v>
      </c>
      <c r="AF3" s="109" t="s">
        <v>262</v>
      </c>
      <c r="AG3" s="109" t="s">
        <v>260</v>
      </c>
      <c r="AH3" s="111" t="s">
        <v>261</v>
      </c>
      <c r="AI3" s="109" t="s">
        <v>262</v>
      </c>
      <c r="AJ3" s="109" t="s">
        <v>260</v>
      </c>
      <c r="AK3" s="109" t="s">
        <v>261</v>
      </c>
    </row>
    <row r="4" spans="1:37" s="1" customFormat="1" ht="15.75" thickBot="1" x14ac:dyDescent="0.3">
      <c r="A4" s="2" t="s">
        <v>11</v>
      </c>
      <c r="B4" s="17" t="s">
        <v>72</v>
      </c>
      <c r="C4" s="3">
        <v>2022</v>
      </c>
      <c r="D4" s="3">
        <v>2021</v>
      </c>
      <c r="E4" s="3">
        <v>2020</v>
      </c>
      <c r="F4" s="3">
        <v>2019</v>
      </c>
      <c r="G4" s="3">
        <v>2018</v>
      </c>
      <c r="H4" s="3">
        <v>2017</v>
      </c>
      <c r="I4" s="3">
        <v>2016</v>
      </c>
      <c r="K4" s="17" t="s">
        <v>72</v>
      </c>
      <c r="L4" s="3">
        <v>2022</v>
      </c>
      <c r="M4" s="3">
        <v>2021</v>
      </c>
      <c r="N4" s="3">
        <v>2020</v>
      </c>
      <c r="O4" s="3">
        <v>2019</v>
      </c>
      <c r="P4" s="3">
        <v>2018</v>
      </c>
      <c r="Q4" s="3">
        <v>2017</v>
      </c>
      <c r="R4" s="3">
        <v>2016</v>
      </c>
      <c r="T4" s="4" t="s">
        <v>12</v>
      </c>
      <c r="U4" s="4" t="s">
        <v>12</v>
      </c>
      <c r="V4" s="4" t="s">
        <v>12</v>
      </c>
      <c r="W4" s="4" t="s">
        <v>13</v>
      </c>
      <c r="X4" s="21" t="s">
        <v>72</v>
      </c>
      <c r="Y4" s="3">
        <v>2022</v>
      </c>
      <c r="Z4" s="3">
        <v>2021</v>
      </c>
      <c r="AA4" s="3">
        <v>2020</v>
      </c>
      <c r="AB4" s="3">
        <v>2019</v>
      </c>
      <c r="AC4" s="3">
        <v>2018</v>
      </c>
      <c r="AD4" s="3">
        <v>2017</v>
      </c>
      <c r="AE4" s="7"/>
      <c r="AF4" s="110">
        <v>2023</v>
      </c>
      <c r="AG4" s="110">
        <v>2023</v>
      </c>
      <c r="AH4" s="112">
        <v>2023</v>
      </c>
      <c r="AI4" s="110">
        <v>2022</v>
      </c>
      <c r="AJ4" s="110">
        <v>2022</v>
      </c>
      <c r="AK4" s="110">
        <v>2022</v>
      </c>
    </row>
    <row r="5" spans="1:37" x14ac:dyDescent="0.25">
      <c r="A5" s="33" t="s">
        <v>79</v>
      </c>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142"/>
      <c r="AI5" s="57"/>
      <c r="AJ5" s="57"/>
      <c r="AK5" s="57"/>
    </row>
    <row r="6" spans="1:37" x14ac:dyDescent="0.25">
      <c r="A6" s="14" t="s">
        <v>14</v>
      </c>
      <c r="B6" s="27">
        <f>AG6+AH6+C6-(AJ6+AK6)</f>
        <v>38.299999999999997</v>
      </c>
      <c r="C6" s="28">
        <v>33.299999999999997</v>
      </c>
      <c r="D6" s="28">
        <v>45.5</v>
      </c>
      <c r="E6" s="28">
        <v>38.5</v>
      </c>
      <c r="F6" s="28">
        <v>33</v>
      </c>
      <c r="G6" s="28">
        <v>40.6</v>
      </c>
      <c r="H6" s="28">
        <v>60.3</v>
      </c>
      <c r="I6" s="336">
        <v>20.8</v>
      </c>
      <c r="J6" s="57"/>
      <c r="K6" s="58">
        <f>B6/$B$23</f>
        <v>2.0067064864298441E-2</v>
      </c>
      <c r="L6" s="58">
        <f>C6/$C$23</f>
        <v>1.9457753885707606E-2</v>
      </c>
      <c r="M6" s="58">
        <f>D6/$D$23</f>
        <v>2.7378301943558576E-2</v>
      </c>
      <c r="N6" s="58">
        <f>E6/$E$23</f>
        <v>2.4083573126485673E-2</v>
      </c>
      <c r="O6" s="58">
        <f>F6/$F$23</f>
        <v>2.1091652818611785E-2</v>
      </c>
      <c r="P6" s="58">
        <f>G6/$G$23</f>
        <v>2.7434286100412188E-2</v>
      </c>
      <c r="Q6" s="58">
        <f>H6/$H$23</f>
        <v>5.024162639560073E-2</v>
      </c>
      <c r="R6" s="58">
        <f>I6/$I$23</f>
        <v>1.9126436781609198E-2</v>
      </c>
      <c r="S6" s="57"/>
      <c r="T6" s="58">
        <f>_xlfn.RRI(6,I6,C6)</f>
        <v>8.1592041695750739E-2</v>
      </c>
      <c r="U6" s="58">
        <f>_xlfn.RRI(5.5,H6,B6)</f>
        <v>-7.921069609917375E-2</v>
      </c>
      <c r="V6" s="58">
        <f>_xlfn.RRI(5,H6,C6)</f>
        <v>-0.11197460759608902</v>
      </c>
      <c r="W6" s="58">
        <f>AVERAGE(X6:AC6)</f>
        <v>-4.7231470314331871E-2</v>
      </c>
      <c r="X6" s="58">
        <f t="shared" ref="X6:AD6" si="0">(B6-C6)/C6</f>
        <v>0.15015015015015015</v>
      </c>
      <c r="Y6" s="58">
        <f t="shared" si="0"/>
        <v>-0.26813186813186818</v>
      </c>
      <c r="Z6" s="58">
        <f t="shared" si="0"/>
        <v>0.18181818181818182</v>
      </c>
      <c r="AA6" s="58">
        <f t="shared" si="0"/>
        <v>0.16666666666666666</v>
      </c>
      <c r="AB6" s="58">
        <f t="shared" si="0"/>
        <v>-0.18719211822660101</v>
      </c>
      <c r="AC6" s="58">
        <f t="shared" si="0"/>
        <v>-0.32669983416252069</v>
      </c>
      <c r="AD6" s="58">
        <f t="shared" si="0"/>
        <v>1.8990384615384615</v>
      </c>
      <c r="AE6" s="57"/>
      <c r="AF6" s="57"/>
      <c r="AG6" s="28">
        <v>48.2</v>
      </c>
      <c r="AH6" s="143">
        <v>46.4</v>
      </c>
      <c r="AI6" s="134"/>
      <c r="AJ6" s="28">
        <v>40.4</v>
      </c>
      <c r="AK6" s="28">
        <v>49.2</v>
      </c>
    </row>
    <row r="7" spans="1:37" x14ac:dyDescent="0.25">
      <c r="A7" s="14" t="s">
        <v>312</v>
      </c>
      <c r="B7" s="118">
        <f>AG7+AH7+C7-(AJ7+AK7)</f>
        <v>0</v>
      </c>
      <c r="C7" s="186">
        <v>0</v>
      </c>
      <c r="D7" s="186">
        <v>0</v>
      </c>
      <c r="E7" s="186">
        <v>0</v>
      </c>
      <c r="F7" s="186">
        <v>0</v>
      </c>
      <c r="G7" s="186">
        <v>0</v>
      </c>
      <c r="H7" s="186">
        <v>0</v>
      </c>
      <c r="I7" s="334">
        <v>0</v>
      </c>
      <c r="J7" s="57"/>
      <c r="K7" s="58"/>
      <c r="L7" s="58"/>
      <c r="M7" s="58"/>
      <c r="N7" s="58"/>
      <c r="O7" s="58"/>
      <c r="P7" s="58"/>
      <c r="Q7" s="58"/>
      <c r="R7" s="58"/>
      <c r="S7" s="57"/>
      <c r="T7" s="58"/>
      <c r="U7" s="58"/>
      <c r="V7" s="58"/>
      <c r="W7" s="58"/>
      <c r="X7" s="58"/>
      <c r="Y7" s="58"/>
      <c r="Z7" s="58"/>
      <c r="AA7" s="58"/>
      <c r="AB7" s="58"/>
      <c r="AC7" s="58"/>
      <c r="AD7" s="58"/>
      <c r="AE7" s="57"/>
      <c r="AF7" s="57"/>
      <c r="AG7" s="28"/>
      <c r="AH7" s="143"/>
      <c r="AI7" s="134"/>
      <c r="AJ7" s="28"/>
      <c r="AK7" s="28"/>
    </row>
    <row r="8" spans="1:37" x14ac:dyDescent="0.25">
      <c r="A8" s="14" t="str">
        <f>A441</f>
        <v>Accounts receivable, net (See Note)</v>
      </c>
      <c r="B8" s="118">
        <f>AG8+AH8+C8-(AJ8+AK8)</f>
        <v>262.60000000000002</v>
      </c>
      <c r="C8" s="8">
        <f t="shared" ref="C8:I8" si="1">C441</f>
        <v>215.7</v>
      </c>
      <c r="D8" s="8">
        <f t="shared" si="1"/>
        <v>182.79999999999998</v>
      </c>
      <c r="E8" s="8">
        <f t="shared" si="1"/>
        <v>175.1</v>
      </c>
      <c r="F8" s="8">
        <f t="shared" si="1"/>
        <v>163.9</v>
      </c>
      <c r="G8" s="8">
        <f t="shared" si="1"/>
        <v>189.7</v>
      </c>
      <c r="H8" s="8">
        <f>H441</f>
        <v>159.19999999999999</v>
      </c>
      <c r="I8" s="8">
        <f t="shared" si="1"/>
        <v>136.79999999999998</v>
      </c>
      <c r="J8" s="57"/>
      <c r="K8" s="58">
        <f t="shared" ref="K8:K23" si="2">B8/$B$23</f>
        <v>0.13758776066226558</v>
      </c>
      <c r="L8" s="58">
        <f t="shared" ref="L8:L23" si="3">C8/$C$23</f>
        <v>0.12603716255697089</v>
      </c>
      <c r="M8" s="58">
        <f t="shared" ref="M8:M23" si="4">D8/$D$23</f>
        <v>0.10999458451170345</v>
      </c>
      <c r="N8" s="58">
        <f t="shared" ref="N8:N23" si="5">E8/$E$23</f>
        <v>0.10953334167396471</v>
      </c>
      <c r="O8" s="58">
        <f t="shared" ref="O8:O23" si="6">F8/$F$23</f>
        <v>0.1047552089991052</v>
      </c>
      <c r="P8" s="58">
        <f t="shared" ref="P8:P23" si="7">G8/$G$23</f>
        <v>0.1281843367795121</v>
      </c>
      <c r="Q8" s="58">
        <f t="shared" ref="Q8:Q23" si="8">H8/$H$23</f>
        <v>0.13264455924012664</v>
      </c>
      <c r="R8" s="58">
        <f t="shared" ref="R8:R42" si="9">I8/$I$23</f>
        <v>0.12579310344827585</v>
      </c>
      <c r="S8" s="57"/>
      <c r="T8" s="58">
        <f t="shared" ref="T8:T42" si="10">_xlfn.RRI(6,I8,C8)</f>
        <v>7.8849027990233411E-2</v>
      </c>
      <c r="U8" s="58">
        <f>_xlfn.RRI(5.5,H8,B8)</f>
        <v>9.5263168178929103E-2</v>
      </c>
      <c r="V8" s="58">
        <f t="shared" ref="V8:V17" si="11">_xlfn.RRI(5,H8,C8)</f>
        <v>6.2628394073854121E-2</v>
      </c>
      <c r="W8" s="58">
        <f t="shared" ref="W8:W42" si="12">AVERAGE(X8:AC8)</f>
        <v>9.4216275875541836E-2</v>
      </c>
      <c r="X8" s="58">
        <f t="shared" ref="X8:X17" si="13">(B8-C8)/C8</f>
        <v>0.21743161798794639</v>
      </c>
      <c r="Y8" s="58">
        <f t="shared" ref="Y8:Y17" si="14">(C8-D8)/D8</f>
        <v>0.17997811816192566</v>
      </c>
      <c r="Z8" s="58">
        <f t="shared" ref="Z8:Z17" si="15">(D8-E8)/E8</f>
        <v>4.3974871501998795E-2</v>
      </c>
      <c r="AA8" s="58">
        <f t="shared" ref="AA8:AA17" si="16">(E8-F8)/F8</f>
        <v>6.8334350213544767E-2</v>
      </c>
      <c r="AB8" s="58">
        <f t="shared" ref="AB8:AB17" si="17">(F8-G8)/G8</f>
        <v>-0.13600421718502892</v>
      </c>
      <c r="AC8" s="58">
        <f t="shared" ref="AC8:AC17" si="18">(G8-H8)/H8</f>
        <v>0.19158291457286433</v>
      </c>
      <c r="AD8" s="58">
        <f t="shared" ref="AD8:AD17" si="19">(H8-I8)/I8</f>
        <v>0.16374269005847961</v>
      </c>
      <c r="AE8" s="57"/>
      <c r="AF8" s="57"/>
      <c r="AG8" s="8">
        <f>AG441</f>
        <v>258.3</v>
      </c>
      <c r="AH8" s="144">
        <f>AH441</f>
        <v>241.60000000000002</v>
      </c>
      <c r="AI8" s="135"/>
      <c r="AJ8" s="8">
        <f t="shared" ref="AJ8:AK8" si="20">AJ441</f>
        <v>229.5</v>
      </c>
      <c r="AK8" s="8">
        <f t="shared" si="20"/>
        <v>223.5</v>
      </c>
    </row>
    <row r="9" spans="1:37" x14ac:dyDescent="0.25">
      <c r="A9" s="14" t="str">
        <f>A447</f>
        <v>Inventories, net (See Note)</v>
      </c>
      <c r="B9" s="118">
        <f>AG9+AH9+C9-(AJ9+AK9)</f>
        <v>451.69999999999993</v>
      </c>
      <c r="C9" s="8">
        <f t="shared" ref="C9:I9" si="21">C447</f>
        <v>355.70000000000005</v>
      </c>
      <c r="D9" s="8">
        <f t="shared" si="21"/>
        <v>313.8</v>
      </c>
      <c r="E9" s="8">
        <f t="shared" si="21"/>
        <v>295.79999999999995</v>
      </c>
      <c r="F9" s="8">
        <f t="shared" si="21"/>
        <v>299.09999999999997</v>
      </c>
      <c r="G9" s="8">
        <f t="shared" si="21"/>
        <v>284.70000000000005</v>
      </c>
      <c r="H9" s="8">
        <f t="shared" si="21"/>
        <v>236.89999999999998</v>
      </c>
      <c r="I9" s="8">
        <f t="shared" si="21"/>
        <v>228.7</v>
      </c>
      <c r="J9" s="57"/>
      <c r="K9" s="58">
        <f t="shared" si="2"/>
        <v>0.236665618778162</v>
      </c>
      <c r="L9" s="58">
        <f t="shared" si="3"/>
        <v>0.20784153324763352</v>
      </c>
      <c r="M9" s="58">
        <f t="shared" si="4"/>
        <v>0.1888200252722787</v>
      </c>
      <c r="N9" s="58">
        <f t="shared" si="5"/>
        <v>0.18503690729388211</v>
      </c>
      <c r="O9" s="58">
        <f t="shared" si="6"/>
        <v>0.19116707145596315</v>
      </c>
      <c r="P9" s="58">
        <f t="shared" si="7"/>
        <v>0.19237786336914658</v>
      </c>
      <c r="Q9" s="58">
        <f t="shared" si="8"/>
        <v>0.19738376937177135</v>
      </c>
      <c r="R9" s="58">
        <f t="shared" si="9"/>
        <v>0.21029885057471262</v>
      </c>
      <c r="S9" s="57"/>
      <c r="T9" s="58">
        <f t="shared" si="10"/>
        <v>7.6389906770458982E-2</v>
      </c>
      <c r="U9" s="58">
        <f>_xlfn.RRI(5.5,H9,B9)</f>
        <v>0.12450376671350205</v>
      </c>
      <c r="V9" s="58">
        <f t="shared" si="11"/>
        <v>8.4685315966525287E-2</v>
      </c>
      <c r="W9" s="58">
        <f>AVERAGE(X9:AC9)</f>
        <v>0.11759769667185822</v>
      </c>
      <c r="X9" s="58">
        <f t="shared" si="13"/>
        <v>0.26989035704245112</v>
      </c>
      <c r="Y9" s="58">
        <f t="shared" si="14"/>
        <v>0.13352453792224356</v>
      </c>
      <c r="Z9" s="58">
        <f t="shared" si="15"/>
        <v>6.0851926977687827E-2</v>
      </c>
      <c r="AA9" s="58">
        <f t="shared" si="16"/>
        <v>-1.1033099297893719E-2</v>
      </c>
      <c r="AB9" s="58">
        <f t="shared" si="17"/>
        <v>5.0579557428872213E-2</v>
      </c>
      <c r="AC9" s="58">
        <f t="shared" si="18"/>
        <v>0.20177289995778841</v>
      </c>
      <c r="AD9" s="58">
        <f t="shared" si="19"/>
        <v>3.5854831657192783E-2</v>
      </c>
      <c r="AE9" s="57"/>
      <c r="AF9" s="57"/>
      <c r="AG9" s="8">
        <f>AG447</f>
        <v>373.1</v>
      </c>
      <c r="AH9" s="144">
        <f>AH447</f>
        <v>379.2</v>
      </c>
      <c r="AI9" s="135"/>
      <c r="AJ9" s="8">
        <f>AJ447</f>
        <v>326.60000000000002</v>
      </c>
      <c r="AK9" s="8">
        <f>AK447</f>
        <v>329.70000000000005</v>
      </c>
    </row>
    <row r="10" spans="1:37" x14ac:dyDescent="0.25">
      <c r="A10" s="14" t="str">
        <f t="shared" ref="A10:I10" si="22">A454</f>
        <v>Other Current Assets (See Note)</v>
      </c>
      <c r="B10" s="120">
        <f t="shared" si="22"/>
        <v>-17.299999999999997</v>
      </c>
      <c r="C10" s="120">
        <f t="shared" si="22"/>
        <v>32.1</v>
      </c>
      <c r="D10" s="120">
        <f t="shared" si="22"/>
        <v>86</v>
      </c>
      <c r="E10" s="120">
        <f t="shared" si="22"/>
        <v>55.1</v>
      </c>
      <c r="F10" s="120">
        <f t="shared" si="22"/>
        <v>23.5</v>
      </c>
      <c r="G10" s="120">
        <f t="shared" si="22"/>
        <v>25.3</v>
      </c>
      <c r="H10" s="120">
        <f t="shared" si="22"/>
        <v>50.300000000000004</v>
      </c>
      <c r="I10" s="120">
        <f t="shared" si="22"/>
        <v>51.8</v>
      </c>
      <c r="J10" s="57"/>
      <c r="K10" s="59">
        <f t="shared" si="2"/>
        <v>-9.0642355653358479E-3</v>
      </c>
      <c r="L10" s="59">
        <f t="shared" si="3"/>
        <v>1.8756573565501929E-2</v>
      </c>
      <c r="M10" s="59">
        <f t="shared" si="4"/>
        <v>5.1747999277934893E-2</v>
      </c>
      <c r="N10" s="59">
        <f t="shared" si="5"/>
        <v>3.4467659201801573E-2</v>
      </c>
      <c r="O10" s="59">
        <f t="shared" si="6"/>
        <v>1.5019813370829603E-2</v>
      </c>
      <c r="P10" s="59">
        <f t="shared" si="7"/>
        <v>1.7095749712818433E-2</v>
      </c>
      <c r="Q10" s="59">
        <f t="shared" si="8"/>
        <v>4.1909681719713383E-2</v>
      </c>
      <c r="R10" s="59">
        <f t="shared" si="9"/>
        <v>4.7632183908045973E-2</v>
      </c>
      <c r="S10" s="57"/>
      <c r="T10" s="59">
        <f t="shared" si="10"/>
        <v>-7.6658096295565636E-2</v>
      </c>
      <c r="U10" s="59"/>
      <c r="V10" s="59">
        <f t="shared" si="11"/>
        <v>-8.5913258989770425E-2</v>
      </c>
      <c r="W10" s="59">
        <f>AVERAGE(X10:AC10)</f>
        <v>-0.13806162242676315</v>
      </c>
      <c r="X10" s="59">
        <f t="shared" si="13"/>
        <v>-1.5389408099688473</v>
      </c>
      <c r="Y10" s="59">
        <f t="shared" si="14"/>
        <v>-0.62674418604651161</v>
      </c>
      <c r="Z10" s="59">
        <f t="shared" si="15"/>
        <v>0.56079854809437379</v>
      </c>
      <c r="AA10" s="59">
        <f t="shared" si="16"/>
        <v>1.34468085106383</v>
      </c>
      <c r="AB10" s="59">
        <f t="shared" si="17"/>
        <v>-7.1146245059288557E-2</v>
      </c>
      <c r="AC10" s="59">
        <f t="shared" si="18"/>
        <v>-0.49701789264413521</v>
      </c>
      <c r="AD10" s="59">
        <f t="shared" si="19"/>
        <v>-2.8957528957528823E-2</v>
      </c>
      <c r="AE10" s="57"/>
      <c r="AF10" s="73"/>
      <c r="AG10" s="23">
        <f>AG454</f>
        <v>33.9</v>
      </c>
      <c r="AH10" s="146">
        <f>AH454</f>
        <v>43.400000000000006</v>
      </c>
      <c r="AI10" s="136"/>
      <c r="AJ10" s="23">
        <f>AJ454</f>
        <v>44.9</v>
      </c>
      <c r="AK10" s="23">
        <f>AK454</f>
        <v>81.8</v>
      </c>
    </row>
    <row r="11" spans="1:37" x14ac:dyDescent="0.25">
      <c r="A11" s="6" t="s">
        <v>26</v>
      </c>
      <c r="B11" s="24">
        <f>SUM(B6:B10)</f>
        <v>735.3</v>
      </c>
      <c r="C11" s="24">
        <f t="shared" ref="C11:I11" si="23">SUM(C6:C10)</f>
        <v>636.80000000000007</v>
      </c>
      <c r="D11" s="24">
        <f t="shared" si="23"/>
        <v>628.1</v>
      </c>
      <c r="E11" s="24">
        <f t="shared" si="23"/>
        <v>564.5</v>
      </c>
      <c r="F11" s="24">
        <f t="shared" si="23"/>
        <v>519.5</v>
      </c>
      <c r="G11" s="24">
        <f t="shared" si="23"/>
        <v>540.29999999999995</v>
      </c>
      <c r="H11" s="24">
        <f t="shared" si="23"/>
        <v>506.7</v>
      </c>
      <c r="I11" s="24">
        <f t="shared" si="23"/>
        <v>438.09999999999997</v>
      </c>
      <c r="J11" s="60"/>
      <c r="K11" s="20">
        <f t="shared" si="2"/>
        <v>0.38525620873939015</v>
      </c>
      <c r="L11" s="20">
        <f t="shared" si="3"/>
        <v>0.37209302325581395</v>
      </c>
      <c r="M11" s="20">
        <f t="shared" si="4"/>
        <v>0.37794091100547567</v>
      </c>
      <c r="N11" s="20">
        <f t="shared" si="5"/>
        <v>0.35312148129613408</v>
      </c>
      <c r="O11" s="20">
        <f t="shared" si="6"/>
        <v>0.33203374664450974</v>
      </c>
      <c r="P11" s="20">
        <f t="shared" si="7"/>
        <v>0.36509223596188928</v>
      </c>
      <c r="Q11" s="20">
        <f t="shared" si="8"/>
        <v>0.42217963672721209</v>
      </c>
      <c r="R11" s="58">
        <f t="shared" si="9"/>
        <v>0.40285057471264363</v>
      </c>
      <c r="S11" s="57"/>
      <c r="T11" s="58">
        <f t="shared" si="10"/>
        <v>6.4318555047526482E-2</v>
      </c>
      <c r="U11" s="20">
        <f t="shared" ref="U11:U17" si="24">_xlfn.RRI(5.5,H11,B11)</f>
        <v>7.0046088833003672E-2</v>
      </c>
      <c r="V11" s="20">
        <f t="shared" si="11"/>
        <v>4.6767981741521858E-2</v>
      </c>
      <c r="W11" s="20">
        <f t="shared" si="12"/>
        <v>6.5938844886603509E-2</v>
      </c>
      <c r="X11" s="20">
        <f t="shared" si="13"/>
        <v>0.15467964824120584</v>
      </c>
      <c r="Y11" s="20">
        <f t="shared" si="14"/>
        <v>1.3851297564082224E-2</v>
      </c>
      <c r="Z11" s="20">
        <f t="shared" si="15"/>
        <v>0.112666076173605</v>
      </c>
      <c r="AA11" s="20">
        <f t="shared" si="16"/>
        <v>8.662175168431184E-2</v>
      </c>
      <c r="AB11" s="20">
        <f t="shared" si="17"/>
        <v>-3.8497131223394328E-2</v>
      </c>
      <c r="AC11" s="20">
        <f t="shared" si="18"/>
        <v>6.6311426879810467E-2</v>
      </c>
      <c r="AD11" s="20">
        <f t="shared" si="19"/>
        <v>0.15658525450810323</v>
      </c>
      <c r="AE11" s="57"/>
      <c r="AF11" s="57"/>
      <c r="AG11" s="56">
        <f>SUM(AG6:AG10)</f>
        <v>713.5</v>
      </c>
      <c r="AH11" s="147">
        <f t="shared" ref="AH11:AK11" si="25">SUM(AH6:AH10)</f>
        <v>710.6</v>
      </c>
      <c r="AI11" s="56"/>
      <c r="AJ11" s="56">
        <f t="shared" si="25"/>
        <v>641.4</v>
      </c>
      <c r="AK11" s="56">
        <f t="shared" si="25"/>
        <v>684.2</v>
      </c>
    </row>
    <row r="12" spans="1:37" x14ac:dyDescent="0.25">
      <c r="A12" s="14" t="s">
        <v>28</v>
      </c>
      <c r="B12" s="177">
        <f>AG12+AH12+C12-(AJ12+AK12)</f>
        <v>19.700000000000003</v>
      </c>
      <c r="C12" s="9">
        <v>15</v>
      </c>
      <c r="D12" s="9">
        <v>15.2</v>
      </c>
      <c r="E12" s="9">
        <v>16.7</v>
      </c>
      <c r="F12" s="9">
        <v>17.399999999999999</v>
      </c>
      <c r="G12" s="9">
        <v>17.5</v>
      </c>
      <c r="H12" s="9">
        <v>17.600000000000001</v>
      </c>
      <c r="I12" s="337">
        <v>17</v>
      </c>
      <c r="J12" s="57"/>
      <c r="K12" s="58">
        <f t="shared" si="2"/>
        <v>1.0321701770931576E-2</v>
      </c>
      <c r="L12" s="58">
        <f t="shared" si="3"/>
        <v>8.7647540025709934E-3</v>
      </c>
      <c r="M12" s="58">
        <f t="shared" si="4"/>
        <v>9.1461580119140736E-3</v>
      </c>
      <c r="N12" s="58">
        <f t="shared" si="5"/>
        <v>1.044664081070937E-2</v>
      </c>
      <c r="O12" s="58">
        <f t="shared" si="6"/>
        <v>1.112105330435894E-2</v>
      </c>
      <c r="P12" s="58">
        <f t="shared" si="7"/>
        <v>1.1825123319143184E-2</v>
      </c>
      <c r="Q12" s="58">
        <f t="shared" si="8"/>
        <v>1.4664222629561741E-2</v>
      </c>
      <c r="R12" s="58">
        <f t="shared" si="9"/>
        <v>1.5632183908045976E-2</v>
      </c>
      <c r="S12" s="57"/>
      <c r="T12" s="58">
        <f t="shared" si="10"/>
        <v>-2.0644448190417219E-2</v>
      </c>
      <c r="U12" s="58">
        <f t="shared" si="24"/>
        <v>2.0705951319974769E-2</v>
      </c>
      <c r="V12" s="58">
        <f t="shared" si="11"/>
        <v>-3.1464110650661237E-2</v>
      </c>
      <c r="W12" s="58">
        <f t="shared" si="12"/>
        <v>2.6454848393579852E-2</v>
      </c>
      <c r="X12" s="58">
        <f t="shared" si="13"/>
        <v>0.31333333333333352</v>
      </c>
      <c r="Y12" s="58">
        <f t="shared" si="14"/>
        <v>-1.3157894736842059E-2</v>
      </c>
      <c r="Z12" s="58">
        <f t="shared" si="15"/>
        <v>-8.9820359281437126E-2</v>
      </c>
      <c r="AA12" s="58">
        <f t="shared" si="16"/>
        <v>-4.0229885057471229E-2</v>
      </c>
      <c r="AB12" s="58">
        <f t="shared" si="17"/>
        <v>-5.7142857142857958E-3</v>
      </c>
      <c r="AC12" s="58">
        <f t="shared" si="18"/>
        <v>-5.6818181818182618E-3</v>
      </c>
      <c r="AD12" s="58">
        <f t="shared" si="19"/>
        <v>3.5294117647058906E-2</v>
      </c>
      <c r="AE12" s="57"/>
      <c r="AF12" s="57"/>
      <c r="AG12" s="9">
        <v>18.2</v>
      </c>
      <c r="AH12" s="148">
        <v>15</v>
      </c>
      <c r="AI12" s="53"/>
      <c r="AJ12" s="9">
        <v>14</v>
      </c>
      <c r="AK12" s="9">
        <v>14.5</v>
      </c>
    </row>
    <row r="13" spans="1:37" x14ac:dyDescent="0.25">
      <c r="A13" s="14" t="s">
        <v>29</v>
      </c>
      <c r="B13" s="118">
        <f>AG13+AH13+C13-(AJ13+AK13)</f>
        <v>90.099999999999966</v>
      </c>
      <c r="C13" s="9">
        <v>80.3</v>
      </c>
      <c r="D13" s="9">
        <v>75.8</v>
      </c>
      <c r="E13" s="9">
        <v>75</v>
      </c>
      <c r="F13" s="9">
        <v>90.6</v>
      </c>
      <c r="G13" s="9">
        <v>65.099999999999994</v>
      </c>
      <c r="H13" s="9">
        <v>63.4</v>
      </c>
      <c r="I13" s="337">
        <v>58.2</v>
      </c>
      <c r="J13" s="57"/>
      <c r="K13" s="58">
        <f t="shared" si="2"/>
        <v>4.7207377135072816E-2</v>
      </c>
      <c r="L13" s="58">
        <f t="shared" si="3"/>
        <v>4.6920649760430054E-2</v>
      </c>
      <c r="M13" s="58">
        <f t="shared" si="4"/>
        <v>4.5610445875203076E-2</v>
      </c>
      <c r="N13" s="58">
        <f t="shared" si="5"/>
        <v>4.6916051545101957E-2</v>
      </c>
      <c r="O13" s="58">
        <f t="shared" si="6"/>
        <v>5.7906174102006894E-2</v>
      </c>
      <c r="P13" s="58">
        <f t="shared" si="7"/>
        <v>4.3989458747212641E-2</v>
      </c>
      <c r="Q13" s="58">
        <f t="shared" si="8"/>
        <v>5.2824529245125811E-2</v>
      </c>
      <c r="R13" s="58">
        <f t="shared" si="9"/>
        <v>5.3517241379310347E-2</v>
      </c>
      <c r="S13" s="57"/>
      <c r="T13" s="58">
        <f t="shared" si="10"/>
        <v>5.5112480362825789E-2</v>
      </c>
      <c r="U13" s="58">
        <f t="shared" si="24"/>
        <v>6.5987016505498541E-2</v>
      </c>
      <c r="V13" s="58">
        <f t="shared" si="11"/>
        <v>4.8395763879995002E-2</v>
      </c>
      <c r="W13" s="58">
        <f t="shared" si="12"/>
        <v>7.3068213548589112E-2</v>
      </c>
      <c r="X13" s="58">
        <f t="shared" si="13"/>
        <v>0.12204234122042303</v>
      </c>
      <c r="Y13" s="58">
        <f t="shared" si="14"/>
        <v>5.9366754617414252E-2</v>
      </c>
      <c r="Z13" s="58">
        <f t="shared" si="15"/>
        <v>1.0666666666666628E-2</v>
      </c>
      <c r="AA13" s="58">
        <f t="shared" si="16"/>
        <v>-0.17218543046357609</v>
      </c>
      <c r="AB13" s="58">
        <f t="shared" si="17"/>
        <v>0.39170506912442399</v>
      </c>
      <c r="AC13" s="58">
        <f t="shared" si="18"/>
        <v>2.6813880126182899E-2</v>
      </c>
      <c r="AD13" s="58">
        <f t="shared" si="19"/>
        <v>8.9347079037800606E-2</v>
      </c>
      <c r="AE13" s="57"/>
      <c r="AF13" s="57"/>
      <c r="AG13" s="9">
        <v>80</v>
      </c>
      <c r="AH13" s="148">
        <v>80.400000000000006</v>
      </c>
      <c r="AI13" s="53"/>
      <c r="AJ13" s="9">
        <v>74.400000000000006</v>
      </c>
      <c r="AK13" s="9">
        <v>76.2</v>
      </c>
    </row>
    <row r="14" spans="1:37" x14ac:dyDescent="0.25">
      <c r="A14" s="14" t="s">
        <v>30</v>
      </c>
      <c r="B14" s="120">
        <f>AG14+AH14+C14-(AJ14+AK14)</f>
        <v>1067.4000000000001</v>
      </c>
      <c r="C14" s="10">
        <v>924.1</v>
      </c>
      <c r="D14" s="10">
        <v>836.8</v>
      </c>
      <c r="E14" s="10">
        <v>812.1</v>
      </c>
      <c r="F14" s="10">
        <v>786.1</v>
      </c>
      <c r="G14" s="10">
        <v>800.9</v>
      </c>
      <c r="H14" s="10">
        <v>756.6</v>
      </c>
      <c r="I14" s="340">
        <v>716</v>
      </c>
      <c r="J14" s="57"/>
      <c r="K14" s="59">
        <f t="shared" si="2"/>
        <v>0.55925809493869871</v>
      </c>
      <c r="L14" s="59">
        <f t="shared" si="3"/>
        <v>0.53996727825172375</v>
      </c>
      <c r="M14" s="59">
        <f t="shared" si="4"/>
        <v>0.50352006739274324</v>
      </c>
      <c r="N14" s="59">
        <f t="shared" si="5"/>
        <v>0.50800700613036409</v>
      </c>
      <c r="O14" s="59">
        <f t="shared" si="6"/>
        <v>0.50242873577911284</v>
      </c>
      <c r="P14" s="59">
        <f t="shared" si="7"/>
        <v>0.54118521521724439</v>
      </c>
      <c r="Q14" s="59">
        <f t="shared" si="8"/>
        <v>0.63039493417763703</v>
      </c>
      <c r="R14" s="59">
        <f t="shared" si="9"/>
        <v>0.65839080459770116</v>
      </c>
      <c r="S14" s="57"/>
      <c r="T14" s="59">
        <f t="shared" si="10"/>
        <v>4.3440424585214243E-2</v>
      </c>
      <c r="U14" s="59">
        <f t="shared" si="24"/>
        <v>6.4571173352800049E-2</v>
      </c>
      <c r="V14" s="59">
        <f t="shared" si="11"/>
        <v>4.080777222680676E-2</v>
      </c>
      <c r="W14" s="59">
        <f t="shared" si="12"/>
        <v>6.0492941792961059E-2</v>
      </c>
      <c r="X14" s="59">
        <f t="shared" si="13"/>
        <v>0.15506979764094803</v>
      </c>
      <c r="Y14" s="59">
        <f t="shared" si="14"/>
        <v>0.10432600382409186</v>
      </c>
      <c r="Z14" s="59">
        <f t="shared" si="15"/>
        <v>3.0414973525427817E-2</v>
      </c>
      <c r="AA14" s="59">
        <f t="shared" si="16"/>
        <v>3.3074672433532626E-2</v>
      </c>
      <c r="AB14" s="59">
        <f t="shared" si="17"/>
        <v>-1.8479210887751223E-2</v>
      </c>
      <c r="AC14" s="59">
        <f t="shared" si="18"/>
        <v>5.8551414221517252E-2</v>
      </c>
      <c r="AD14" s="59">
        <f t="shared" si="19"/>
        <v>5.670391061452517E-2</v>
      </c>
      <c r="AE14" s="57"/>
      <c r="AF14" s="73"/>
      <c r="AG14" s="10">
        <v>954.5</v>
      </c>
      <c r="AH14" s="149">
        <v>929.5</v>
      </c>
      <c r="AI14" s="54"/>
      <c r="AJ14" s="10">
        <v>875.9</v>
      </c>
      <c r="AK14" s="10">
        <v>864.8</v>
      </c>
    </row>
    <row r="15" spans="1:37" x14ac:dyDescent="0.25">
      <c r="A15" s="6" t="s">
        <v>314</v>
      </c>
      <c r="B15" s="193">
        <f>SUM(B12:B14)</f>
        <v>1177.2</v>
      </c>
      <c r="C15" s="193">
        <f t="shared" ref="C15:I15" si="26">SUM(C12:C14)</f>
        <v>1019.4</v>
      </c>
      <c r="D15" s="193">
        <f t="shared" si="26"/>
        <v>927.8</v>
      </c>
      <c r="E15" s="193">
        <f t="shared" si="26"/>
        <v>903.80000000000007</v>
      </c>
      <c r="F15" s="193">
        <f t="shared" si="26"/>
        <v>894.1</v>
      </c>
      <c r="G15" s="193">
        <f t="shared" si="26"/>
        <v>883.5</v>
      </c>
      <c r="H15" s="193">
        <f t="shared" si="26"/>
        <v>837.6</v>
      </c>
      <c r="I15" s="193">
        <f t="shared" si="26"/>
        <v>791.2</v>
      </c>
      <c r="J15" s="57"/>
      <c r="K15" s="58">
        <f t="shared" si="2"/>
        <v>0.61678717384470305</v>
      </c>
      <c r="L15" s="58">
        <f t="shared" si="3"/>
        <v>0.59565268201472477</v>
      </c>
      <c r="M15" s="58">
        <f t="shared" si="4"/>
        <v>0.55827667127986036</v>
      </c>
      <c r="N15" s="58">
        <f t="shared" si="5"/>
        <v>0.56536969848617535</v>
      </c>
      <c r="O15" s="58">
        <f t="shared" si="6"/>
        <v>0.57145596318547864</v>
      </c>
      <c r="P15" s="58">
        <f t="shared" si="7"/>
        <v>0.5969997972836002</v>
      </c>
      <c r="Q15" s="58">
        <f t="shared" si="8"/>
        <v>0.69788368605232465</v>
      </c>
      <c r="R15" s="58">
        <f t="shared" si="9"/>
        <v>0.72754022988505751</v>
      </c>
      <c r="S15" s="57"/>
      <c r="T15" s="58">
        <f t="shared" si="10"/>
        <v>4.314110336538346E-2</v>
      </c>
      <c r="U15" s="58">
        <f t="shared" si="24"/>
        <v>6.3837260442788368E-2</v>
      </c>
      <c r="V15" s="58">
        <f t="shared" si="11"/>
        <v>4.0067658898041758E-2</v>
      </c>
      <c r="W15" s="58">
        <f t="shared" ref="W15" si="27">AVERAGE(X15:AC15)</f>
        <v>5.9620953760269581E-2</v>
      </c>
      <c r="X15" s="58">
        <f t="shared" si="13"/>
        <v>0.15479693937610367</v>
      </c>
      <c r="Y15" s="58">
        <f t="shared" si="14"/>
        <v>9.8728174175468877E-2</v>
      </c>
      <c r="Z15" s="58">
        <f t="shared" si="15"/>
        <v>2.6554547466253468E-2</v>
      </c>
      <c r="AA15" s="58">
        <f t="shared" si="16"/>
        <v>1.0848898333519791E-2</v>
      </c>
      <c r="AB15" s="58">
        <f t="shared" si="17"/>
        <v>1.1997736276174332E-2</v>
      </c>
      <c r="AC15" s="58">
        <f t="shared" si="18"/>
        <v>5.4799426934097395E-2</v>
      </c>
      <c r="AD15" s="58">
        <f t="shared" si="19"/>
        <v>5.8645096056622818E-2</v>
      </c>
      <c r="AE15" s="57"/>
      <c r="AF15" s="57"/>
      <c r="AG15" s="194">
        <f>SUM(AG12:AG14)</f>
        <v>1052.7</v>
      </c>
      <c r="AH15" s="199">
        <f t="shared" ref="AH15:AK15" si="28">SUM(AH12:AH14)</f>
        <v>1024.9000000000001</v>
      </c>
      <c r="AI15" s="198"/>
      <c r="AJ15" s="194">
        <f t="shared" si="28"/>
        <v>964.3</v>
      </c>
      <c r="AK15" s="194">
        <f t="shared" si="28"/>
        <v>955.5</v>
      </c>
    </row>
    <row r="16" spans="1:37" x14ac:dyDescent="0.25">
      <c r="A16" s="14" t="s">
        <v>31</v>
      </c>
      <c r="B16" s="120">
        <f>AG16+AH16+C16-(AJ16+AK16)</f>
        <v>-477.50000000000023</v>
      </c>
      <c r="C16" s="10">
        <v>-462.1</v>
      </c>
      <c r="D16" s="10">
        <v>-438.7</v>
      </c>
      <c r="E16" s="10">
        <v>-494.7</v>
      </c>
      <c r="F16" s="10">
        <v>-478.7</v>
      </c>
      <c r="G16" s="10">
        <v>-465.6</v>
      </c>
      <c r="H16" s="10">
        <v>-509.6</v>
      </c>
      <c r="I16" s="340">
        <v>-510.4</v>
      </c>
      <c r="J16" s="60"/>
      <c r="K16" s="59">
        <f t="shared" si="2"/>
        <v>-0.25018338048831623</v>
      </c>
      <c r="L16" s="59">
        <f t="shared" si="3"/>
        <v>-0.27001285497253713</v>
      </c>
      <c r="M16" s="59">
        <f t="shared" si="4"/>
        <v>-0.26397496840965157</v>
      </c>
      <c r="N16" s="59">
        <f t="shared" si="5"/>
        <v>-0.3094582759914925</v>
      </c>
      <c r="O16" s="59">
        <f t="shared" si="6"/>
        <v>-0.30595679406877152</v>
      </c>
      <c r="P16" s="59">
        <f t="shared" si="7"/>
        <v>-0.31461585242246098</v>
      </c>
      <c r="Q16" s="59">
        <f t="shared" si="8"/>
        <v>-0.42459590068321945</v>
      </c>
      <c r="R16" s="59">
        <f t="shared" si="9"/>
        <v>-0.46933333333333332</v>
      </c>
      <c r="S16" s="57"/>
      <c r="T16" s="59">
        <f t="shared" si="10"/>
        <v>-1.6432393072554285E-2</v>
      </c>
      <c r="U16" s="59">
        <f t="shared" si="24"/>
        <v>-1.1759751626954529E-2</v>
      </c>
      <c r="V16" s="59">
        <f t="shared" si="11"/>
        <v>-1.9378728114903154E-2</v>
      </c>
      <c r="W16" s="59">
        <f t="shared" si="12"/>
        <v>-8.5528369078318733E-3</v>
      </c>
      <c r="X16" s="59">
        <f t="shared" si="13"/>
        <v>3.3326119887470688E-2</v>
      </c>
      <c r="Y16" s="59">
        <f t="shared" si="14"/>
        <v>5.3339411898791968E-2</v>
      </c>
      <c r="Z16" s="59">
        <f t="shared" si="15"/>
        <v>-0.1131999191429149</v>
      </c>
      <c r="AA16" s="59">
        <f t="shared" si="16"/>
        <v>3.3423856277418007E-2</v>
      </c>
      <c r="AB16" s="59">
        <f t="shared" si="17"/>
        <v>2.8135738831615045E-2</v>
      </c>
      <c r="AC16" s="59">
        <f t="shared" si="18"/>
        <v>-8.6342229199372053E-2</v>
      </c>
      <c r="AD16" s="59">
        <f t="shared" si="19"/>
        <v>-1.5673981191221681E-3</v>
      </c>
      <c r="AE16" s="57"/>
      <c r="AF16" s="73"/>
      <c r="AG16" s="10">
        <v>-457.8</v>
      </c>
      <c r="AH16" s="149">
        <v>-448.9</v>
      </c>
      <c r="AI16" s="54"/>
      <c r="AJ16" s="10">
        <v>-445.5</v>
      </c>
      <c r="AK16" s="10">
        <v>-445.8</v>
      </c>
    </row>
    <row r="17" spans="1:37" x14ac:dyDescent="0.25">
      <c r="A17" s="6" t="s">
        <v>27</v>
      </c>
      <c r="B17" s="24">
        <f>SUM(B15:B16)</f>
        <v>699.69999999999982</v>
      </c>
      <c r="C17" s="24">
        <f t="shared" ref="C17:I17" si="29">SUM(C15:C16)</f>
        <v>557.29999999999995</v>
      </c>
      <c r="D17" s="24">
        <f t="shared" si="29"/>
        <v>489.09999999999997</v>
      </c>
      <c r="E17" s="24">
        <f t="shared" si="29"/>
        <v>409.10000000000008</v>
      </c>
      <c r="F17" s="24">
        <f t="shared" si="29"/>
        <v>415.40000000000003</v>
      </c>
      <c r="G17" s="24">
        <f t="shared" si="29"/>
        <v>417.9</v>
      </c>
      <c r="H17" s="24">
        <f t="shared" si="29"/>
        <v>328</v>
      </c>
      <c r="I17" s="24">
        <f t="shared" si="29"/>
        <v>280.80000000000007</v>
      </c>
      <c r="J17" s="57"/>
      <c r="K17" s="20">
        <f t="shared" si="2"/>
        <v>0.36660379335638682</v>
      </c>
      <c r="L17" s="20">
        <f t="shared" si="3"/>
        <v>0.32563982704218764</v>
      </c>
      <c r="M17" s="20">
        <f t="shared" si="4"/>
        <v>0.29430170287020874</v>
      </c>
      <c r="N17" s="20">
        <f t="shared" si="5"/>
        <v>0.25591142249468285</v>
      </c>
      <c r="O17" s="20">
        <f t="shared" si="6"/>
        <v>0.26549916911670712</v>
      </c>
      <c r="P17" s="20">
        <f t="shared" si="7"/>
        <v>0.28238394486113921</v>
      </c>
      <c r="Q17" s="20">
        <f t="shared" si="8"/>
        <v>0.27328778536910514</v>
      </c>
      <c r="R17" s="58">
        <f t="shared" si="9"/>
        <v>0.25820689655172419</v>
      </c>
      <c r="S17" s="57"/>
      <c r="T17" s="58">
        <f t="shared" si="10"/>
        <v>0.12102506544483038</v>
      </c>
      <c r="U17" s="20">
        <f t="shared" si="24"/>
        <v>0.14769131820256565</v>
      </c>
      <c r="V17" s="20">
        <f t="shared" si="11"/>
        <v>0.11184190864665444</v>
      </c>
      <c r="W17" s="20">
        <f t="shared" si="12"/>
        <v>0.14057427338664194</v>
      </c>
      <c r="X17" s="20">
        <f t="shared" si="13"/>
        <v>0.25551767450206331</v>
      </c>
      <c r="Y17" s="20">
        <f t="shared" si="14"/>
        <v>0.13943978736454712</v>
      </c>
      <c r="Z17" s="20">
        <f t="shared" si="15"/>
        <v>0.1955512099731114</v>
      </c>
      <c r="AA17" s="20">
        <f t="shared" si="16"/>
        <v>-1.5166104959075478E-2</v>
      </c>
      <c r="AB17" s="20">
        <f t="shared" si="17"/>
        <v>-5.9822924144530831E-3</v>
      </c>
      <c r="AC17" s="20">
        <f t="shared" si="18"/>
        <v>0.27408536585365845</v>
      </c>
      <c r="AD17" s="20">
        <f t="shared" si="19"/>
        <v>0.16809116809116781</v>
      </c>
      <c r="AE17" s="57"/>
      <c r="AF17" s="57"/>
      <c r="AG17" s="56">
        <f>SUM(AG15:AG16)</f>
        <v>594.90000000000009</v>
      </c>
      <c r="AH17" s="147">
        <f t="shared" ref="AH17:AK17" si="30">SUM(AH15:AH16)</f>
        <v>576.00000000000011</v>
      </c>
      <c r="AI17" s="56"/>
      <c r="AJ17" s="56">
        <f t="shared" si="30"/>
        <v>518.79999999999995</v>
      </c>
      <c r="AK17" s="56">
        <f t="shared" si="30"/>
        <v>509.7</v>
      </c>
    </row>
    <row r="18" spans="1:37" x14ac:dyDescent="0.25">
      <c r="A18" s="14" t="s">
        <v>32</v>
      </c>
      <c r="B18" s="118">
        <f>AG18+AH18+C18-(AJ18+AK18)</f>
        <v>81.600000000000023</v>
      </c>
      <c r="C18" s="8">
        <v>86.3</v>
      </c>
      <c r="D18" s="8">
        <v>91.2</v>
      </c>
      <c r="E18" s="8">
        <v>102.5</v>
      </c>
      <c r="F18" s="8">
        <v>113.5</v>
      </c>
      <c r="G18" s="8">
        <v>0</v>
      </c>
      <c r="H18" s="8">
        <v>0</v>
      </c>
      <c r="I18" s="8">
        <v>0</v>
      </c>
      <c r="J18" s="57"/>
      <c r="K18" s="58">
        <f t="shared" si="2"/>
        <v>4.2753850990254659E-2</v>
      </c>
      <c r="L18" s="58">
        <f t="shared" si="3"/>
        <v>5.0426551361458453E-2</v>
      </c>
      <c r="M18" s="58">
        <f t="shared" si="4"/>
        <v>5.4876948071484445E-2</v>
      </c>
      <c r="N18" s="58">
        <f t="shared" si="5"/>
        <v>6.4118603778306013E-2</v>
      </c>
      <c r="O18" s="58">
        <f t="shared" si="6"/>
        <v>7.2542502876134465E-2</v>
      </c>
      <c r="P18" s="58">
        <f t="shared" si="7"/>
        <v>0</v>
      </c>
      <c r="Q18" s="58">
        <f t="shared" si="8"/>
        <v>0</v>
      </c>
      <c r="R18" s="58">
        <f t="shared" si="9"/>
        <v>0</v>
      </c>
      <c r="S18" s="57"/>
      <c r="T18" s="58"/>
      <c r="U18" s="58"/>
      <c r="V18" s="58"/>
      <c r="W18" s="58"/>
      <c r="X18" s="58"/>
      <c r="Y18" s="58"/>
      <c r="Z18" s="58"/>
      <c r="AA18" s="58"/>
      <c r="AB18" s="58"/>
      <c r="AC18" s="58"/>
      <c r="AD18" s="58"/>
      <c r="AE18" s="57"/>
      <c r="AF18" s="57"/>
      <c r="AG18" s="8">
        <v>84.1</v>
      </c>
      <c r="AH18" s="144">
        <v>85.9</v>
      </c>
      <c r="AI18" s="135"/>
      <c r="AJ18" s="8">
        <v>86.9</v>
      </c>
      <c r="AK18" s="8">
        <v>87.8</v>
      </c>
    </row>
    <row r="19" spans="1:37" x14ac:dyDescent="0.25">
      <c r="A19" s="14" t="s">
        <v>33</v>
      </c>
      <c r="B19" s="118">
        <f>AG19+AH19+C19-(AJ19+AK19)</f>
        <v>290.89999999999998</v>
      </c>
      <c r="C19" s="8">
        <v>294</v>
      </c>
      <c r="D19" s="8">
        <v>296</v>
      </c>
      <c r="E19" s="8">
        <v>297.8</v>
      </c>
      <c r="F19" s="8">
        <v>296.10000000000002</v>
      </c>
      <c r="G19" s="8">
        <v>296.5</v>
      </c>
      <c r="H19" s="8">
        <v>188.2</v>
      </c>
      <c r="I19" s="336">
        <v>186.4</v>
      </c>
      <c r="J19" s="57"/>
      <c r="K19" s="58">
        <f t="shared" si="2"/>
        <v>0.15241538300324847</v>
      </c>
      <c r="L19" s="58">
        <f t="shared" si="3"/>
        <v>0.17178917845039149</v>
      </c>
      <c r="M19" s="58">
        <f t="shared" si="4"/>
        <v>0.17810939286358984</v>
      </c>
      <c r="N19" s="58">
        <f t="shared" si="5"/>
        <v>0.18628800200175152</v>
      </c>
      <c r="O19" s="58">
        <f t="shared" si="6"/>
        <v>0.18924964847245301</v>
      </c>
      <c r="P19" s="58">
        <f t="shared" si="7"/>
        <v>0.20035137509291168</v>
      </c>
      <c r="Q19" s="58">
        <f t="shared" si="8"/>
        <v>0.15680719880019994</v>
      </c>
      <c r="R19" s="58">
        <f t="shared" si="9"/>
        <v>0.17140229885057473</v>
      </c>
      <c r="S19" s="57"/>
      <c r="T19" s="58">
        <f t="shared" si="10"/>
        <v>7.8905905849355085E-2</v>
      </c>
      <c r="U19" s="58">
        <f>_xlfn.RRI(5.5,H19,B19)</f>
        <v>8.2396054175152722E-2</v>
      </c>
      <c r="V19" s="58">
        <f>_xlfn.RRI(5,H19,C19)</f>
        <v>9.3315593389016405E-2</v>
      </c>
      <c r="W19" s="58">
        <f t="shared" si="12"/>
        <v>9.2749763131773758E-2</v>
      </c>
      <c r="X19" s="58">
        <f t="shared" ref="X19:AD23" si="31">(B19-C19)/C19</f>
        <v>-1.0544217687074907E-2</v>
      </c>
      <c r="Y19" s="58">
        <f t="shared" si="31"/>
        <v>-6.7567567567567571E-3</v>
      </c>
      <c r="Z19" s="58">
        <f t="shared" si="31"/>
        <v>-6.0443250503694132E-3</v>
      </c>
      <c r="AA19" s="58">
        <f t="shared" si="31"/>
        <v>5.7413036136440007E-3</v>
      </c>
      <c r="AB19" s="58">
        <f t="shared" si="31"/>
        <v>-1.3490725126474781E-3</v>
      </c>
      <c r="AC19" s="58">
        <f t="shared" si="31"/>
        <v>0.57545164718384711</v>
      </c>
      <c r="AD19" s="58">
        <f t="shared" si="31"/>
        <v>9.6566523605149304E-3</v>
      </c>
      <c r="AE19" s="57"/>
      <c r="AF19" s="57"/>
      <c r="AG19" s="8">
        <v>293.8</v>
      </c>
      <c r="AH19" s="144">
        <v>294</v>
      </c>
      <c r="AI19" s="135"/>
      <c r="AJ19" s="8">
        <v>294</v>
      </c>
      <c r="AK19" s="8">
        <v>296.89999999999998</v>
      </c>
    </row>
    <row r="20" spans="1:37" x14ac:dyDescent="0.25">
      <c r="A20" s="14" t="str">
        <f>A466</f>
        <v>Intangibles Assets, Net (See Note)</v>
      </c>
      <c r="B20" s="118">
        <f>AG20+AH20+C20-(AJ20+AK20)</f>
        <v>85.80000000000004</v>
      </c>
      <c r="C20" s="8">
        <f t="shared" ref="C20:I20" si="32">C466</f>
        <v>116.10000000000001</v>
      </c>
      <c r="D20" s="8">
        <f t="shared" si="32"/>
        <v>131.49999999999997</v>
      </c>
      <c r="E20" s="8">
        <f t="shared" si="32"/>
        <v>149.80000000000001</v>
      </c>
      <c r="F20" s="8">
        <f t="shared" si="32"/>
        <v>168.39999999999995</v>
      </c>
      <c r="G20" s="8">
        <f t="shared" si="32"/>
        <v>188</v>
      </c>
      <c r="H20" s="8">
        <f t="shared" si="32"/>
        <v>129.60000000000002</v>
      </c>
      <c r="I20" s="8">
        <f t="shared" si="32"/>
        <v>141.89999999999998</v>
      </c>
      <c r="J20" s="57"/>
      <c r="K20" s="58">
        <f t="shared" si="2"/>
        <v>4.4954416850047182E-2</v>
      </c>
      <c r="L20" s="58">
        <f t="shared" si="3"/>
        <v>6.78391959798995E-2</v>
      </c>
      <c r="M20" s="58">
        <f t="shared" si="4"/>
        <v>7.9126301221493445E-2</v>
      </c>
      <c r="N20" s="58">
        <f t="shared" si="5"/>
        <v>9.3706993619416992E-2</v>
      </c>
      <c r="O20" s="58">
        <f t="shared" si="6"/>
        <v>0.10763134347437041</v>
      </c>
      <c r="P20" s="58">
        <f t="shared" si="7"/>
        <v>0.12703561051422393</v>
      </c>
      <c r="Q20" s="58">
        <f t="shared" si="8"/>
        <v>0.1079820029995001</v>
      </c>
      <c r="R20" s="58">
        <f t="shared" si="9"/>
        <v>0.13048275862068964</v>
      </c>
      <c r="S20" s="57"/>
      <c r="T20" s="58">
        <f t="shared" si="10"/>
        <v>-3.2892011383622188E-2</v>
      </c>
      <c r="U20" s="58">
        <f>_xlfn.RRI(5.5,H20,B20)</f>
        <v>-7.2245343138144791E-2</v>
      </c>
      <c r="V20" s="58">
        <f>_xlfn.RRI(5,H20,C20)</f>
        <v>-2.1759940095709362E-2</v>
      </c>
      <c r="W20" s="58">
        <f t="shared" si="12"/>
        <v>-4.4057400626857673E-2</v>
      </c>
      <c r="X20" s="58">
        <f t="shared" si="31"/>
        <v>-0.26098191214470257</v>
      </c>
      <c r="Y20" s="58">
        <f t="shared" si="31"/>
        <v>-0.11711026615969557</v>
      </c>
      <c r="Z20" s="58">
        <f t="shared" si="31"/>
        <v>-0.12216288384512709</v>
      </c>
      <c r="AA20" s="58">
        <f t="shared" si="31"/>
        <v>-0.11045130641330132</v>
      </c>
      <c r="AB20" s="58">
        <f t="shared" si="31"/>
        <v>-0.10425531914893645</v>
      </c>
      <c r="AC20" s="58">
        <f t="shared" si="31"/>
        <v>0.45061728395061701</v>
      </c>
      <c r="AD20" s="58">
        <f t="shared" si="31"/>
        <v>-8.6680761099365441E-2</v>
      </c>
      <c r="AE20" s="57"/>
      <c r="AF20" s="57"/>
      <c r="AG20" s="8">
        <v>108.9</v>
      </c>
      <c r="AH20" s="144">
        <v>112.4</v>
      </c>
      <c r="AI20" s="135"/>
      <c r="AJ20" s="8">
        <v>123.5</v>
      </c>
      <c r="AK20" s="8">
        <v>128.1</v>
      </c>
    </row>
    <row r="21" spans="1:37" x14ac:dyDescent="0.25">
      <c r="A21" s="14" t="str">
        <f t="shared" ref="A21:H21" si="33">A473</f>
        <v>Other Assets (See Note)</v>
      </c>
      <c r="B21" s="118">
        <f t="shared" si="33"/>
        <v>15.3</v>
      </c>
      <c r="C21" s="118">
        <f t="shared" si="33"/>
        <v>20.9</v>
      </c>
      <c r="D21" s="118">
        <f t="shared" si="33"/>
        <v>26</v>
      </c>
      <c r="E21" s="118">
        <f t="shared" si="33"/>
        <v>74.900000000000006</v>
      </c>
      <c r="F21" s="118">
        <f t="shared" si="33"/>
        <v>51.7</v>
      </c>
      <c r="G21" s="118">
        <f t="shared" si="33"/>
        <v>37.200000000000003</v>
      </c>
      <c r="H21" s="118">
        <f t="shared" si="33"/>
        <v>47.7</v>
      </c>
      <c r="I21" s="118">
        <f>I473</f>
        <v>40.299999999999997</v>
      </c>
      <c r="J21" s="57"/>
      <c r="K21" s="59">
        <f t="shared" si="2"/>
        <v>8.0163470606727464E-3</v>
      </c>
      <c r="L21" s="59">
        <f t="shared" si="3"/>
        <v>1.2212223910248917E-2</v>
      </c>
      <c r="M21" s="59">
        <f t="shared" si="4"/>
        <v>1.5644743967747756E-2</v>
      </c>
      <c r="N21" s="59">
        <f t="shared" si="5"/>
        <v>4.6853496809708496E-2</v>
      </c>
      <c r="O21" s="59">
        <f t="shared" si="6"/>
        <v>3.3043589415825129E-2</v>
      </c>
      <c r="P21" s="59">
        <f t="shared" si="7"/>
        <v>2.5136833569835801E-2</v>
      </c>
      <c r="Q21" s="59">
        <f t="shared" si="8"/>
        <v>3.9743376103982674E-2</v>
      </c>
      <c r="R21" s="59">
        <f t="shared" si="9"/>
        <v>3.7057471264367814E-2</v>
      </c>
      <c r="S21" s="57"/>
      <c r="T21" s="59">
        <f t="shared" si="10"/>
        <v>-0.10365842659068181</v>
      </c>
      <c r="U21" s="59">
        <f>_xlfn.RRI(5.5,H21,B21)</f>
        <v>-0.1867702045073194</v>
      </c>
      <c r="V21" s="59">
        <f>_xlfn.RRI(5,H21,C21)</f>
        <v>-0.15213719919608282</v>
      </c>
      <c r="W21" s="59">
        <f t="shared" ref="W21" si="34">AVERAGE(X21:AC21)</f>
        <v>-8.3094169531628126E-2</v>
      </c>
      <c r="X21" s="59">
        <f t="shared" si="31"/>
        <v>-0.26794258373205732</v>
      </c>
      <c r="Y21" s="59">
        <f t="shared" si="31"/>
        <v>-0.19615384615384621</v>
      </c>
      <c r="Z21" s="59">
        <f t="shared" si="31"/>
        <v>-0.65287049399198938</v>
      </c>
      <c r="AA21" s="59">
        <f t="shared" si="31"/>
        <v>0.44874274661508706</v>
      </c>
      <c r="AB21" s="59">
        <f t="shared" si="31"/>
        <v>0.38978494623655913</v>
      </c>
      <c r="AC21" s="59">
        <f t="shared" si="31"/>
        <v>-0.22012578616352199</v>
      </c>
      <c r="AD21" s="59">
        <f t="shared" si="31"/>
        <v>0.18362282878411926</v>
      </c>
      <c r="AE21" s="57"/>
      <c r="AF21" s="73"/>
      <c r="AG21" s="23">
        <f>AG473</f>
        <v>20.5</v>
      </c>
      <c r="AH21" s="146">
        <f>AH473</f>
        <v>21.7</v>
      </c>
      <c r="AI21" s="136"/>
      <c r="AJ21" s="23">
        <f>AJ473</f>
        <v>22.7</v>
      </c>
      <c r="AK21" s="23">
        <f>AK473</f>
        <v>25.1</v>
      </c>
    </row>
    <row r="22" spans="1:37" x14ac:dyDescent="0.25">
      <c r="A22" s="6" t="s">
        <v>47</v>
      </c>
      <c r="B22" s="25">
        <f>SUM(B17:B21)</f>
        <v>1173.2999999999997</v>
      </c>
      <c r="C22" s="25">
        <f t="shared" ref="C22:H22" si="35">SUM(C17:C21)</f>
        <v>1074.5999999999999</v>
      </c>
      <c r="D22" s="25">
        <f t="shared" si="35"/>
        <v>1033.8</v>
      </c>
      <c r="E22" s="25">
        <f t="shared" si="35"/>
        <v>1034.1000000000001</v>
      </c>
      <c r="F22" s="25">
        <f t="shared" si="35"/>
        <v>1045.1000000000001</v>
      </c>
      <c r="G22" s="25">
        <f t="shared" si="35"/>
        <v>939.6</v>
      </c>
      <c r="H22" s="25">
        <f t="shared" si="35"/>
        <v>693.50000000000011</v>
      </c>
      <c r="I22" s="25">
        <f t="shared" ref="I22" si="36">SUM(I17:I21)</f>
        <v>649.4</v>
      </c>
      <c r="J22" s="60"/>
      <c r="K22" s="18">
        <f t="shared" si="2"/>
        <v>0.61474379126060985</v>
      </c>
      <c r="L22" s="18">
        <f t="shared" si="3"/>
        <v>0.62790697674418594</v>
      </c>
      <c r="M22" s="18">
        <f t="shared" si="4"/>
        <v>0.62205908899452422</v>
      </c>
      <c r="N22" s="18">
        <f t="shared" si="5"/>
        <v>0.64687851870386592</v>
      </c>
      <c r="O22" s="18">
        <f t="shared" si="6"/>
        <v>0.6679662533554902</v>
      </c>
      <c r="P22" s="18">
        <f t="shared" si="7"/>
        <v>0.63490776403811067</v>
      </c>
      <c r="Q22" s="18">
        <f t="shared" si="8"/>
        <v>0.57782036327278796</v>
      </c>
      <c r="R22" s="59">
        <f t="shared" si="9"/>
        <v>0.59714942528735626</v>
      </c>
      <c r="S22" s="57"/>
      <c r="T22" s="59">
        <f t="shared" si="10"/>
        <v>8.7566342195442459E-2</v>
      </c>
      <c r="U22" s="18">
        <f>_xlfn.RRI(5.5,H22,B22)</f>
        <v>0.10032371597357947</v>
      </c>
      <c r="V22" s="18">
        <f>_xlfn.RRI(5,H22,C22)</f>
        <v>9.154105285117331E-2</v>
      </c>
      <c r="W22" s="18">
        <f t="shared" si="12"/>
        <v>9.7941200309764997E-2</v>
      </c>
      <c r="X22" s="18">
        <f t="shared" si="31"/>
        <v>9.1848129536571579E-2</v>
      </c>
      <c r="Y22" s="18">
        <f t="shared" si="31"/>
        <v>3.9466047591410286E-2</v>
      </c>
      <c r="Z22" s="18">
        <f t="shared" si="31"/>
        <v>-2.9010733971587067E-4</v>
      </c>
      <c r="AA22" s="18">
        <f t="shared" si="31"/>
        <v>-1.0525308582910725E-2</v>
      </c>
      <c r="AB22" s="18">
        <f t="shared" si="31"/>
        <v>0.11228182205193711</v>
      </c>
      <c r="AC22" s="18">
        <f t="shared" si="31"/>
        <v>0.35486661860129759</v>
      </c>
      <c r="AD22" s="18">
        <f t="shared" si="31"/>
        <v>6.7908838928241663E-2</v>
      </c>
      <c r="AE22" s="57"/>
      <c r="AF22" s="73"/>
      <c r="AG22" s="115">
        <f>SUM(AG17:AG21)</f>
        <v>1102.2000000000003</v>
      </c>
      <c r="AH22" s="153">
        <f t="shared" ref="AH22:AK22" si="37">SUM(AH17:AH21)</f>
        <v>1090.0000000000002</v>
      </c>
      <c r="AI22" s="115"/>
      <c r="AJ22" s="115">
        <f t="shared" si="37"/>
        <v>1045.8999999999999</v>
      </c>
      <c r="AK22" s="115">
        <f t="shared" si="37"/>
        <v>1047.5999999999999</v>
      </c>
    </row>
    <row r="23" spans="1:37" ht="15.75" thickBot="1" x14ac:dyDescent="0.3">
      <c r="A23" s="6" t="s">
        <v>48</v>
      </c>
      <c r="B23" s="30">
        <f t="shared" ref="B23:H23" si="38">SUM(B22,B11)</f>
        <v>1908.5999999999997</v>
      </c>
      <c r="C23" s="30">
        <f t="shared" si="38"/>
        <v>1711.4</v>
      </c>
      <c r="D23" s="30">
        <f t="shared" si="38"/>
        <v>1661.9</v>
      </c>
      <c r="E23" s="30">
        <f t="shared" si="38"/>
        <v>1598.6000000000001</v>
      </c>
      <c r="F23" s="30">
        <f t="shared" si="38"/>
        <v>1564.6000000000001</v>
      </c>
      <c r="G23" s="30">
        <f t="shared" si="38"/>
        <v>1479.9</v>
      </c>
      <c r="H23" s="30">
        <f t="shared" si="38"/>
        <v>1200.2</v>
      </c>
      <c r="I23" s="30">
        <f t="shared" ref="I23" si="39">SUM(I22,I11)</f>
        <v>1087.5</v>
      </c>
      <c r="J23" s="60"/>
      <c r="K23" s="19">
        <f t="shared" si="2"/>
        <v>1</v>
      </c>
      <c r="L23" s="19">
        <f t="shared" si="3"/>
        <v>1</v>
      </c>
      <c r="M23" s="19">
        <f t="shared" si="4"/>
        <v>1</v>
      </c>
      <c r="N23" s="19">
        <f t="shared" si="5"/>
        <v>1</v>
      </c>
      <c r="O23" s="19">
        <f t="shared" si="6"/>
        <v>1</v>
      </c>
      <c r="P23" s="19">
        <f t="shared" si="7"/>
        <v>1</v>
      </c>
      <c r="Q23" s="19">
        <f t="shared" si="8"/>
        <v>1</v>
      </c>
      <c r="R23" s="211">
        <f t="shared" si="9"/>
        <v>1</v>
      </c>
      <c r="S23" s="57"/>
      <c r="T23" s="211">
        <f t="shared" si="10"/>
        <v>7.8500565123124311E-2</v>
      </c>
      <c r="U23" s="19">
        <f>_xlfn.RRI(5.5,H23,B23)</f>
        <v>8.8001080689594335E-2</v>
      </c>
      <c r="V23" s="19">
        <f>_xlfn.RRI(5,H23,C23)</f>
        <v>7.3543337585615376E-2</v>
      </c>
      <c r="W23" s="19">
        <f t="shared" si="12"/>
        <v>8.2769752614073488E-2</v>
      </c>
      <c r="X23" s="19">
        <f t="shared" si="31"/>
        <v>0.1152272992871331</v>
      </c>
      <c r="Y23" s="19">
        <f t="shared" si="31"/>
        <v>2.9785185630904387E-2</v>
      </c>
      <c r="Z23" s="19">
        <f t="shared" si="31"/>
        <v>3.9597147504066024E-2</v>
      </c>
      <c r="AA23" s="19">
        <f t="shared" si="31"/>
        <v>2.1730793813115171E-2</v>
      </c>
      <c r="AB23" s="19">
        <f t="shared" si="31"/>
        <v>5.7233596864653041E-2</v>
      </c>
      <c r="AC23" s="19">
        <f t="shared" si="31"/>
        <v>0.23304449258456927</v>
      </c>
      <c r="AD23" s="19">
        <f t="shared" si="31"/>
        <v>0.10363218390804602</v>
      </c>
      <c r="AE23" s="57"/>
      <c r="AF23" s="172"/>
      <c r="AG23" s="117">
        <f>SUM(AG22,AG11)</f>
        <v>1815.7000000000003</v>
      </c>
      <c r="AH23" s="152">
        <f>SUM(AH22,AH11)</f>
        <v>1800.6000000000004</v>
      </c>
      <c r="AI23" s="117"/>
      <c r="AJ23" s="117">
        <f>SUM(AJ22,AJ11)</f>
        <v>1687.2999999999997</v>
      </c>
      <c r="AK23" s="117">
        <f>SUM(AK22,AK11)</f>
        <v>1731.8</v>
      </c>
    </row>
    <row r="24" spans="1:37" ht="15.75" thickTop="1" x14ac:dyDescent="0.25">
      <c r="A24" s="6" t="s">
        <v>80</v>
      </c>
      <c r="B24" s="119"/>
      <c r="C24" s="31"/>
      <c r="D24" s="31"/>
      <c r="E24" s="31"/>
      <c r="F24" s="31"/>
      <c r="G24" s="31"/>
      <c r="H24" s="31"/>
      <c r="I24" s="330"/>
      <c r="J24" s="60"/>
      <c r="K24" s="32"/>
      <c r="L24" s="32"/>
      <c r="M24" s="32"/>
      <c r="N24" s="32"/>
      <c r="O24" s="32"/>
      <c r="P24" s="32"/>
      <c r="Q24" s="32"/>
      <c r="R24" s="58"/>
      <c r="S24" s="57"/>
      <c r="T24" s="58"/>
      <c r="U24" s="58"/>
      <c r="V24" s="58"/>
      <c r="W24" s="32"/>
      <c r="X24" s="32"/>
      <c r="Y24" s="32"/>
      <c r="Z24" s="32"/>
      <c r="AA24" s="32"/>
      <c r="AB24" s="32"/>
      <c r="AC24" s="32"/>
      <c r="AD24" s="32"/>
      <c r="AE24" s="57"/>
      <c r="AF24" s="57"/>
      <c r="AG24" s="56"/>
      <c r="AH24" s="147"/>
      <c r="AI24" s="56"/>
      <c r="AJ24" s="56"/>
      <c r="AK24" s="56"/>
    </row>
    <row r="25" spans="1:37" x14ac:dyDescent="0.25">
      <c r="A25" s="14" t="s">
        <v>49</v>
      </c>
      <c r="B25" s="118">
        <f>AG25+AH25+C25-(AJ25+AK25)</f>
        <v>234.10000000000002</v>
      </c>
      <c r="C25" s="29">
        <v>207.4</v>
      </c>
      <c r="D25" s="29">
        <v>171.9</v>
      </c>
      <c r="E25" s="29">
        <v>154.1</v>
      </c>
      <c r="F25" s="29">
        <v>169.9</v>
      </c>
      <c r="G25" s="29">
        <v>177.2</v>
      </c>
      <c r="H25" s="29">
        <v>141.9</v>
      </c>
      <c r="I25" s="336">
        <v>144.19999999999999</v>
      </c>
      <c r="J25" s="57"/>
      <c r="K25" s="58">
        <f t="shared" ref="K25:K42" si="40">B25/$B$23</f>
        <v>0.12265534947081634</v>
      </c>
      <c r="L25" s="58">
        <f t="shared" ref="L25:L42" si="41">C25/$C$23</f>
        <v>0.12118733200888161</v>
      </c>
      <c r="M25" s="58">
        <f t="shared" ref="M25:M42" si="42">D25/$D$23</f>
        <v>0.10343582646368614</v>
      </c>
      <c r="N25" s="58">
        <f t="shared" ref="N25:N42" si="43">E25/$E$23</f>
        <v>9.6396847241336153E-2</v>
      </c>
      <c r="O25" s="58">
        <f t="shared" ref="O25:O42" si="44">F25/$F$23</f>
        <v>0.10859005496612552</v>
      </c>
      <c r="P25" s="58">
        <f t="shared" ref="P25:P42" si="45">G25/$G$23</f>
        <v>0.11973782012298127</v>
      </c>
      <c r="Q25" s="58">
        <f t="shared" ref="Q25:Q42" si="46">H25/$H$23</f>
        <v>0.11823029495084153</v>
      </c>
      <c r="R25" s="58">
        <f t="shared" si="9"/>
        <v>0.13259770114942529</v>
      </c>
      <c r="S25" s="57"/>
      <c r="T25" s="58">
        <f t="shared" si="10"/>
        <v>6.2446936541567633E-2</v>
      </c>
      <c r="U25" s="58">
        <f>_xlfn.RRI(5.5,H25,B25)</f>
        <v>9.5294055408663203E-2</v>
      </c>
      <c r="V25" s="58">
        <f>_xlfn.RRI(5,H25,C25)</f>
        <v>7.88604469031986E-2</v>
      </c>
      <c r="W25" s="58">
        <f t="shared" si="12"/>
        <v>9.4222672493225745E-2</v>
      </c>
      <c r="X25" s="58">
        <f t="shared" ref="X25:AD29" si="47">(B25-C25)/C25</f>
        <v>0.12873674059787857</v>
      </c>
      <c r="Y25" s="58">
        <f t="shared" si="47"/>
        <v>0.20651541593949971</v>
      </c>
      <c r="Z25" s="58">
        <f t="shared" si="47"/>
        <v>0.11550940947436737</v>
      </c>
      <c r="AA25" s="58">
        <f t="shared" si="47"/>
        <v>-9.2995879929370279E-2</v>
      </c>
      <c r="AB25" s="58">
        <f t="shared" si="47"/>
        <v>-4.1196388261850923E-2</v>
      </c>
      <c r="AC25" s="58">
        <f t="shared" si="47"/>
        <v>0.24876673713883002</v>
      </c>
      <c r="AD25" s="58">
        <f t="shared" si="47"/>
        <v>-1.5950069348127482E-2</v>
      </c>
      <c r="AE25" s="57"/>
      <c r="AF25" s="57"/>
      <c r="AG25" s="8">
        <v>195</v>
      </c>
      <c r="AH25" s="144">
        <v>219.2</v>
      </c>
      <c r="AI25" s="135"/>
      <c r="AJ25" s="8">
        <v>197.9</v>
      </c>
      <c r="AK25" s="8">
        <v>189.6</v>
      </c>
    </row>
    <row r="26" spans="1:37" x14ac:dyDescent="0.25">
      <c r="A26" s="14" t="s">
        <v>50</v>
      </c>
      <c r="B26" s="118">
        <f>AG26+AH26+C26-(AJ26+AK26)</f>
        <v>72.099999999999994</v>
      </c>
      <c r="C26" s="8">
        <v>96.1</v>
      </c>
      <c r="D26" s="8">
        <v>90.5</v>
      </c>
      <c r="E26" s="8">
        <v>106.7</v>
      </c>
      <c r="F26" s="8">
        <v>94</v>
      </c>
      <c r="G26" s="8">
        <v>109.9</v>
      </c>
      <c r="H26" s="8">
        <v>127.9</v>
      </c>
      <c r="I26" s="336">
        <v>106.3</v>
      </c>
      <c r="J26" s="57"/>
      <c r="K26" s="58">
        <f t="shared" si="40"/>
        <v>3.7776380593104897E-2</v>
      </c>
      <c r="L26" s="58">
        <f t="shared" si="41"/>
        <v>5.6152857309804835E-2</v>
      </c>
      <c r="M26" s="58">
        <f t="shared" si="42"/>
        <v>5.4455743426198924E-2</v>
      </c>
      <c r="N26" s="58">
        <f t="shared" si="43"/>
        <v>6.6745902664831727E-2</v>
      </c>
      <c r="O26" s="58">
        <f t="shared" si="44"/>
        <v>6.0079253483318412E-2</v>
      </c>
      <c r="P26" s="58">
        <f t="shared" si="45"/>
        <v>7.4261774444219206E-2</v>
      </c>
      <c r="Q26" s="58">
        <f t="shared" si="46"/>
        <v>0.10656557240459924</v>
      </c>
      <c r="R26" s="58">
        <f t="shared" si="9"/>
        <v>9.7747126436781601E-2</v>
      </c>
      <c r="S26" s="57"/>
      <c r="T26" s="58">
        <f t="shared" si="10"/>
        <v>-1.6672117509694329E-2</v>
      </c>
      <c r="U26" s="58">
        <f>_xlfn.RRI(5.5,H26,B26)</f>
        <v>-9.8970437989758242E-2</v>
      </c>
      <c r="V26" s="58">
        <f>_xlfn.RRI(5,H26,C26)</f>
        <v>-5.5568272113828976E-2</v>
      </c>
      <c r="W26" s="58">
        <f t="shared" si="12"/>
        <v>-8.1665750073560028E-2</v>
      </c>
      <c r="X26" s="58">
        <f t="shared" si="47"/>
        <v>-0.24973985431841833</v>
      </c>
      <c r="Y26" s="58">
        <f t="shared" si="47"/>
        <v>6.1878453038673974E-2</v>
      </c>
      <c r="Z26" s="58">
        <f t="shared" si="47"/>
        <v>-0.15182755388940958</v>
      </c>
      <c r="AA26" s="58">
        <f t="shared" si="47"/>
        <v>0.13510638297872343</v>
      </c>
      <c r="AB26" s="58">
        <f t="shared" si="47"/>
        <v>-0.14467697907188357</v>
      </c>
      <c r="AC26" s="58">
        <f t="shared" si="47"/>
        <v>-0.14073494917904614</v>
      </c>
      <c r="AD26" s="58">
        <f t="shared" si="47"/>
        <v>0.20319849482596433</v>
      </c>
      <c r="AE26" s="57"/>
      <c r="AF26" s="57"/>
      <c r="AG26" s="8">
        <v>73.400000000000006</v>
      </c>
      <c r="AH26" s="144">
        <v>75.900000000000006</v>
      </c>
      <c r="AI26" s="135"/>
      <c r="AJ26" s="8">
        <v>84.5</v>
      </c>
      <c r="AK26" s="8">
        <v>88.8</v>
      </c>
    </row>
    <row r="27" spans="1:37" x14ac:dyDescent="0.25">
      <c r="A27" s="14" t="str">
        <f t="shared" ref="A27:H27" si="48">A477</f>
        <v>Current Portion of Long-Term Liabilities (See Note)</v>
      </c>
      <c r="B27" s="120">
        <f t="shared" si="48"/>
        <v>24.799999999999997</v>
      </c>
      <c r="C27" s="120">
        <f t="shared" si="48"/>
        <v>20.5</v>
      </c>
      <c r="D27" s="120">
        <f t="shared" si="48"/>
        <v>23.3</v>
      </c>
      <c r="E27" s="120">
        <f t="shared" si="48"/>
        <v>31.299999999999997</v>
      </c>
      <c r="F27" s="120">
        <f t="shared" si="48"/>
        <v>32.299999999999997</v>
      </c>
      <c r="G27" s="120">
        <f t="shared" si="48"/>
        <v>11.6</v>
      </c>
      <c r="H27" s="120">
        <f t="shared" si="48"/>
        <v>11.4</v>
      </c>
      <c r="I27" s="120">
        <f>I477</f>
        <v>42.6</v>
      </c>
      <c r="J27" s="57"/>
      <c r="K27" s="59">
        <f t="shared" si="40"/>
        <v>1.2993817457822488E-2</v>
      </c>
      <c r="L27" s="59">
        <f t="shared" si="41"/>
        <v>1.1978497136847024E-2</v>
      </c>
      <c r="M27" s="59">
        <f t="shared" si="42"/>
        <v>1.4020097478789337E-2</v>
      </c>
      <c r="N27" s="59">
        <f t="shared" si="43"/>
        <v>1.9579632178155882E-2</v>
      </c>
      <c r="O27" s="59">
        <f t="shared" si="44"/>
        <v>2.0644254122459411E-2</v>
      </c>
      <c r="P27" s="59">
        <f t="shared" si="45"/>
        <v>7.8383674572606258E-3</v>
      </c>
      <c r="Q27" s="59">
        <f t="shared" si="46"/>
        <v>9.4984169305115818E-3</v>
      </c>
      <c r="R27" s="59">
        <f t="shared" si="9"/>
        <v>3.9172413793103447E-2</v>
      </c>
      <c r="S27" s="57"/>
      <c r="T27" s="59">
        <f t="shared" si="10"/>
        <v>-0.11476744503529901</v>
      </c>
      <c r="U27" s="59">
        <f>_xlfn.RRI(5.5,H27,B27)</f>
        <v>0.15178694269814863</v>
      </c>
      <c r="V27" s="59">
        <f>_xlfn.RRI(5,H27,C27)</f>
        <v>0.1245267788599782</v>
      </c>
      <c r="W27" s="59">
        <f t="shared" ref="W27" si="49">AVERAGE(X27:AC27)</f>
        <v>0.26751003922932742</v>
      </c>
      <c r="X27" s="59">
        <f t="shared" si="47"/>
        <v>0.20975609756097546</v>
      </c>
      <c r="Y27" s="59">
        <f t="shared" si="47"/>
        <v>-0.12017167381974252</v>
      </c>
      <c r="Z27" s="59">
        <f t="shared" si="47"/>
        <v>-0.25559105431309898</v>
      </c>
      <c r="AA27" s="59">
        <f t="shared" si="47"/>
        <v>-3.0959752321981428E-2</v>
      </c>
      <c r="AB27" s="59">
        <f t="shared" si="47"/>
        <v>1.7844827586206893</v>
      </c>
      <c r="AC27" s="59">
        <f t="shared" si="47"/>
        <v>1.7543859649122744E-2</v>
      </c>
      <c r="AD27" s="59">
        <f t="shared" si="47"/>
        <v>-0.73239436619718312</v>
      </c>
      <c r="AE27" s="57"/>
      <c r="AF27" s="73"/>
      <c r="AG27" s="23">
        <f>AG477</f>
        <v>25.7</v>
      </c>
      <c r="AH27" s="146">
        <f>AH477</f>
        <v>20.9</v>
      </c>
      <c r="AI27" s="136"/>
      <c r="AJ27" s="23">
        <f>AJ477</f>
        <v>20.9</v>
      </c>
      <c r="AK27" s="23">
        <f>AK477</f>
        <v>21.4</v>
      </c>
    </row>
    <row r="28" spans="1:37" x14ac:dyDescent="0.25">
      <c r="A28" s="6" t="s">
        <v>53</v>
      </c>
      <c r="B28" s="24">
        <f>SUM(B25:B27)</f>
        <v>331.00000000000006</v>
      </c>
      <c r="C28" s="24">
        <f t="shared" ref="C28:I28" si="50">SUM(C25:C27)</f>
        <v>324</v>
      </c>
      <c r="D28" s="24">
        <f t="shared" si="50"/>
        <v>285.7</v>
      </c>
      <c r="E28" s="24">
        <f t="shared" si="50"/>
        <v>292.10000000000002</v>
      </c>
      <c r="F28" s="24">
        <f t="shared" si="50"/>
        <v>296.2</v>
      </c>
      <c r="G28" s="24">
        <f t="shared" si="50"/>
        <v>298.70000000000005</v>
      </c>
      <c r="H28" s="24">
        <f t="shared" si="50"/>
        <v>281.2</v>
      </c>
      <c r="I28" s="24">
        <f t="shared" si="50"/>
        <v>293.10000000000002</v>
      </c>
      <c r="J28" s="57"/>
      <c r="K28" s="20">
        <f t="shared" si="40"/>
        <v>0.17342554752174374</v>
      </c>
      <c r="L28" s="20">
        <f t="shared" si="41"/>
        <v>0.18931868645553346</v>
      </c>
      <c r="M28" s="20">
        <f t="shared" si="42"/>
        <v>0.17191166736867439</v>
      </c>
      <c r="N28" s="20">
        <f t="shared" si="43"/>
        <v>0.18272238208432379</v>
      </c>
      <c r="O28" s="20">
        <f t="shared" si="44"/>
        <v>0.18931356257190335</v>
      </c>
      <c r="P28" s="20">
        <f t="shared" si="45"/>
        <v>0.20183796202446114</v>
      </c>
      <c r="Q28" s="20">
        <f t="shared" si="46"/>
        <v>0.23429428428595234</v>
      </c>
      <c r="R28" s="58">
        <f t="shared" si="9"/>
        <v>0.26951724137931038</v>
      </c>
      <c r="S28" s="57"/>
      <c r="T28" s="58">
        <f t="shared" si="10"/>
        <v>1.6845252456692439E-2</v>
      </c>
      <c r="U28" s="20">
        <f>_xlfn.RRI(5.5,H28,B28)</f>
        <v>3.0089670667710289E-2</v>
      </c>
      <c r="V28" s="20">
        <f>_xlfn.RRI(5,H28,C28)</f>
        <v>2.8740739400860749E-2</v>
      </c>
      <c r="W28" s="20">
        <f t="shared" si="12"/>
        <v>2.8962170346257355E-2</v>
      </c>
      <c r="X28" s="20">
        <f t="shared" si="47"/>
        <v>2.1604938271605114E-2</v>
      </c>
      <c r="Y28" s="20">
        <f t="shared" si="47"/>
        <v>0.13405670283514179</v>
      </c>
      <c r="Z28" s="20">
        <f t="shared" si="47"/>
        <v>-2.1910304690174714E-2</v>
      </c>
      <c r="AA28" s="20">
        <f t="shared" si="47"/>
        <v>-1.3841998649560993E-2</v>
      </c>
      <c r="AB28" s="20">
        <f t="shared" si="47"/>
        <v>-8.3696016069636971E-3</v>
      </c>
      <c r="AC28" s="20">
        <f t="shared" si="47"/>
        <v>6.2233285917496647E-2</v>
      </c>
      <c r="AD28" s="20">
        <f t="shared" si="47"/>
        <v>-4.0600477652678379E-2</v>
      </c>
      <c r="AE28" s="57"/>
      <c r="AF28" s="57"/>
      <c r="AG28" s="56">
        <f>SUM(AG25:AG27)</f>
        <v>294.09999999999997</v>
      </c>
      <c r="AH28" s="147">
        <f t="shared" ref="AH28:AK28" si="51">SUM(AH25:AH27)</f>
        <v>316</v>
      </c>
      <c r="AI28" s="56"/>
      <c r="AJ28" s="56">
        <f t="shared" si="51"/>
        <v>303.29999999999995</v>
      </c>
      <c r="AK28" s="56">
        <f t="shared" si="51"/>
        <v>299.79999999999995</v>
      </c>
    </row>
    <row r="29" spans="1:37" x14ac:dyDescent="0.25">
      <c r="A29" s="14" t="s">
        <v>54</v>
      </c>
      <c r="B29" s="118">
        <f>AG29+AH29+C29-(AJ29+AK29)</f>
        <v>937.80000000000018</v>
      </c>
      <c r="C29" s="8">
        <v>817.7</v>
      </c>
      <c r="D29" s="8">
        <v>781.5</v>
      </c>
      <c r="E29" s="8">
        <v>765.8</v>
      </c>
      <c r="F29" s="8">
        <v>891</v>
      </c>
      <c r="G29" s="8">
        <v>978.8</v>
      </c>
      <c r="H29" s="8">
        <v>665.6</v>
      </c>
      <c r="I29" s="336">
        <v>619.79999999999995</v>
      </c>
      <c r="J29" s="57"/>
      <c r="K29" s="58">
        <f t="shared" si="40"/>
        <v>0.49135491983652957</v>
      </c>
      <c r="L29" s="58">
        <f t="shared" si="41"/>
        <v>0.47779595652682016</v>
      </c>
      <c r="M29" s="58">
        <f t="shared" si="42"/>
        <v>0.47024490041518741</v>
      </c>
      <c r="N29" s="58">
        <f t="shared" si="43"/>
        <v>0.47904416364318769</v>
      </c>
      <c r="O29" s="58">
        <f t="shared" si="44"/>
        <v>0.5694746261025182</v>
      </c>
      <c r="P29" s="58">
        <f t="shared" si="45"/>
        <v>0.66139604027299137</v>
      </c>
      <c r="Q29" s="58">
        <f t="shared" si="46"/>
        <v>0.55457423762706215</v>
      </c>
      <c r="R29" s="58">
        <f t="shared" si="9"/>
        <v>0.56993103448275861</v>
      </c>
      <c r="S29" s="57"/>
      <c r="T29" s="58">
        <f t="shared" si="10"/>
        <v>4.7266161067514467E-2</v>
      </c>
      <c r="U29" s="58">
        <f>_xlfn.RRI(5.5,H29,B29)</f>
        <v>6.4319860757044989E-2</v>
      </c>
      <c r="V29" s="58">
        <f>_xlfn.RRI(5,H29,C29)</f>
        <v>4.2020197282795158E-2</v>
      </c>
      <c r="W29" s="58">
        <f t="shared" si="12"/>
        <v>7.5672155173982028E-2</v>
      </c>
      <c r="X29" s="58">
        <f t="shared" si="47"/>
        <v>0.14687538216949997</v>
      </c>
      <c r="Y29" s="58">
        <f t="shared" si="47"/>
        <v>4.6321177223288608E-2</v>
      </c>
      <c r="Z29" s="58">
        <f t="shared" si="47"/>
        <v>2.0501436406372482E-2</v>
      </c>
      <c r="AA29" s="58">
        <f t="shared" si="47"/>
        <v>-0.14051627384960724</v>
      </c>
      <c r="AB29" s="58">
        <f t="shared" si="47"/>
        <v>-8.9701675521046131E-2</v>
      </c>
      <c r="AC29" s="58">
        <f t="shared" si="47"/>
        <v>0.47055288461538447</v>
      </c>
      <c r="AD29" s="58">
        <f t="shared" si="47"/>
        <v>7.3894804775734221E-2</v>
      </c>
      <c r="AE29" s="57"/>
      <c r="AF29" s="57"/>
      <c r="AG29" s="8">
        <v>902.2</v>
      </c>
      <c r="AH29" s="144">
        <v>881</v>
      </c>
      <c r="AI29" s="135"/>
      <c r="AJ29" s="8">
        <v>833.7</v>
      </c>
      <c r="AK29" s="8">
        <v>829.4</v>
      </c>
    </row>
    <row r="30" spans="1:37" x14ac:dyDescent="0.25">
      <c r="A30" s="14" t="s">
        <v>57</v>
      </c>
      <c r="B30" s="118">
        <f>AG30+AH30+C30-(AJ30+AK30)</f>
        <v>60.299999999999983</v>
      </c>
      <c r="C30" s="8">
        <v>66.3</v>
      </c>
      <c r="D30" s="8">
        <v>70.3</v>
      </c>
      <c r="E30" s="8">
        <v>81.3</v>
      </c>
      <c r="F30" s="8">
        <v>92.6</v>
      </c>
      <c r="G30" s="8">
        <v>0</v>
      </c>
      <c r="H30" s="8">
        <v>0</v>
      </c>
      <c r="I30" s="336">
        <v>0</v>
      </c>
      <c r="J30" s="57"/>
      <c r="K30" s="58">
        <f t="shared" si="40"/>
        <v>3.159383841559258E-2</v>
      </c>
      <c r="L30" s="58">
        <f t="shared" si="41"/>
        <v>3.8740212691363789E-2</v>
      </c>
      <c r="M30" s="58">
        <f t="shared" si="42"/>
        <v>4.2300980805102591E-2</v>
      </c>
      <c r="N30" s="58">
        <f t="shared" si="43"/>
        <v>5.0856999874890521E-2</v>
      </c>
      <c r="O30" s="58">
        <f t="shared" si="44"/>
        <v>5.9184456091013672E-2</v>
      </c>
      <c r="P30" s="58">
        <f t="shared" si="45"/>
        <v>0</v>
      </c>
      <c r="Q30" s="58">
        <f t="shared" si="46"/>
        <v>0</v>
      </c>
      <c r="R30" s="58">
        <f t="shared" si="9"/>
        <v>0</v>
      </c>
      <c r="S30" s="57"/>
      <c r="T30" s="58"/>
      <c r="U30" s="58"/>
      <c r="V30" s="58"/>
      <c r="W30" s="58"/>
      <c r="X30" s="58"/>
      <c r="Y30" s="58"/>
      <c r="Z30" s="58"/>
      <c r="AA30" s="58"/>
      <c r="AB30" s="58"/>
      <c r="AC30" s="58"/>
      <c r="AD30" s="58"/>
      <c r="AE30" s="57"/>
      <c r="AF30" s="57"/>
      <c r="AG30" s="8">
        <v>62.5</v>
      </c>
      <c r="AH30" s="144">
        <v>65.400000000000006</v>
      </c>
      <c r="AI30" s="135"/>
      <c r="AJ30" s="8">
        <v>67</v>
      </c>
      <c r="AK30" s="8">
        <v>66.900000000000006</v>
      </c>
    </row>
    <row r="31" spans="1:37" x14ac:dyDescent="0.25">
      <c r="A31" s="14" t="str">
        <f t="shared" ref="A31:I31" si="52">A482</f>
        <v>Other long-term liabilities (See Note)</v>
      </c>
      <c r="B31" s="118">
        <f t="shared" si="52"/>
        <v>87.199999999999989</v>
      </c>
      <c r="C31" s="118">
        <f t="shared" si="52"/>
        <v>100.4</v>
      </c>
      <c r="D31" s="118">
        <f t="shared" si="52"/>
        <v>113.6</v>
      </c>
      <c r="E31" s="118">
        <f t="shared" si="52"/>
        <v>113.4</v>
      </c>
      <c r="F31" s="118">
        <f t="shared" si="52"/>
        <v>126.1</v>
      </c>
      <c r="G31" s="118">
        <f t="shared" si="52"/>
        <v>135.4</v>
      </c>
      <c r="H31" s="118">
        <f t="shared" si="52"/>
        <v>147.6</v>
      </c>
      <c r="I31" s="118">
        <f t="shared" si="52"/>
        <v>140</v>
      </c>
      <c r="J31" s="57"/>
      <c r="K31" s="59">
        <f t="shared" si="40"/>
        <v>4.5687938803311332E-2</v>
      </c>
      <c r="L31" s="59">
        <f t="shared" si="41"/>
        <v>5.8665420123875191E-2</v>
      </c>
      <c r="M31" s="59">
        <f t="shared" si="42"/>
        <v>6.8355496720620967E-2</v>
      </c>
      <c r="N31" s="59">
        <f t="shared" si="43"/>
        <v>7.0937069936194169E-2</v>
      </c>
      <c r="O31" s="59">
        <f t="shared" si="44"/>
        <v>8.0595679406877146E-2</v>
      </c>
      <c r="P31" s="59">
        <f t="shared" si="45"/>
        <v>9.1492668423542131E-2</v>
      </c>
      <c r="Q31" s="59">
        <f t="shared" si="46"/>
        <v>0.12297950341609731</v>
      </c>
      <c r="R31" s="59">
        <f t="shared" si="9"/>
        <v>0.12873563218390804</v>
      </c>
      <c r="S31" s="57"/>
      <c r="T31" s="59">
        <f t="shared" si="10"/>
        <v>-5.3906019025098506E-2</v>
      </c>
      <c r="U31" s="59">
        <f t="shared" ref="U31:U42" si="53">_xlfn.RRI(5.5,H31,B31)</f>
        <v>-9.1255403826516202E-2</v>
      </c>
      <c r="V31" s="59">
        <f t="shared" ref="V31:V42" si="54">_xlfn.RRI(5,H31,C31)</f>
        <v>-7.4173790783518712E-2</v>
      </c>
      <c r="W31" s="59">
        <f t="shared" ref="W31" si="55">AVERAGE(X31:AC31)</f>
        <v>-8.2993756790723794E-2</v>
      </c>
      <c r="X31" s="59">
        <f t="shared" ref="X31:X42" si="56">(B31-C31)/C31</f>
        <v>-0.13147410358565753</v>
      </c>
      <c r="Y31" s="59">
        <f t="shared" ref="Y31:Y42" si="57">(C31-D31)/D31</f>
        <v>-0.11619718309859145</v>
      </c>
      <c r="Z31" s="59">
        <f t="shared" ref="Z31:Z42" si="58">(D31-E31)/E31</f>
        <v>1.7636684303349967E-3</v>
      </c>
      <c r="AA31" s="59">
        <f t="shared" ref="AA31:AA42" si="59">(E31-F31)/F31</f>
        <v>-0.10071371927042022</v>
      </c>
      <c r="AB31" s="59">
        <f t="shared" ref="AB31:AB42" si="60">(F31-G31)/G31</f>
        <v>-6.8685376661743069E-2</v>
      </c>
      <c r="AC31" s="59">
        <f t="shared" ref="AC31:AC42" si="61">(G31-H31)/H31</f>
        <v>-8.2655826558265505E-2</v>
      </c>
      <c r="AD31" s="59">
        <f t="shared" ref="AD31:AD42" si="62">(H31-I31)/I31</f>
        <v>5.4285714285714243E-2</v>
      </c>
      <c r="AE31" s="57"/>
      <c r="AF31" s="73"/>
      <c r="AG31" s="23">
        <f>AG482</f>
        <v>100.3</v>
      </c>
      <c r="AH31" s="146">
        <f>AH482</f>
        <v>103.3</v>
      </c>
      <c r="AI31" s="136"/>
      <c r="AJ31" s="23">
        <f>AJ482</f>
        <v>104.1</v>
      </c>
      <c r="AK31" s="23">
        <f>AK482</f>
        <v>112.69999999999999</v>
      </c>
    </row>
    <row r="32" spans="1:37" x14ac:dyDescent="0.25">
      <c r="A32" s="6" t="s">
        <v>59</v>
      </c>
      <c r="B32" s="25">
        <f>SUM(B29:B31)</f>
        <v>1085.3000000000002</v>
      </c>
      <c r="C32" s="25">
        <f t="shared" ref="C32:H32" si="63">SUM(C29:C31)</f>
        <v>984.4</v>
      </c>
      <c r="D32" s="25">
        <f t="shared" si="63"/>
        <v>965.4</v>
      </c>
      <c r="E32" s="25">
        <f t="shared" si="63"/>
        <v>960.49999999999989</v>
      </c>
      <c r="F32" s="25">
        <f t="shared" si="63"/>
        <v>1109.7</v>
      </c>
      <c r="G32" s="25">
        <f t="shared" si="63"/>
        <v>1114.2</v>
      </c>
      <c r="H32" s="25">
        <f t="shared" si="63"/>
        <v>813.2</v>
      </c>
      <c r="I32" s="25">
        <f t="shared" ref="I32" si="64">SUM(I29:I31)</f>
        <v>759.8</v>
      </c>
      <c r="J32" s="57"/>
      <c r="K32" s="18">
        <f t="shared" si="40"/>
        <v>0.56863669705543352</v>
      </c>
      <c r="L32" s="18">
        <f t="shared" si="41"/>
        <v>0.57520158934205912</v>
      </c>
      <c r="M32" s="18">
        <f t="shared" si="42"/>
        <v>0.58090137794091101</v>
      </c>
      <c r="N32" s="18">
        <f t="shared" si="43"/>
        <v>0.60083823345427234</v>
      </c>
      <c r="O32" s="18">
        <f t="shared" si="44"/>
        <v>0.70925476160040901</v>
      </c>
      <c r="P32" s="18">
        <f t="shared" si="45"/>
        <v>0.75288870869653357</v>
      </c>
      <c r="Q32" s="18">
        <f t="shared" si="46"/>
        <v>0.67755374104315946</v>
      </c>
      <c r="R32" s="59">
        <f t="shared" si="9"/>
        <v>0.69866666666666666</v>
      </c>
      <c r="S32" s="57"/>
      <c r="T32" s="59">
        <f t="shared" si="10"/>
        <v>4.4107910110648296E-2</v>
      </c>
      <c r="U32" s="18">
        <f t="shared" si="53"/>
        <v>5.3880457891713585E-2</v>
      </c>
      <c r="V32" s="18">
        <f t="shared" si="54"/>
        <v>3.8950477489882784E-2</v>
      </c>
      <c r="W32" s="18">
        <f t="shared" si="12"/>
        <v>5.982242945156082E-2</v>
      </c>
      <c r="X32" s="18">
        <f t="shared" si="56"/>
        <v>0.10249898415278363</v>
      </c>
      <c r="Y32" s="18">
        <f t="shared" si="57"/>
        <v>1.968096125958152E-2</v>
      </c>
      <c r="Z32" s="18">
        <f t="shared" si="58"/>
        <v>5.1015096304009282E-3</v>
      </c>
      <c r="AA32" s="18">
        <f t="shared" si="59"/>
        <v>-0.13445075245561877</v>
      </c>
      <c r="AB32" s="18">
        <f t="shared" si="60"/>
        <v>-4.0387722132471729E-3</v>
      </c>
      <c r="AC32" s="18">
        <f t="shared" si="61"/>
        <v>0.37014264633546479</v>
      </c>
      <c r="AD32" s="18">
        <f t="shared" si="62"/>
        <v>7.0281653066596603E-2</v>
      </c>
      <c r="AE32" s="57"/>
      <c r="AF32" s="73"/>
      <c r="AG32" s="115">
        <f>SUM(AG29:AG31)</f>
        <v>1065</v>
      </c>
      <c r="AH32" s="153">
        <f t="shared" ref="AH32:AK32" si="65">SUM(AH29:AH31)</f>
        <v>1049.7</v>
      </c>
      <c r="AI32" s="115"/>
      <c r="AJ32" s="115">
        <f t="shared" si="65"/>
        <v>1004.8000000000001</v>
      </c>
      <c r="AK32" s="115">
        <f t="shared" si="65"/>
        <v>1009</v>
      </c>
    </row>
    <row r="33" spans="1:37" x14ac:dyDescent="0.25">
      <c r="A33" s="6" t="s">
        <v>60</v>
      </c>
      <c r="B33" s="197">
        <f>SUM(B28,B32)</f>
        <v>1416.3000000000002</v>
      </c>
      <c r="C33" s="24">
        <f t="shared" ref="C33:H33" si="66">SUM(C28,C32)</f>
        <v>1308.4000000000001</v>
      </c>
      <c r="D33" s="24">
        <f t="shared" si="66"/>
        <v>1251.0999999999999</v>
      </c>
      <c r="E33" s="24">
        <f t="shared" si="66"/>
        <v>1252.5999999999999</v>
      </c>
      <c r="F33" s="24">
        <f t="shared" si="66"/>
        <v>1405.9</v>
      </c>
      <c r="G33" s="24">
        <f t="shared" si="66"/>
        <v>1412.9</v>
      </c>
      <c r="H33" s="24">
        <f t="shared" si="66"/>
        <v>1094.4000000000001</v>
      </c>
      <c r="I33" s="24">
        <f t="shared" ref="I33" si="67">SUM(I28,I32)</f>
        <v>1052.9000000000001</v>
      </c>
      <c r="J33" s="57"/>
      <c r="K33" s="20">
        <f t="shared" si="40"/>
        <v>0.74206224457717718</v>
      </c>
      <c r="L33" s="20">
        <f t="shared" si="41"/>
        <v>0.76452027579759263</v>
      </c>
      <c r="M33" s="20">
        <f t="shared" si="42"/>
        <v>0.75281304530958537</v>
      </c>
      <c r="N33" s="20">
        <f t="shared" si="43"/>
        <v>0.78356061553859613</v>
      </c>
      <c r="O33" s="20">
        <f t="shared" si="44"/>
        <v>0.89856832417231236</v>
      </c>
      <c r="P33" s="20">
        <f t="shared" si="45"/>
        <v>0.95472667072099471</v>
      </c>
      <c r="Q33" s="20">
        <f t="shared" si="46"/>
        <v>0.91184802532911191</v>
      </c>
      <c r="R33" s="58">
        <f t="shared" si="9"/>
        <v>0.96818390804597709</v>
      </c>
      <c r="S33" s="57"/>
      <c r="T33" s="58">
        <f t="shared" si="10"/>
        <v>3.6873006268612007E-2</v>
      </c>
      <c r="U33" s="20">
        <f t="shared" si="53"/>
        <v>4.7996541016615657E-2</v>
      </c>
      <c r="V33" s="20">
        <f t="shared" si="54"/>
        <v>3.6365364146080825E-2</v>
      </c>
      <c r="W33" s="20">
        <f t="shared" si="12"/>
        <v>5.0683591299404425E-2</v>
      </c>
      <c r="X33" s="20">
        <f t="shared" si="56"/>
        <v>8.2467135432589489E-2</v>
      </c>
      <c r="Y33" s="20">
        <f t="shared" si="57"/>
        <v>4.5799696267284938E-2</v>
      </c>
      <c r="Z33" s="20">
        <f t="shared" si="58"/>
        <v>-1.1975091809037204E-3</v>
      </c>
      <c r="AA33" s="20">
        <f t="shared" si="59"/>
        <v>-0.10904047229532696</v>
      </c>
      <c r="AB33" s="20">
        <f t="shared" si="60"/>
        <v>-4.9543492108429467E-3</v>
      </c>
      <c r="AC33" s="20">
        <f t="shared" si="61"/>
        <v>0.29102704678362573</v>
      </c>
      <c r="AD33" s="20">
        <f t="shared" si="62"/>
        <v>3.9414949187957064E-2</v>
      </c>
      <c r="AE33" s="57"/>
      <c r="AF33" s="57"/>
      <c r="AG33" s="56">
        <f>SUM(AG32,AG28)</f>
        <v>1359.1</v>
      </c>
      <c r="AH33" s="147">
        <f>SUM(AH32,AH28)</f>
        <v>1365.7</v>
      </c>
      <c r="AI33" s="56"/>
      <c r="AJ33" s="56">
        <f>SUM(AJ32,AJ28)</f>
        <v>1308.0999999999999</v>
      </c>
      <c r="AK33" s="56">
        <f>SUM(AK32,AK28)</f>
        <v>1308.8</v>
      </c>
    </row>
    <row r="34" spans="1:37" x14ac:dyDescent="0.25">
      <c r="A34" s="14" t="s">
        <v>62</v>
      </c>
      <c r="B34" s="124">
        <f>AG34+AH34+C34-(AJ34+AK34)</f>
        <v>0.20000000000000007</v>
      </c>
      <c r="C34" s="11">
        <v>0.2</v>
      </c>
      <c r="D34" s="11">
        <v>0.2</v>
      </c>
      <c r="E34" s="11">
        <v>0.2</v>
      </c>
      <c r="F34" s="11">
        <v>0.2</v>
      </c>
      <c r="G34" s="11">
        <v>0.2</v>
      </c>
      <c r="H34" s="11">
        <v>0.2</v>
      </c>
      <c r="I34" s="339">
        <v>0.2</v>
      </c>
      <c r="J34" s="57"/>
      <c r="K34" s="58">
        <f t="shared" si="40"/>
        <v>1.0478885046631044E-4</v>
      </c>
      <c r="L34" s="58">
        <f t="shared" si="41"/>
        <v>1.168633867009466E-4</v>
      </c>
      <c r="M34" s="58">
        <f t="shared" si="42"/>
        <v>1.2034418436729045E-4</v>
      </c>
      <c r="N34" s="58">
        <f t="shared" si="43"/>
        <v>1.2510947078693858E-4</v>
      </c>
      <c r="O34" s="58">
        <f t="shared" si="44"/>
        <v>1.2782819890067747E-4</v>
      </c>
      <c r="P34" s="58">
        <f t="shared" si="45"/>
        <v>1.3514426650449354E-4</v>
      </c>
      <c r="Q34" s="58">
        <f t="shared" si="46"/>
        <v>1.6663889351774705E-4</v>
      </c>
      <c r="R34" s="58">
        <f t="shared" si="9"/>
        <v>1.8390804597701149E-4</v>
      </c>
      <c r="S34" s="57"/>
      <c r="T34" s="58">
        <f t="shared" si="10"/>
        <v>0</v>
      </c>
      <c r="U34" s="58">
        <f t="shared" si="53"/>
        <v>0</v>
      </c>
      <c r="V34" s="58">
        <f t="shared" si="54"/>
        <v>0</v>
      </c>
      <c r="W34" s="58">
        <f t="shared" si="12"/>
        <v>4.6259292692714858E-17</v>
      </c>
      <c r="X34" s="58">
        <f t="shared" si="56"/>
        <v>2.7755575615628914E-16</v>
      </c>
      <c r="Y34" s="58">
        <f t="shared" si="57"/>
        <v>0</v>
      </c>
      <c r="Z34" s="58">
        <f t="shared" si="58"/>
        <v>0</v>
      </c>
      <c r="AA34" s="58">
        <f t="shared" si="59"/>
        <v>0</v>
      </c>
      <c r="AB34" s="58">
        <f t="shared" si="60"/>
        <v>0</v>
      </c>
      <c r="AC34" s="58">
        <f t="shared" si="61"/>
        <v>0</v>
      </c>
      <c r="AD34" s="58">
        <f t="shared" si="62"/>
        <v>0</v>
      </c>
      <c r="AE34" s="57"/>
      <c r="AF34" s="57"/>
      <c r="AG34" s="8">
        <v>0.2</v>
      </c>
      <c r="AH34" s="144">
        <v>0.2</v>
      </c>
      <c r="AI34" s="135"/>
      <c r="AJ34" s="8">
        <v>0.2</v>
      </c>
      <c r="AK34" s="8">
        <v>0.2</v>
      </c>
    </row>
    <row r="35" spans="1:37" x14ac:dyDescent="0.25">
      <c r="A35" s="14" t="s">
        <v>63</v>
      </c>
      <c r="B35" s="118">
        <f>AG35+AH35+C35-(AJ35+AK35)</f>
        <v>296.39999999999998</v>
      </c>
      <c r="C35" s="8">
        <v>263.89999999999998</v>
      </c>
      <c r="D35" s="8">
        <v>249.5</v>
      </c>
      <c r="E35" s="8">
        <v>234.1</v>
      </c>
      <c r="F35" s="8">
        <v>221.9</v>
      </c>
      <c r="G35" s="8">
        <v>206</v>
      </c>
      <c r="H35" s="8">
        <v>190.6</v>
      </c>
      <c r="I35" s="336">
        <v>176.5</v>
      </c>
      <c r="J35" s="57"/>
      <c r="K35" s="58">
        <f t="shared" si="40"/>
        <v>0.15529707639107201</v>
      </c>
      <c r="L35" s="58">
        <f t="shared" si="41"/>
        <v>0.15420123875189901</v>
      </c>
      <c r="M35" s="58">
        <f t="shared" si="42"/>
        <v>0.15012936999819482</v>
      </c>
      <c r="N35" s="58">
        <f t="shared" si="43"/>
        <v>0.14644063555611159</v>
      </c>
      <c r="O35" s="58">
        <f t="shared" si="44"/>
        <v>0.14182538668030167</v>
      </c>
      <c r="P35" s="58">
        <f t="shared" si="45"/>
        <v>0.13919859449962835</v>
      </c>
      <c r="Q35" s="58">
        <f t="shared" si="46"/>
        <v>0.15880686552241291</v>
      </c>
      <c r="R35" s="58">
        <f t="shared" si="9"/>
        <v>0.16229885057471263</v>
      </c>
      <c r="S35" s="57"/>
      <c r="T35" s="58">
        <f t="shared" si="10"/>
        <v>6.9339920289936074E-2</v>
      </c>
      <c r="U35" s="58">
        <f t="shared" si="53"/>
        <v>8.3589032140685804E-2</v>
      </c>
      <c r="V35" s="58">
        <f t="shared" si="54"/>
        <v>6.7242960230796678E-2</v>
      </c>
      <c r="W35" s="58">
        <f t="shared" si="12"/>
        <v>7.6602276921132598E-2</v>
      </c>
      <c r="X35" s="58">
        <f t="shared" si="56"/>
        <v>0.12315270935960593</v>
      </c>
      <c r="Y35" s="58">
        <f t="shared" si="57"/>
        <v>5.7715430861723357E-2</v>
      </c>
      <c r="Z35" s="58">
        <f t="shared" si="58"/>
        <v>6.5783853054250344E-2</v>
      </c>
      <c r="AA35" s="58">
        <f t="shared" si="59"/>
        <v>5.4979720594862495E-2</v>
      </c>
      <c r="AB35" s="58">
        <f t="shared" si="60"/>
        <v>7.7184466019417503E-2</v>
      </c>
      <c r="AC35" s="58">
        <f t="shared" si="61"/>
        <v>8.0797481636936022E-2</v>
      </c>
      <c r="AD35" s="58">
        <f t="shared" si="62"/>
        <v>7.9886685552407896E-2</v>
      </c>
      <c r="AE35" s="57"/>
      <c r="AF35" s="57"/>
      <c r="AG35" s="8">
        <v>273.7</v>
      </c>
      <c r="AH35" s="144">
        <v>269.2</v>
      </c>
      <c r="AI35" s="135"/>
      <c r="AJ35" s="8">
        <v>257</v>
      </c>
      <c r="AK35" s="8">
        <v>253.4</v>
      </c>
    </row>
    <row r="36" spans="1:37" x14ac:dyDescent="0.25">
      <c r="A36" s="14" t="s">
        <v>64</v>
      </c>
      <c r="B36" s="118">
        <f>AG36+AH36+C36-(AJ36+AK36)</f>
        <v>503.70000000000005</v>
      </c>
      <c r="C36" s="8">
        <v>360.2</v>
      </c>
      <c r="D36" s="8">
        <v>300.89999999999998</v>
      </c>
      <c r="E36" s="8">
        <v>215.8</v>
      </c>
      <c r="F36" s="8">
        <v>93.8</v>
      </c>
      <c r="G36" s="8">
        <v>27.2</v>
      </c>
      <c r="H36" s="8">
        <v>7.4</v>
      </c>
      <c r="I36" s="336">
        <v>-24.7</v>
      </c>
      <c r="J36" s="57"/>
      <c r="K36" s="58">
        <f t="shared" si="40"/>
        <v>0.26391071989940279</v>
      </c>
      <c r="L36" s="58">
        <f t="shared" si="41"/>
        <v>0.2104709594484048</v>
      </c>
      <c r="M36" s="58">
        <f t="shared" si="42"/>
        <v>0.18105782538058846</v>
      </c>
      <c r="N36" s="58">
        <f t="shared" si="43"/>
        <v>0.13499311897910671</v>
      </c>
      <c r="O36" s="58">
        <f t="shared" si="44"/>
        <v>5.9951425284417735E-2</v>
      </c>
      <c r="P36" s="58">
        <f t="shared" si="45"/>
        <v>1.8379620244611122E-2</v>
      </c>
      <c r="Q36" s="58">
        <f t="shared" si="46"/>
        <v>6.1656390601566406E-3</v>
      </c>
      <c r="R36" s="58">
        <f t="shared" si="9"/>
        <v>-2.2712643678160917E-2</v>
      </c>
      <c r="S36" s="57"/>
      <c r="T36" s="58"/>
      <c r="U36" s="58">
        <f t="shared" si="53"/>
        <v>1.1540801575114852</v>
      </c>
      <c r="V36" s="58">
        <f t="shared" si="54"/>
        <v>1.1750157078321157</v>
      </c>
      <c r="W36" s="58">
        <f t="shared" si="12"/>
        <v>1.2357760978877408</v>
      </c>
      <c r="X36" s="58">
        <f t="shared" si="56"/>
        <v>0.39838978345363701</v>
      </c>
      <c r="Y36" s="58">
        <f t="shared" si="57"/>
        <v>0.19707544034562982</v>
      </c>
      <c r="Z36" s="58">
        <f t="shared" si="58"/>
        <v>0.39434661723818332</v>
      </c>
      <c r="AA36" s="58">
        <f t="shared" si="59"/>
        <v>1.3006396588486142</v>
      </c>
      <c r="AB36" s="58">
        <f t="shared" si="60"/>
        <v>2.4485294117647056</v>
      </c>
      <c r="AC36" s="58">
        <f t="shared" si="61"/>
        <v>2.675675675675675</v>
      </c>
      <c r="AD36" s="58">
        <f t="shared" si="62"/>
        <v>-1.299595141700405</v>
      </c>
      <c r="AE36" s="57"/>
      <c r="AF36" s="57"/>
      <c r="AG36" s="8">
        <v>407.3</v>
      </c>
      <c r="AH36" s="144">
        <v>384.2</v>
      </c>
      <c r="AI36" s="135"/>
      <c r="AJ36" s="8">
        <v>329.3</v>
      </c>
      <c r="AK36" s="8">
        <v>318.7</v>
      </c>
    </row>
    <row r="37" spans="1:37" x14ac:dyDescent="0.25">
      <c r="A37" s="14" t="s">
        <v>71</v>
      </c>
      <c r="B37" s="118">
        <f>AG37+AH37+C37-(AJ37+AK37)</f>
        <v>-155</v>
      </c>
      <c r="C37" s="8">
        <v>-97.3</v>
      </c>
      <c r="D37" s="8">
        <v>-40</v>
      </c>
      <c r="E37" s="8">
        <v>-15.9</v>
      </c>
      <c r="F37" s="8">
        <v>-77.7</v>
      </c>
      <c r="G37" s="8">
        <v>-87.2</v>
      </c>
      <c r="H37" s="8">
        <v>-40.1</v>
      </c>
      <c r="I37" s="336">
        <v>-68.599999999999994</v>
      </c>
      <c r="J37" s="57"/>
      <c r="K37" s="58">
        <f t="shared" si="40"/>
        <v>-8.121135911139056E-2</v>
      </c>
      <c r="L37" s="58">
        <f t="shared" si="41"/>
        <v>-5.6854037630010512E-2</v>
      </c>
      <c r="M37" s="58">
        <f t="shared" si="42"/>
        <v>-2.406883687345809E-2</v>
      </c>
      <c r="N37" s="58">
        <f t="shared" si="43"/>
        <v>-9.9462029275616155E-3</v>
      </c>
      <c r="O37" s="58">
        <f t="shared" si="44"/>
        <v>-4.96612552729132E-2</v>
      </c>
      <c r="P37" s="58">
        <f t="shared" si="45"/>
        <v>-5.8922900195959187E-2</v>
      </c>
      <c r="Q37" s="58">
        <f t="shared" si="46"/>
        <v>-3.341109815030828E-2</v>
      </c>
      <c r="R37" s="58">
        <f t="shared" si="9"/>
        <v>-6.3080459770114936E-2</v>
      </c>
      <c r="S37" s="57"/>
      <c r="T37" s="58">
        <f t="shared" si="10"/>
        <v>5.9981097845075881E-2</v>
      </c>
      <c r="U37" s="58">
        <f t="shared" si="53"/>
        <v>0.27867840875488747</v>
      </c>
      <c r="V37" s="58">
        <f t="shared" si="54"/>
        <v>0.1939707664684176</v>
      </c>
      <c r="W37" s="58">
        <f t="shared" si="12"/>
        <v>0.63524773620149677</v>
      </c>
      <c r="X37" s="58">
        <f t="shared" si="56"/>
        <v>0.59301130524152112</v>
      </c>
      <c r="Y37" s="58">
        <f t="shared" si="57"/>
        <v>1.4324999999999999</v>
      </c>
      <c r="Z37" s="58">
        <f t="shared" si="58"/>
        <v>1.5157232704402517</v>
      </c>
      <c r="AA37" s="58">
        <f t="shared" si="59"/>
        <v>-0.79536679536679544</v>
      </c>
      <c r="AB37" s="58">
        <f t="shared" si="60"/>
        <v>-0.10894495412844037</v>
      </c>
      <c r="AC37" s="58">
        <f t="shared" si="61"/>
        <v>1.1745635910224439</v>
      </c>
      <c r="AD37" s="58">
        <f t="shared" si="62"/>
        <v>-0.4154518950437317</v>
      </c>
      <c r="AE37" s="57"/>
      <c r="AF37" s="57"/>
      <c r="AG37" s="8">
        <v>-95.1</v>
      </c>
      <c r="AH37" s="144">
        <v>-89.6</v>
      </c>
      <c r="AI37" s="135"/>
      <c r="AJ37" s="8">
        <v>-88.7</v>
      </c>
      <c r="AK37" s="8">
        <v>-38.299999999999997</v>
      </c>
    </row>
    <row r="38" spans="1:37" x14ac:dyDescent="0.25">
      <c r="A38" s="14" t="s">
        <v>65</v>
      </c>
      <c r="B38" s="120">
        <f>AG38+AH38+C38-(AJ38+AK38)</f>
        <v>-156.9</v>
      </c>
      <c r="C38" s="23">
        <v>-127.6</v>
      </c>
      <c r="D38" s="23">
        <v>-104</v>
      </c>
      <c r="E38" s="23">
        <v>-92.5</v>
      </c>
      <c r="F38" s="23">
        <v>-90.9</v>
      </c>
      <c r="G38" s="23">
        <v>-90</v>
      </c>
      <c r="H38" s="23">
        <v>-58.2</v>
      </c>
      <c r="I38" s="341">
        <v>-53</v>
      </c>
      <c r="J38" s="57"/>
      <c r="K38" s="59">
        <f t="shared" si="40"/>
        <v>-8.2206853190820509E-2</v>
      </c>
      <c r="L38" s="59">
        <f t="shared" si="41"/>
        <v>-7.4558840715203925E-2</v>
      </c>
      <c r="M38" s="59">
        <f t="shared" si="42"/>
        <v>-6.2578975870991024E-2</v>
      </c>
      <c r="N38" s="59">
        <f t="shared" si="43"/>
        <v>-5.7863130238959087E-2</v>
      </c>
      <c r="O38" s="59">
        <f t="shared" si="44"/>
        <v>-5.809791640035792E-2</v>
      </c>
      <c r="P38" s="59">
        <f t="shared" si="45"/>
        <v>-6.0814919927022093E-2</v>
      </c>
      <c r="Q38" s="59">
        <f t="shared" si="46"/>
        <v>-4.8491918013664391E-2</v>
      </c>
      <c r="R38" s="59">
        <f t="shared" si="9"/>
        <v>-4.8735632183908043E-2</v>
      </c>
      <c r="S38" s="57"/>
      <c r="T38" s="59">
        <f t="shared" si="10"/>
        <v>0.15769938024115637</v>
      </c>
      <c r="U38" s="59">
        <f t="shared" si="53"/>
        <v>0.19759254383606151</v>
      </c>
      <c r="V38" s="59">
        <f t="shared" si="54"/>
        <v>0.16999912767756897</v>
      </c>
      <c r="W38" s="59">
        <f t="shared" si="12"/>
        <v>0.19247745640869152</v>
      </c>
      <c r="X38" s="59">
        <f t="shared" si="56"/>
        <v>0.22962382445141075</v>
      </c>
      <c r="Y38" s="59">
        <f t="shared" si="57"/>
        <v>0.22692307692307687</v>
      </c>
      <c r="Z38" s="59">
        <f t="shared" si="58"/>
        <v>0.12432432432432433</v>
      </c>
      <c r="AA38" s="59">
        <f t="shared" si="59"/>
        <v>1.7601760176017538E-2</v>
      </c>
      <c r="AB38" s="59">
        <f t="shared" si="60"/>
        <v>1.0000000000000063E-2</v>
      </c>
      <c r="AC38" s="59">
        <f t="shared" si="61"/>
        <v>0.54639175257731953</v>
      </c>
      <c r="AD38" s="59">
        <f t="shared" si="62"/>
        <v>9.8113207547169859E-2</v>
      </c>
      <c r="AE38" s="57"/>
      <c r="AF38" s="73"/>
      <c r="AG38" s="23">
        <v>-133.5</v>
      </c>
      <c r="AH38" s="146">
        <v>-133.4</v>
      </c>
      <c r="AI38" s="136"/>
      <c r="AJ38" s="23">
        <v>-122.5</v>
      </c>
      <c r="AK38" s="23">
        <v>-115.1</v>
      </c>
    </row>
    <row r="39" spans="1:37" x14ac:dyDescent="0.25">
      <c r="A39" s="6" t="s">
        <v>66</v>
      </c>
      <c r="B39" s="24">
        <f>SUM(B34:B38)</f>
        <v>488.4</v>
      </c>
      <c r="C39" s="24">
        <f t="shared" ref="C39:I39" si="68">SUM(C34:C38)</f>
        <v>399.4</v>
      </c>
      <c r="D39" s="24">
        <f t="shared" si="68"/>
        <v>406.59999999999991</v>
      </c>
      <c r="E39" s="24">
        <f t="shared" si="68"/>
        <v>341.70000000000005</v>
      </c>
      <c r="F39" s="24">
        <f t="shared" si="68"/>
        <v>147.29999999999998</v>
      </c>
      <c r="G39" s="24">
        <f t="shared" si="68"/>
        <v>56.199999999999989</v>
      </c>
      <c r="H39" s="24">
        <f t="shared" si="68"/>
        <v>99.899999999999991</v>
      </c>
      <c r="I39" s="24">
        <f t="shared" si="68"/>
        <v>30.400000000000006</v>
      </c>
      <c r="J39" s="57"/>
      <c r="K39" s="20">
        <f t="shared" si="40"/>
        <v>0.25589437283873001</v>
      </c>
      <c r="L39" s="20">
        <f t="shared" si="41"/>
        <v>0.23337618324179032</v>
      </c>
      <c r="M39" s="20">
        <f t="shared" si="42"/>
        <v>0.24465972681870141</v>
      </c>
      <c r="N39" s="20">
        <f t="shared" si="43"/>
        <v>0.21374953083948456</v>
      </c>
      <c r="O39" s="20">
        <f t="shared" si="44"/>
        <v>9.4145468490348952E-2</v>
      </c>
      <c r="P39" s="20">
        <f t="shared" si="45"/>
        <v>3.7975538887762679E-2</v>
      </c>
      <c r="Q39" s="20">
        <f t="shared" si="46"/>
        <v>8.3236127312114633E-2</v>
      </c>
      <c r="R39" s="58">
        <f t="shared" si="9"/>
        <v>2.7954022988505751E-2</v>
      </c>
      <c r="S39" s="57"/>
      <c r="T39" s="58">
        <f t="shared" si="10"/>
        <v>0.53611034104253763</v>
      </c>
      <c r="U39" s="20">
        <f t="shared" si="53"/>
        <v>0.33447652813203432</v>
      </c>
      <c r="V39" s="20">
        <f t="shared" si="54"/>
        <v>0.31937580144798172</v>
      </c>
      <c r="W39" s="20">
        <f t="shared" si="12"/>
        <v>0.48306228742914747</v>
      </c>
      <c r="X39" s="20">
        <f t="shared" si="56"/>
        <v>0.22283425137706561</v>
      </c>
      <c r="Y39" s="20">
        <f t="shared" si="57"/>
        <v>-1.7707820954254633E-2</v>
      </c>
      <c r="Z39" s="20">
        <f t="shared" si="58"/>
        <v>0.18993268949370751</v>
      </c>
      <c r="AA39" s="20">
        <f t="shared" si="59"/>
        <v>1.3197556008146645</v>
      </c>
      <c r="AB39" s="20">
        <f t="shared" si="60"/>
        <v>1.6209964412811391</v>
      </c>
      <c r="AC39" s="20">
        <f t="shared" si="61"/>
        <v>-0.43743743743743752</v>
      </c>
      <c r="AD39" s="20">
        <f t="shared" si="62"/>
        <v>2.286184210526315</v>
      </c>
      <c r="AE39" s="57"/>
      <c r="AF39" s="57"/>
      <c r="AG39" s="56">
        <f>SUM(AG34:AG38)</f>
        <v>452.6</v>
      </c>
      <c r="AH39" s="147">
        <f>SUM(AH34:AH38)</f>
        <v>430.59999999999991</v>
      </c>
      <c r="AI39" s="56"/>
      <c r="AJ39" s="56">
        <f>SUM(AJ34:AJ38)</f>
        <v>375.3</v>
      </c>
      <c r="AK39" s="56">
        <f>SUM(AK34:AK38)</f>
        <v>418.9</v>
      </c>
    </row>
    <row r="40" spans="1:37" x14ac:dyDescent="0.25">
      <c r="A40" s="14" t="s">
        <v>67</v>
      </c>
      <c r="B40" s="120">
        <f>AG40+AH40+C40-(AJ40+AK40)</f>
        <v>3.9000000000000004</v>
      </c>
      <c r="C40" s="23">
        <v>3.6</v>
      </c>
      <c r="D40" s="23">
        <v>4.2</v>
      </c>
      <c r="E40" s="23">
        <v>4.3</v>
      </c>
      <c r="F40" s="23">
        <v>11.4</v>
      </c>
      <c r="G40" s="23">
        <v>10.8</v>
      </c>
      <c r="H40" s="23">
        <v>5.9</v>
      </c>
      <c r="I40" s="113">
        <v>4.2</v>
      </c>
      <c r="J40" s="57"/>
      <c r="K40" s="59">
        <f t="shared" si="40"/>
        <v>2.0433825840930528E-3</v>
      </c>
      <c r="L40" s="59">
        <f t="shared" si="41"/>
        <v>2.1035409606170387E-3</v>
      </c>
      <c r="M40" s="59">
        <f t="shared" si="42"/>
        <v>2.5272278717130992E-3</v>
      </c>
      <c r="N40" s="59">
        <f t="shared" si="43"/>
        <v>2.6898536219191788E-3</v>
      </c>
      <c r="O40" s="59">
        <f t="shared" si="44"/>
        <v>7.2862073373386165E-3</v>
      </c>
      <c r="P40" s="59">
        <f t="shared" si="45"/>
        <v>7.2977903912426513E-3</v>
      </c>
      <c r="Q40" s="59">
        <f t="shared" si="46"/>
        <v>4.9158473587735379E-3</v>
      </c>
      <c r="R40" s="59">
        <f t="shared" si="9"/>
        <v>3.8620689655172414E-3</v>
      </c>
      <c r="S40" s="57"/>
      <c r="T40" s="59">
        <f t="shared" si="10"/>
        <v>-2.5364554516409732E-2</v>
      </c>
      <c r="U40" s="59">
        <f t="shared" si="53"/>
        <v>-7.250541878033312E-2</v>
      </c>
      <c r="V40" s="59">
        <f t="shared" si="54"/>
        <v>-9.407947821830287E-2</v>
      </c>
      <c r="W40" s="59">
        <f t="shared" si="12"/>
        <v>3.0079564851778207E-2</v>
      </c>
      <c r="X40" s="59">
        <f t="shared" si="56"/>
        <v>8.3333333333333412E-2</v>
      </c>
      <c r="Y40" s="59">
        <f t="shared" si="57"/>
        <v>-0.14285714285714288</v>
      </c>
      <c r="Z40" s="59">
        <f t="shared" si="58"/>
        <v>-2.3255813953488292E-2</v>
      </c>
      <c r="AA40" s="59">
        <f t="shared" si="59"/>
        <v>-0.6228070175438597</v>
      </c>
      <c r="AB40" s="59">
        <f t="shared" si="60"/>
        <v>5.5555555555555518E-2</v>
      </c>
      <c r="AC40" s="59">
        <f t="shared" si="61"/>
        <v>0.83050847457627119</v>
      </c>
      <c r="AD40" s="59">
        <f t="shared" si="62"/>
        <v>0.40476190476190477</v>
      </c>
      <c r="AE40" s="57"/>
      <c r="AF40" s="73"/>
      <c r="AG40" s="23">
        <v>4</v>
      </c>
      <c r="AH40" s="146">
        <v>4.3</v>
      </c>
      <c r="AI40" s="136"/>
      <c r="AJ40" s="23">
        <v>3.9</v>
      </c>
      <c r="AK40" s="23">
        <v>4.0999999999999996</v>
      </c>
    </row>
    <row r="41" spans="1:37" x14ac:dyDescent="0.25">
      <c r="A41" s="6" t="s">
        <v>68</v>
      </c>
      <c r="B41" s="25">
        <f>SUM(B39:B40)</f>
        <v>492.29999999999995</v>
      </c>
      <c r="C41" s="25">
        <f>SUM(C39:C40)</f>
        <v>403</v>
      </c>
      <c r="D41" s="25">
        <f t="shared" ref="D41:H41" si="69">SUM(D39:D40)</f>
        <v>410.7999999999999</v>
      </c>
      <c r="E41" s="25">
        <f t="shared" si="69"/>
        <v>346.00000000000006</v>
      </c>
      <c r="F41" s="25">
        <f t="shared" si="69"/>
        <v>158.69999999999999</v>
      </c>
      <c r="G41" s="25">
        <f t="shared" si="69"/>
        <v>66.999999999999986</v>
      </c>
      <c r="H41" s="25">
        <f t="shared" si="69"/>
        <v>105.8</v>
      </c>
      <c r="I41" s="25">
        <f t="shared" ref="I41" si="70">SUM(I39:I40)</f>
        <v>34.600000000000009</v>
      </c>
      <c r="J41" s="57"/>
      <c r="K41" s="18">
        <f t="shared" si="40"/>
        <v>0.25793775542282305</v>
      </c>
      <c r="L41" s="18">
        <f t="shared" si="41"/>
        <v>0.23547972420240737</v>
      </c>
      <c r="M41" s="18">
        <f t="shared" si="42"/>
        <v>0.24718695469041452</v>
      </c>
      <c r="N41" s="18">
        <f t="shared" si="43"/>
        <v>0.21643938446140373</v>
      </c>
      <c r="O41" s="18">
        <f t="shared" si="44"/>
        <v>0.10143167582768757</v>
      </c>
      <c r="P41" s="18">
        <f t="shared" si="45"/>
        <v>4.5273329279005327E-2</v>
      </c>
      <c r="Q41" s="18">
        <f t="shared" si="46"/>
        <v>8.8151974670888186E-2</v>
      </c>
      <c r="R41" s="59">
        <f t="shared" si="9"/>
        <v>3.1816091954022997E-2</v>
      </c>
      <c r="S41" s="57"/>
      <c r="T41" s="59">
        <f t="shared" si="10"/>
        <v>0.50558342363327236</v>
      </c>
      <c r="U41" s="18">
        <f t="shared" si="53"/>
        <v>0.32253760791734876</v>
      </c>
      <c r="V41" s="18">
        <f t="shared" si="54"/>
        <v>0.3066638486734794</v>
      </c>
      <c r="W41" s="18">
        <f t="shared" si="12"/>
        <v>0.42867087717279939</v>
      </c>
      <c r="X41" s="18">
        <f t="shared" si="56"/>
        <v>0.22158808933002469</v>
      </c>
      <c r="Y41" s="18">
        <f t="shared" si="57"/>
        <v>-1.8987341772151653E-2</v>
      </c>
      <c r="Z41" s="18">
        <f t="shared" si="58"/>
        <v>0.18728323699421917</v>
      </c>
      <c r="AA41" s="18">
        <f t="shared" si="59"/>
        <v>1.1802142407057346</v>
      </c>
      <c r="AB41" s="18">
        <f t="shared" si="60"/>
        <v>1.3686567164179109</v>
      </c>
      <c r="AC41" s="18">
        <f t="shared" si="61"/>
        <v>-0.36672967863894151</v>
      </c>
      <c r="AD41" s="18">
        <f t="shared" si="62"/>
        <v>2.0578034682080917</v>
      </c>
      <c r="AE41" s="57"/>
      <c r="AF41" s="73"/>
      <c r="AG41" s="115">
        <f>SUM(AG39:AG40)</f>
        <v>456.6</v>
      </c>
      <c r="AH41" s="153">
        <f t="shared" ref="AH41:AK41" si="71">SUM(AH39:AH40)</f>
        <v>434.89999999999992</v>
      </c>
      <c r="AI41" s="115"/>
      <c r="AJ41" s="115">
        <f t="shared" si="71"/>
        <v>379.2</v>
      </c>
      <c r="AK41" s="115">
        <f t="shared" si="71"/>
        <v>423</v>
      </c>
    </row>
    <row r="42" spans="1:37" ht="15.75" thickBot="1" x14ac:dyDescent="0.3">
      <c r="A42" s="6" t="s">
        <v>69</v>
      </c>
      <c r="B42" s="30">
        <f t="shared" ref="B42:H42" si="72">SUM(B41,B33)</f>
        <v>1908.6000000000001</v>
      </c>
      <c r="C42" s="30">
        <f t="shared" si="72"/>
        <v>1711.4</v>
      </c>
      <c r="D42" s="30">
        <f t="shared" si="72"/>
        <v>1661.8999999999999</v>
      </c>
      <c r="E42" s="30">
        <f t="shared" si="72"/>
        <v>1598.6</v>
      </c>
      <c r="F42" s="30">
        <f t="shared" si="72"/>
        <v>1564.6000000000001</v>
      </c>
      <c r="G42" s="30">
        <f t="shared" si="72"/>
        <v>1479.9</v>
      </c>
      <c r="H42" s="30">
        <f t="shared" si="72"/>
        <v>1200.2</v>
      </c>
      <c r="I42" s="30">
        <f t="shared" ref="I42" si="73">SUM(I41,I33)</f>
        <v>1087.5</v>
      </c>
      <c r="J42" s="57"/>
      <c r="K42" s="19">
        <f t="shared" si="40"/>
        <v>1.0000000000000002</v>
      </c>
      <c r="L42" s="19">
        <f t="shared" si="41"/>
        <v>1</v>
      </c>
      <c r="M42" s="19">
        <f t="shared" si="42"/>
        <v>0.99999999999999989</v>
      </c>
      <c r="N42" s="19">
        <f t="shared" si="43"/>
        <v>0.99999999999999989</v>
      </c>
      <c r="O42" s="19">
        <f t="shared" si="44"/>
        <v>1</v>
      </c>
      <c r="P42" s="19">
        <f t="shared" si="45"/>
        <v>1</v>
      </c>
      <c r="Q42" s="19">
        <f t="shared" si="46"/>
        <v>1</v>
      </c>
      <c r="R42" s="211">
        <f t="shared" si="9"/>
        <v>1</v>
      </c>
      <c r="S42" s="57"/>
      <c r="T42" s="211">
        <f t="shared" si="10"/>
        <v>7.8500565123124311E-2</v>
      </c>
      <c r="U42" s="19">
        <f t="shared" si="53"/>
        <v>8.8001080689594335E-2</v>
      </c>
      <c r="V42" s="19">
        <f t="shared" si="54"/>
        <v>7.3543337585615376E-2</v>
      </c>
      <c r="W42" s="19">
        <f t="shared" si="12"/>
        <v>8.2769752614073544E-2</v>
      </c>
      <c r="X42" s="19">
        <f t="shared" si="56"/>
        <v>0.11522729928713336</v>
      </c>
      <c r="Y42" s="19">
        <f t="shared" si="57"/>
        <v>2.9785185630904525E-2</v>
      </c>
      <c r="Z42" s="19">
        <f t="shared" si="58"/>
        <v>3.9597147504066031E-2</v>
      </c>
      <c r="AA42" s="19">
        <f t="shared" si="59"/>
        <v>2.1730793813115025E-2</v>
      </c>
      <c r="AB42" s="19">
        <f t="shared" si="60"/>
        <v>5.7233596864653041E-2</v>
      </c>
      <c r="AC42" s="19">
        <f t="shared" si="61"/>
        <v>0.23304449258456927</v>
      </c>
      <c r="AD42" s="19">
        <f t="shared" si="62"/>
        <v>0.10363218390804602</v>
      </c>
      <c r="AE42" s="57"/>
      <c r="AF42" s="172"/>
      <c r="AG42" s="117">
        <f>SUM(AG33,AG41)</f>
        <v>1815.6999999999998</v>
      </c>
      <c r="AH42" s="152">
        <f>SUM(AH33,AH41)</f>
        <v>1800.6</v>
      </c>
      <c r="AI42" s="117"/>
      <c r="AJ42" s="117">
        <f>SUM(AJ33,AJ41)</f>
        <v>1687.3</v>
      </c>
      <c r="AK42" s="117">
        <f>SUM(AK33,AK41)</f>
        <v>1731.8</v>
      </c>
    </row>
    <row r="43" spans="1:37" ht="15.75" thickTop="1" x14ac:dyDescent="0.25">
      <c r="A43" s="353" t="s">
        <v>538</v>
      </c>
      <c r="B43" s="61">
        <f>B42-B23</f>
        <v>0</v>
      </c>
      <c r="C43" s="61">
        <f t="shared" ref="C43:I43" si="74">C42-C23</f>
        <v>0</v>
      </c>
      <c r="D43" s="61">
        <f t="shared" si="74"/>
        <v>0</v>
      </c>
      <c r="E43" s="61">
        <f t="shared" si="74"/>
        <v>0</v>
      </c>
      <c r="F43" s="61">
        <f t="shared" si="74"/>
        <v>0</v>
      </c>
      <c r="G43" s="61">
        <f t="shared" si="74"/>
        <v>0</v>
      </c>
      <c r="H43" s="61">
        <f t="shared" si="74"/>
        <v>0</v>
      </c>
      <c r="I43" s="61">
        <f t="shared" si="74"/>
        <v>0</v>
      </c>
      <c r="J43" s="61">
        <f t="shared" ref="J43" si="75">J42-J23</f>
        <v>0</v>
      </c>
      <c r="K43" s="61">
        <f t="shared" ref="K43" si="76">K42-K23</f>
        <v>0</v>
      </c>
      <c r="L43" s="61">
        <f t="shared" ref="L43" si="77">L42-L23</f>
        <v>0</v>
      </c>
      <c r="M43" s="61">
        <f t="shared" ref="M43" si="78">M42-M23</f>
        <v>0</v>
      </c>
      <c r="N43" s="61">
        <f t="shared" ref="N43" si="79">N42-N23</f>
        <v>0</v>
      </c>
      <c r="O43" s="61">
        <f t="shared" ref="O43" si="80">O42-O23</f>
        <v>0</v>
      </c>
      <c r="P43" s="61">
        <f t="shared" ref="P43" si="81">P42-P23</f>
        <v>0</v>
      </c>
      <c r="Q43" s="61">
        <f t="shared" ref="Q43:R43" si="82">Q42-Q23</f>
        <v>0</v>
      </c>
      <c r="R43" s="61">
        <f t="shared" si="82"/>
        <v>0</v>
      </c>
      <c r="S43" s="61"/>
      <c r="T43" s="61"/>
      <c r="U43" s="61"/>
      <c r="V43" s="61"/>
      <c r="W43" s="61"/>
      <c r="X43" s="62"/>
      <c r="Y43" s="61"/>
      <c r="Z43" s="61"/>
      <c r="AA43" s="61"/>
      <c r="AB43" s="61"/>
      <c r="AC43" s="61"/>
      <c r="AD43" s="61"/>
      <c r="AE43" s="57"/>
      <c r="AF43" s="57"/>
      <c r="AG43" s="61">
        <f>AG42-AG23</f>
        <v>0</v>
      </c>
      <c r="AH43" s="61">
        <f>AH42-AH23</f>
        <v>0</v>
      </c>
      <c r="AI43" s="61"/>
      <c r="AJ43" s="61">
        <f>AJ42-AJ23</f>
        <v>0</v>
      </c>
      <c r="AK43" s="61">
        <f>AK42-AK23</f>
        <v>0</v>
      </c>
    </row>
    <row r="44" spans="1:37" x14ac:dyDescent="0.25">
      <c r="B44" s="61"/>
      <c r="C44" s="61"/>
      <c r="D44" s="61"/>
      <c r="E44" s="61"/>
      <c r="F44" s="61"/>
      <c r="G44" s="61"/>
      <c r="H44" s="61"/>
      <c r="I44" s="61"/>
      <c r="J44" s="61"/>
      <c r="K44" s="61"/>
      <c r="L44" s="61"/>
      <c r="M44" s="61"/>
      <c r="N44" s="61"/>
      <c r="O44" s="61"/>
      <c r="P44" s="61"/>
      <c r="Q44" s="61"/>
      <c r="R44" s="61"/>
      <c r="S44" s="61"/>
      <c r="T44" s="61"/>
      <c r="U44" s="61"/>
      <c r="V44" s="61"/>
      <c r="W44" s="61"/>
      <c r="X44" s="62"/>
      <c r="Y44" s="61"/>
      <c r="Z44" s="61"/>
      <c r="AA44" s="61"/>
      <c r="AB44" s="61"/>
      <c r="AC44" s="61"/>
      <c r="AD44" s="61"/>
      <c r="AE44" s="57"/>
      <c r="AF44" s="57"/>
      <c r="AG44" s="61"/>
      <c r="AH44" s="61"/>
      <c r="AI44" s="61"/>
      <c r="AJ44" s="61"/>
      <c r="AK44" s="61"/>
    </row>
    <row r="45" spans="1:37" x14ac:dyDescent="0.25">
      <c r="A45" s="267" t="s">
        <v>431</v>
      </c>
      <c r="B45" s="60">
        <f>C45+AG45+AH45-AJ45-AK45</f>
        <v>25.220000000000006</v>
      </c>
      <c r="C45" s="60">
        <v>24.55</v>
      </c>
      <c r="D45" s="60">
        <v>24.03</v>
      </c>
      <c r="E45" s="60">
        <v>23.69</v>
      </c>
      <c r="F45" s="60">
        <v>23.32</v>
      </c>
      <c r="G45" s="60">
        <v>23.03</v>
      </c>
      <c r="H45" s="60">
        <v>22.38</v>
      </c>
      <c r="I45" s="60">
        <v>22.14</v>
      </c>
      <c r="J45" s="61"/>
      <c r="K45" s="61"/>
      <c r="L45" s="61"/>
      <c r="M45" s="61"/>
      <c r="N45" s="61"/>
      <c r="O45" s="61"/>
      <c r="P45" s="61"/>
      <c r="Q45" s="61"/>
      <c r="R45" s="61"/>
      <c r="S45" s="61"/>
      <c r="T45" s="61"/>
      <c r="U45" s="61"/>
      <c r="V45" s="61"/>
      <c r="W45" s="61"/>
      <c r="X45" s="62"/>
      <c r="Y45" s="61"/>
      <c r="Z45" s="61"/>
      <c r="AA45" s="61"/>
      <c r="AB45" s="61"/>
      <c r="AC45" s="61"/>
      <c r="AD45" s="61"/>
      <c r="AE45" s="57"/>
      <c r="AF45" s="57"/>
      <c r="AG45" s="60">
        <v>24.84</v>
      </c>
      <c r="AH45" s="265">
        <v>24.79</v>
      </c>
      <c r="AI45" s="231"/>
      <c r="AJ45" s="60">
        <v>24.5</v>
      </c>
      <c r="AK45" s="60">
        <v>24.46</v>
      </c>
    </row>
    <row r="46" spans="1:37" x14ac:dyDescent="0.25">
      <c r="A46" s="267" t="s">
        <v>432</v>
      </c>
      <c r="B46" s="266">
        <f>C46+AG46+AH46-AJ46-AK46</f>
        <v>4.7800000000000011</v>
      </c>
      <c r="C46" s="266">
        <v>3.78</v>
      </c>
      <c r="D46" s="266">
        <v>2.93</v>
      </c>
      <c r="E46" s="266">
        <v>2.59</v>
      </c>
      <c r="F46" s="266">
        <v>2.52</v>
      </c>
      <c r="G46" s="266">
        <v>2.48</v>
      </c>
      <c r="H46" s="266">
        <v>1.61</v>
      </c>
      <c r="I46" s="266">
        <v>1.48</v>
      </c>
      <c r="J46" s="61"/>
      <c r="K46" s="61"/>
      <c r="L46" s="61"/>
      <c r="M46" s="61"/>
      <c r="N46" s="61"/>
      <c r="O46" s="61"/>
      <c r="P46" s="61"/>
      <c r="Q46" s="61"/>
      <c r="R46" s="61"/>
      <c r="S46" s="61"/>
      <c r="T46" s="61"/>
      <c r="U46" s="61"/>
      <c r="V46" s="61"/>
      <c r="W46" s="61"/>
      <c r="X46" s="62"/>
      <c r="Y46" s="61"/>
      <c r="Z46" s="61"/>
      <c r="AA46" s="61"/>
      <c r="AB46" s="61"/>
      <c r="AC46" s="61"/>
      <c r="AD46" s="61"/>
      <c r="AE46" s="57"/>
      <c r="AF46" s="73"/>
      <c r="AG46" s="266">
        <v>3.97</v>
      </c>
      <c r="AH46" s="269">
        <v>3.96</v>
      </c>
      <c r="AI46" s="270"/>
      <c r="AJ46" s="266">
        <v>3.61</v>
      </c>
      <c r="AK46" s="266">
        <v>3.32</v>
      </c>
    </row>
    <row r="47" spans="1:37" x14ac:dyDescent="0.25">
      <c r="A47" s="33" t="s">
        <v>433</v>
      </c>
      <c r="B47" s="268">
        <f>B45-B46</f>
        <v>20.440000000000005</v>
      </c>
      <c r="C47" s="268">
        <f>C45-C46</f>
        <v>20.77</v>
      </c>
      <c r="D47" s="268">
        <f t="shared" ref="D47:I47" si="83">D45-D46</f>
        <v>21.1</v>
      </c>
      <c r="E47" s="268">
        <f t="shared" si="83"/>
        <v>21.1</v>
      </c>
      <c r="F47" s="268">
        <f t="shared" si="83"/>
        <v>20.8</v>
      </c>
      <c r="G47" s="268">
        <f t="shared" si="83"/>
        <v>20.55</v>
      </c>
      <c r="H47" s="268">
        <f t="shared" si="83"/>
        <v>20.77</v>
      </c>
      <c r="I47" s="268">
        <f t="shared" si="83"/>
        <v>20.66</v>
      </c>
      <c r="J47" s="61"/>
      <c r="K47" s="61"/>
      <c r="L47" s="61"/>
      <c r="M47" s="61"/>
      <c r="N47" s="61"/>
      <c r="O47" s="61"/>
      <c r="P47" s="61"/>
      <c r="Q47" s="61"/>
      <c r="R47" s="61"/>
      <c r="S47" s="61"/>
      <c r="T47" s="61"/>
      <c r="U47" s="61"/>
      <c r="V47" s="61"/>
      <c r="W47" s="61"/>
      <c r="X47" s="62"/>
      <c r="Y47" s="61"/>
      <c r="Z47" s="61"/>
      <c r="AA47" s="61"/>
      <c r="AB47" s="61"/>
      <c r="AC47" s="61"/>
      <c r="AD47" s="61"/>
      <c r="AE47" s="57"/>
      <c r="AF47" s="57"/>
      <c r="AG47" s="60">
        <f>AG45-AG46</f>
        <v>20.87</v>
      </c>
      <c r="AH47" s="271">
        <f t="shared" ref="AH47:AK47" si="84">AH45-AH46</f>
        <v>20.83</v>
      </c>
      <c r="AI47" s="60"/>
      <c r="AJ47" s="60">
        <f t="shared" si="84"/>
        <v>20.89</v>
      </c>
      <c r="AK47" s="60">
        <f t="shared" si="84"/>
        <v>21.14</v>
      </c>
    </row>
    <row r="48" spans="1:37" x14ac:dyDescent="0.25">
      <c r="A48" s="267" t="s">
        <v>434</v>
      </c>
      <c r="B48" s="266">
        <v>38.770000000000003</v>
      </c>
      <c r="C48" s="266">
        <v>36.86</v>
      </c>
      <c r="D48" s="266">
        <v>28.13</v>
      </c>
      <c r="E48" s="266">
        <v>33.840000000000003</v>
      </c>
      <c r="F48" s="266">
        <v>19.78</v>
      </c>
      <c r="G48" s="266">
        <v>25.83</v>
      </c>
      <c r="H48" s="266">
        <v>44.14</v>
      </c>
      <c r="I48" s="60">
        <v>17.32</v>
      </c>
      <c r="J48" s="61"/>
      <c r="K48" s="61"/>
      <c r="L48" s="61"/>
      <c r="M48" s="61"/>
      <c r="N48" s="61"/>
      <c r="O48" s="61"/>
      <c r="P48" s="61"/>
      <c r="Q48" s="61"/>
      <c r="R48" s="61"/>
      <c r="S48" s="61"/>
      <c r="T48" s="61"/>
      <c r="U48" s="61"/>
      <c r="V48" s="61"/>
      <c r="W48" s="61"/>
      <c r="X48" s="62"/>
      <c r="Y48" s="61"/>
      <c r="Z48" s="61"/>
      <c r="AA48" s="61"/>
      <c r="AB48" s="61"/>
      <c r="AC48" s="61"/>
      <c r="AD48" s="61"/>
      <c r="AE48" s="57"/>
      <c r="AF48" s="57"/>
      <c r="AG48" s="60"/>
      <c r="AH48" s="265"/>
      <c r="AI48" s="79"/>
      <c r="AJ48" s="60"/>
      <c r="AK48" s="60"/>
    </row>
    <row r="49" spans="1:37" ht="15.75" thickBot="1" x14ac:dyDescent="0.3">
      <c r="A49" s="33" t="s">
        <v>430</v>
      </c>
      <c r="B49" s="103">
        <f>B48*B47</f>
        <v>792.45880000000022</v>
      </c>
      <c r="C49" s="103">
        <f t="shared" ref="C49:I49" si="85">C48*C47</f>
        <v>765.58219999999994</v>
      </c>
      <c r="D49" s="103">
        <f t="shared" si="85"/>
        <v>593.54300000000001</v>
      </c>
      <c r="E49" s="103">
        <f t="shared" si="85"/>
        <v>714.02400000000011</v>
      </c>
      <c r="F49" s="103">
        <f t="shared" si="85"/>
        <v>411.42400000000004</v>
      </c>
      <c r="G49" s="103">
        <f t="shared" si="85"/>
        <v>530.80650000000003</v>
      </c>
      <c r="H49" s="103">
        <f t="shared" si="85"/>
        <v>916.78779999999995</v>
      </c>
      <c r="I49" s="103">
        <f t="shared" si="85"/>
        <v>357.83120000000002</v>
      </c>
      <c r="J49" s="61"/>
      <c r="K49" s="61"/>
      <c r="L49" s="61"/>
      <c r="M49" s="61"/>
      <c r="N49" s="61"/>
      <c r="O49" s="61"/>
      <c r="P49" s="61"/>
      <c r="Q49" s="61"/>
      <c r="R49" s="61"/>
      <c r="S49" s="61"/>
      <c r="T49" s="61"/>
      <c r="U49" s="61"/>
      <c r="V49" s="61"/>
      <c r="W49" s="61"/>
      <c r="X49" s="62"/>
      <c r="Y49" s="61"/>
      <c r="Z49" s="61"/>
      <c r="AA49" s="61"/>
      <c r="AB49" s="61"/>
      <c r="AC49" s="61"/>
      <c r="AD49" s="61"/>
      <c r="AE49" s="57"/>
      <c r="AF49" s="57"/>
      <c r="AG49" s="61"/>
      <c r="AH49" s="61"/>
      <c r="AI49" s="61"/>
      <c r="AJ49" s="61"/>
      <c r="AK49" s="61"/>
    </row>
    <row r="50" spans="1:37" ht="15.75" thickTop="1" x14ac:dyDescent="0.25">
      <c r="B50" s="61"/>
      <c r="C50" s="61"/>
      <c r="D50" s="61"/>
      <c r="E50" s="61"/>
      <c r="F50" s="61"/>
      <c r="G50" s="61"/>
      <c r="H50" s="61"/>
      <c r="I50" s="61"/>
      <c r="J50" s="61"/>
      <c r="K50" s="61"/>
      <c r="L50" s="61"/>
      <c r="M50" s="61"/>
      <c r="N50" s="61"/>
      <c r="O50" s="61"/>
      <c r="P50" s="61"/>
      <c r="Q50" s="61"/>
      <c r="R50" s="61"/>
      <c r="S50" s="61"/>
      <c r="T50" s="61"/>
      <c r="U50" s="61"/>
      <c r="V50" s="61"/>
      <c r="W50" s="61"/>
      <c r="X50" s="62"/>
      <c r="Y50" s="61"/>
      <c r="Z50" s="61"/>
      <c r="AA50" s="61"/>
      <c r="AB50" s="61"/>
      <c r="AC50" s="61"/>
      <c r="AD50" s="61"/>
      <c r="AE50" s="57"/>
      <c r="AF50" s="57"/>
      <c r="AG50" s="61"/>
      <c r="AH50" s="61"/>
      <c r="AI50" s="61"/>
      <c r="AJ50" s="61"/>
      <c r="AK50" s="61"/>
    </row>
    <row r="51" spans="1:37" s="1" customFormat="1" x14ac:dyDescent="0.25">
      <c r="A51" s="1" t="s">
        <v>111</v>
      </c>
      <c r="B51" s="1" t="s">
        <v>318</v>
      </c>
      <c r="K51" s="1" t="s">
        <v>318</v>
      </c>
      <c r="U51" s="1" t="s">
        <v>318</v>
      </c>
      <c r="AF51" s="1" t="s">
        <v>318</v>
      </c>
    </row>
    <row r="52" spans="1:37" s="1" customFormat="1" x14ac:dyDescent="0.25">
      <c r="A52" s="1" t="s">
        <v>108</v>
      </c>
      <c r="K52" s="1" t="s">
        <v>114</v>
      </c>
      <c r="U52" s="1" t="s">
        <v>74</v>
      </c>
      <c r="AF52" s="1" t="s">
        <v>73</v>
      </c>
    </row>
    <row r="53" spans="1:37" s="1" customFormat="1" x14ac:dyDescent="0.25">
      <c r="A53" s="1" t="s">
        <v>3</v>
      </c>
      <c r="H53" s="2"/>
      <c r="I53" s="2"/>
      <c r="Q53" s="2"/>
      <c r="R53" s="2"/>
      <c r="T53" s="1" t="s">
        <v>536</v>
      </c>
      <c r="U53" s="1" t="s">
        <v>263</v>
      </c>
      <c r="V53" s="1" t="s">
        <v>4</v>
      </c>
      <c r="W53" s="1" t="s">
        <v>5</v>
      </c>
      <c r="X53" s="22" t="s">
        <v>75</v>
      </c>
      <c r="Y53" s="1" t="s">
        <v>6</v>
      </c>
      <c r="Z53" s="1" t="s">
        <v>7</v>
      </c>
      <c r="AA53" s="1" t="s">
        <v>8</v>
      </c>
      <c r="AB53" s="1" t="s">
        <v>9</v>
      </c>
      <c r="AC53" s="1" t="s">
        <v>10</v>
      </c>
      <c r="AD53" s="1" t="s">
        <v>537</v>
      </c>
      <c r="AF53" s="109" t="s">
        <v>262</v>
      </c>
      <c r="AG53" s="109" t="s">
        <v>260</v>
      </c>
      <c r="AH53" s="111" t="s">
        <v>261</v>
      </c>
      <c r="AI53" s="109" t="s">
        <v>262</v>
      </c>
      <c r="AJ53" s="109" t="s">
        <v>260</v>
      </c>
      <c r="AK53" s="109" t="s">
        <v>261</v>
      </c>
    </row>
    <row r="54" spans="1:37" s="1" customFormat="1" ht="15.75" thickBot="1" x14ac:dyDescent="0.3">
      <c r="A54" s="2" t="s">
        <v>11</v>
      </c>
      <c r="B54" s="17" t="s">
        <v>72</v>
      </c>
      <c r="C54" s="3">
        <v>2022</v>
      </c>
      <c r="D54" s="3">
        <v>2021</v>
      </c>
      <c r="E54" s="3">
        <v>2020</v>
      </c>
      <c r="F54" s="3">
        <v>2019</v>
      </c>
      <c r="G54" s="3">
        <v>2018</v>
      </c>
      <c r="H54" s="3">
        <v>2017</v>
      </c>
      <c r="I54" s="3">
        <v>2016</v>
      </c>
      <c r="K54" s="17" t="s">
        <v>72</v>
      </c>
      <c r="L54" s="3">
        <v>2022</v>
      </c>
      <c r="M54" s="3">
        <v>2021</v>
      </c>
      <c r="N54" s="3">
        <v>2020</v>
      </c>
      <c r="O54" s="3">
        <v>2019</v>
      </c>
      <c r="P54" s="3">
        <v>2018</v>
      </c>
      <c r="Q54" s="3">
        <v>2017</v>
      </c>
      <c r="R54" s="3">
        <v>2016</v>
      </c>
      <c r="T54" s="4" t="s">
        <v>12</v>
      </c>
      <c r="U54" s="4" t="s">
        <v>12</v>
      </c>
      <c r="V54" s="4" t="s">
        <v>12</v>
      </c>
      <c r="W54" s="4" t="s">
        <v>13</v>
      </c>
      <c r="X54" s="21" t="s">
        <v>72</v>
      </c>
      <c r="Y54" s="3">
        <v>2022</v>
      </c>
      <c r="Z54" s="3">
        <v>2021</v>
      </c>
      <c r="AA54" s="3">
        <v>2020</v>
      </c>
      <c r="AB54" s="3">
        <v>2019</v>
      </c>
      <c r="AC54" s="3">
        <v>2018</v>
      </c>
      <c r="AD54" s="3">
        <v>2017</v>
      </c>
      <c r="AE54" s="7"/>
      <c r="AF54" s="110">
        <v>2023</v>
      </c>
      <c r="AG54" s="110">
        <v>2023</v>
      </c>
      <c r="AH54" s="112">
        <v>2023</v>
      </c>
      <c r="AI54" s="110">
        <v>2022</v>
      </c>
      <c r="AJ54" s="110">
        <v>2022</v>
      </c>
      <c r="AK54" s="110">
        <v>2022</v>
      </c>
    </row>
    <row r="55" spans="1:37" s="35" customFormat="1" ht="15" customHeight="1" x14ac:dyDescent="0.25">
      <c r="A55" s="37" t="s">
        <v>81</v>
      </c>
      <c r="B55" s="44">
        <f>C55+AG55+AH55-(AJ55+AK55)</f>
        <v>2109.3000000000002</v>
      </c>
      <c r="C55" s="28">
        <v>1980.5</v>
      </c>
      <c r="D55" s="28">
        <v>1678.6</v>
      </c>
      <c r="E55" s="28">
        <v>1669.1</v>
      </c>
      <c r="F55" s="28">
        <v>1637</v>
      </c>
      <c r="G55" s="28">
        <v>1562.7</v>
      </c>
      <c r="H55" s="28">
        <v>1475.5</v>
      </c>
      <c r="I55" s="336">
        <v>1416.2</v>
      </c>
      <c r="K55" s="41">
        <f t="shared" ref="K55:K74" si="86">B55/$B$55</f>
        <v>1</v>
      </c>
      <c r="L55" s="41">
        <f t="shared" ref="L55:L74" si="87">C55/$C$55</f>
        <v>1</v>
      </c>
      <c r="M55" s="41">
        <f t="shared" ref="M55:M74" si="88">D55/$D$55</f>
        <v>1</v>
      </c>
      <c r="N55" s="41">
        <f t="shared" ref="N55:N74" si="89">E55/$E$55</f>
        <v>1</v>
      </c>
      <c r="O55" s="41">
        <f t="shared" ref="O55:O74" si="90">F55/$F$55</f>
        <v>1</v>
      </c>
      <c r="P55" s="41">
        <f t="shared" ref="P55:P74" si="91">G55/$G$55</f>
        <v>1</v>
      </c>
      <c r="Q55" s="41">
        <f t="shared" ref="Q55:Q74" si="92">H55/$H$55</f>
        <v>1</v>
      </c>
      <c r="R55" s="41">
        <f>I55/$I$55</f>
        <v>1</v>
      </c>
      <c r="T55" s="41">
        <f>_xlfn.RRI(6,I55,C55)</f>
        <v>5.7487013665047604E-2</v>
      </c>
      <c r="U55" s="41">
        <f>_xlfn.RRI(5.5,H55,B55)</f>
        <v>6.7131710020519542E-2</v>
      </c>
      <c r="V55" s="41">
        <f>_xlfn.RRI(5,H55,C55)</f>
        <v>6.0637862838911261E-2</v>
      </c>
      <c r="W55" s="41">
        <f>AVERAGE(X55:AC55)</f>
        <v>6.2805265993457635E-2</v>
      </c>
      <c r="X55" s="41">
        <f t="shared" ref="X55:AD58" si="93">(B55-C55)/C55</f>
        <v>6.5034082302448962E-2</v>
      </c>
      <c r="Y55" s="41">
        <f t="shared" si="93"/>
        <v>0.17985225783390926</v>
      </c>
      <c r="Z55" s="41">
        <f t="shared" si="93"/>
        <v>5.6916901324066864E-3</v>
      </c>
      <c r="AA55" s="41">
        <f t="shared" si="93"/>
        <v>1.9609040928527739E-2</v>
      </c>
      <c r="AB55" s="41">
        <f t="shared" si="93"/>
        <v>4.7545914122992229E-2</v>
      </c>
      <c r="AC55" s="41">
        <f t="shared" si="93"/>
        <v>5.9098610640460889E-2</v>
      </c>
      <c r="AD55" s="41">
        <f t="shared" si="93"/>
        <v>4.1872616862025105E-2</v>
      </c>
      <c r="AG55" s="28">
        <v>577.20000000000005</v>
      </c>
      <c r="AH55" s="166">
        <v>513.4</v>
      </c>
      <c r="AI55" s="134"/>
      <c r="AJ55" s="28">
        <v>502.5</v>
      </c>
      <c r="AK55" s="28">
        <v>459.3</v>
      </c>
    </row>
    <row r="56" spans="1:37" s="35" customFormat="1" ht="15" customHeight="1" x14ac:dyDescent="0.25">
      <c r="A56" s="37" t="s">
        <v>82</v>
      </c>
      <c r="B56" s="108">
        <f>C56+AG56+AH56-(AJ56+AK56)</f>
        <v>1720.2</v>
      </c>
      <c r="C56" s="23">
        <v>1635.9</v>
      </c>
      <c r="D56" s="23">
        <v>1344.5</v>
      </c>
      <c r="E56" s="23">
        <v>1308.7</v>
      </c>
      <c r="F56" s="23">
        <v>1306.3</v>
      </c>
      <c r="G56" s="23">
        <v>1260.9000000000001</v>
      </c>
      <c r="H56" s="23">
        <v>1153.4000000000001</v>
      </c>
      <c r="I56" s="341">
        <v>1126.2</v>
      </c>
      <c r="K56" s="42">
        <f t="shared" si="86"/>
        <v>0.81553121888778268</v>
      </c>
      <c r="L56" s="42">
        <f t="shared" si="87"/>
        <v>0.82600353446099473</v>
      </c>
      <c r="M56" s="42">
        <f t="shared" si="88"/>
        <v>0.80096508995591564</v>
      </c>
      <c r="N56" s="42">
        <f t="shared" si="89"/>
        <v>0.78407525013480328</v>
      </c>
      <c r="O56" s="42">
        <f t="shared" si="90"/>
        <v>0.79798411728772145</v>
      </c>
      <c r="P56" s="42">
        <f t="shared" si="91"/>
        <v>0.80687272029180268</v>
      </c>
      <c r="Q56" s="42">
        <f t="shared" si="92"/>
        <v>0.781701118264995</v>
      </c>
      <c r="R56" s="42">
        <f t="shared" ref="R56:R74" si="94">I56/$I$55</f>
        <v>0.79522666290072019</v>
      </c>
      <c r="T56" s="42">
        <f t="shared" ref="T56:T74" si="95">_xlfn.RRI(6,I56,C56)</f>
        <v>6.4200695046773726E-2</v>
      </c>
      <c r="U56" s="42">
        <f>_xlfn.RRI(5.5,H56,B56)</f>
        <v>7.5383710995013287E-2</v>
      </c>
      <c r="V56" s="42">
        <f>_xlfn.RRI(5,H56,C56)</f>
        <v>7.2396433744121858E-2</v>
      </c>
      <c r="W56" s="42">
        <f t="shared" ref="W56:W74" si="96">AVERAGE(X56:AC56)</f>
        <v>7.1111247740207578E-2</v>
      </c>
      <c r="X56" s="42">
        <f t="shared" si="93"/>
        <v>5.1531267192371139E-2</v>
      </c>
      <c r="Y56" s="42">
        <f t="shared" si="93"/>
        <v>0.21673484566753445</v>
      </c>
      <c r="Z56" s="42">
        <f t="shared" si="93"/>
        <v>2.7355390845877552E-2</v>
      </c>
      <c r="AA56" s="42">
        <f t="shared" si="93"/>
        <v>1.8372502487943741E-3</v>
      </c>
      <c r="AB56" s="42">
        <f t="shared" si="93"/>
        <v>3.6006027440716834E-2</v>
      </c>
      <c r="AC56" s="42">
        <f t="shared" si="93"/>
        <v>9.3202705045951087E-2</v>
      </c>
      <c r="AD56" s="42">
        <f t="shared" si="93"/>
        <v>2.4152015627774859E-2</v>
      </c>
      <c r="AF56" s="169"/>
      <c r="AG56" s="23">
        <v>464.7</v>
      </c>
      <c r="AH56" s="146">
        <v>409.3</v>
      </c>
      <c r="AI56" s="136"/>
      <c r="AJ56" s="23">
        <v>419.4</v>
      </c>
      <c r="AK56" s="23">
        <v>370.3</v>
      </c>
    </row>
    <row r="57" spans="1:37" s="35" customFormat="1" ht="15" customHeight="1" x14ac:dyDescent="0.25">
      <c r="A57" s="36" t="s">
        <v>112</v>
      </c>
      <c r="B57" s="24">
        <f t="shared" ref="B57:I57" si="97">B55-B56</f>
        <v>389.10000000000014</v>
      </c>
      <c r="C57" s="24">
        <f t="shared" si="97"/>
        <v>344.59999999999991</v>
      </c>
      <c r="D57" s="24">
        <f t="shared" si="97"/>
        <v>334.09999999999991</v>
      </c>
      <c r="E57" s="24">
        <f t="shared" si="97"/>
        <v>360.39999999999986</v>
      </c>
      <c r="F57" s="24">
        <f t="shared" si="97"/>
        <v>330.70000000000005</v>
      </c>
      <c r="G57" s="24">
        <f t="shared" si="97"/>
        <v>301.79999999999995</v>
      </c>
      <c r="H57" s="24">
        <f t="shared" si="97"/>
        <v>322.09999999999991</v>
      </c>
      <c r="I57" s="24">
        <f t="shared" si="97"/>
        <v>290</v>
      </c>
      <c r="K57" s="95">
        <f t="shared" si="86"/>
        <v>0.18446878111221737</v>
      </c>
      <c r="L57" s="95">
        <f t="shared" si="87"/>
        <v>0.17399646553900525</v>
      </c>
      <c r="M57" s="95">
        <f t="shared" si="88"/>
        <v>0.1990349100440843</v>
      </c>
      <c r="N57" s="95">
        <f t="shared" si="89"/>
        <v>0.21592474986519675</v>
      </c>
      <c r="O57" s="95">
        <f t="shared" si="90"/>
        <v>0.20201588271227858</v>
      </c>
      <c r="P57" s="95">
        <f t="shared" si="91"/>
        <v>0.19312727970819732</v>
      </c>
      <c r="Q57" s="95">
        <f t="shared" si="92"/>
        <v>0.21829888173500503</v>
      </c>
      <c r="R57" s="41">
        <f t="shared" si="94"/>
        <v>0.20477333709927975</v>
      </c>
      <c r="S57" s="96"/>
      <c r="T57" s="41">
        <f t="shared" si="95"/>
        <v>2.916785387926546E-2</v>
      </c>
      <c r="U57" s="95">
        <f>_xlfn.RRI(5.5,H57,B57)</f>
        <v>3.4956056095237553E-2</v>
      </c>
      <c r="V57" s="95">
        <f>_xlfn.RRI(5,H57,C57)</f>
        <v>1.3596050542198368E-2</v>
      </c>
      <c r="W57" s="95">
        <f t="shared" si="96"/>
        <v>3.502214045609698E-2</v>
      </c>
      <c r="X57" s="95">
        <f t="shared" si="93"/>
        <v>0.12913522925130655</v>
      </c>
      <c r="Y57" s="95">
        <f t="shared" si="93"/>
        <v>3.1427716252618983E-2</v>
      </c>
      <c r="Z57" s="95">
        <f t="shared" si="93"/>
        <v>-7.297447280799102E-2</v>
      </c>
      <c r="AA57" s="95">
        <f t="shared" si="93"/>
        <v>8.9809495010583051E-2</v>
      </c>
      <c r="AB57" s="95">
        <f t="shared" si="93"/>
        <v>9.5758780649437034E-2</v>
      </c>
      <c r="AC57" s="95">
        <f t="shared" si="93"/>
        <v>-6.3023905619372739E-2</v>
      </c>
      <c r="AD57" s="95">
        <f t="shared" si="93"/>
        <v>0.11068965517241348</v>
      </c>
      <c r="AE57" s="96"/>
      <c r="AF57" s="96"/>
      <c r="AG57" s="39">
        <f>AG55-AG56</f>
        <v>112.50000000000006</v>
      </c>
      <c r="AH57" s="154">
        <f t="shared" ref="AH57:AK57" si="98">AH55-AH56</f>
        <v>104.09999999999997</v>
      </c>
      <c r="AI57" s="39"/>
      <c r="AJ57" s="39">
        <f t="shared" si="98"/>
        <v>83.100000000000023</v>
      </c>
      <c r="AK57" s="39">
        <f t="shared" si="98"/>
        <v>89</v>
      </c>
    </row>
    <row r="58" spans="1:37" s="35" customFormat="1" ht="15" customHeight="1" x14ac:dyDescent="0.25">
      <c r="A58" s="37" t="s">
        <v>83</v>
      </c>
      <c r="B58" s="107">
        <f>C58+AG58+AH58-(AJ58+AK58)</f>
        <v>56.9</v>
      </c>
      <c r="C58" s="8">
        <v>56.1</v>
      </c>
      <c r="D58" s="8">
        <v>57.7</v>
      </c>
      <c r="E58" s="8">
        <v>54.1</v>
      </c>
      <c r="F58" s="8">
        <v>51.4</v>
      </c>
      <c r="G58" s="8">
        <v>46.9</v>
      </c>
      <c r="H58" s="8">
        <v>49.8</v>
      </c>
      <c r="I58" s="336">
        <v>52.9</v>
      </c>
      <c r="K58" s="41">
        <f t="shared" si="86"/>
        <v>2.6975773953444266E-2</v>
      </c>
      <c r="L58" s="41">
        <f t="shared" si="87"/>
        <v>2.8326180257510731E-2</v>
      </c>
      <c r="M58" s="41">
        <f t="shared" si="88"/>
        <v>3.4373882997736215E-2</v>
      </c>
      <c r="N58" s="41">
        <f t="shared" si="89"/>
        <v>3.2412677490863344E-2</v>
      </c>
      <c r="O58" s="41">
        <f t="shared" si="90"/>
        <v>3.1398900427611481E-2</v>
      </c>
      <c r="P58" s="41">
        <f t="shared" si="91"/>
        <v>3.0012158443719201E-2</v>
      </c>
      <c r="Q58" s="41">
        <f t="shared" si="92"/>
        <v>3.3751270755676042E-2</v>
      </c>
      <c r="R58" s="41">
        <f t="shared" si="94"/>
        <v>3.7353481146730684E-2</v>
      </c>
      <c r="T58" s="41">
        <f t="shared" si="95"/>
        <v>9.8368120898744138E-3</v>
      </c>
      <c r="U58" s="41">
        <f>_xlfn.RRI(5.5,H58,B58)</f>
        <v>2.4528792443905489E-2</v>
      </c>
      <c r="V58" s="41">
        <f>_xlfn.RRI(5,H58,C58)</f>
        <v>2.4110228352600682E-2</v>
      </c>
      <c r="W58" s="41">
        <f t="shared" si="96"/>
        <v>2.3886521671342507E-2</v>
      </c>
      <c r="X58" s="41">
        <f t="shared" si="93"/>
        <v>1.426024955436715E-2</v>
      </c>
      <c r="Y58" s="41">
        <f t="shared" si="93"/>
        <v>-2.7729636048526886E-2</v>
      </c>
      <c r="Z58" s="41">
        <f t="shared" si="93"/>
        <v>6.6543438077634035E-2</v>
      </c>
      <c r="AA58" s="41">
        <f t="shared" si="93"/>
        <v>5.2529182879377488E-2</v>
      </c>
      <c r="AB58" s="41">
        <f t="shared" si="93"/>
        <v>9.5948827292110878E-2</v>
      </c>
      <c r="AC58" s="41">
        <f t="shared" si="93"/>
        <v>-5.8232931726907605E-2</v>
      </c>
      <c r="AD58" s="41">
        <f t="shared" si="93"/>
        <v>-5.860113421550097E-2</v>
      </c>
      <c r="AG58" s="8">
        <v>14.4</v>
      </c>
      <c r="AH58" s="144">
        <v>14</v>
      </c>
      <c r="AI58" s="135"/>
      <c r="AJ58" s="8">
        <v>13.4</v>
      </c>
      <c r="AK58" s="8">
        <v>14.2</v>
      </c>
    </row>
    <row r="59" spans="1:37" s="35" customFormat="1" ht="15" customHeight="1" x14ac:dyDescent="0.25">
      <c r="A59" s="37" t="s">
        <v>84</v>
      </c>
      <c r="B59" s="107">
        <f>C59+AG59+AH59-(AJ59+AK59)</f>
        <v>-1.7999999999999998</v>
      </c>
      <c r="C59" s="8">
        <v>-2.5</v>
      </c>
      <c r="D59" s="8">
        <v>-31.2</v>
      </c>
      <c r="E59" s="8">
        <v>0</v>
      </c>
      <c r="F59" s="8">
        <v>0</v>
      </c>
      <c r="G59" s="8">
        <v>8.3000000000000007</v>
      </c>
      <c r="H59" s="8">
        <v>0</v>
      </c>
      <c r="I59" s="336">
        <v>-2.1</v>
      </c>
      <c r="K59" s="41">
        <f t="shared" si="86"/>
        <v>-8.533636751528942E-4</v>
      </c>
      <c r="L59" s="41">
        <f t="shared" si="87"/>
        <v>-1.2623074981065387E-3</v>
      </c>
      <c r="M59" s="41">
        <f t="shared" si="88"/>
        <v>-1.8586917669486478E-2</v>
      </c>
      <c r="N59" s="41">
        <f t="shared" si="89"/>
        <v>0</v>
      </c>
      <c r="O59" s="41">
        <f t="shared" si="90"/>
        <v>0</v>
      </c>
      <c r="P59" s="41">
        <f t="shared" si="91"/>
        <v>5.3113201510206695E-3</v>
      </c>
      <c r="Q59" s="41">
        <f t="shared" si="92"/>
        <v>0</v>
      </c>
      <c r="R59" s="41">
        <f t="shared" si="94"/>
        <v>-1.4828414065809915E-3</v>
      </c>
      <c r="T59" s="41"/>
      <c r="U59" s="41"/>
      <c r="V59" s="41"/>
      <c r="W59" s="41"/>
      <c r="X59" s="41"/>
      <c r="Y59" s="41"/>
      <c r="Z59" s="41"/>
      <c r="AA59" s="41"/>
      <c r="AB59" s="41"/>
      <c r="AC59" s="41"/>
      <c r="AD59" s="41"/>
      <c r="AG59" s="8">
        <v>0</v>
      </c>
      <c r="AH59" s="144">
        <v>-1.8</v>
      </c>
      <c r="AI59" s="135"/>
      <c r="AJ59" s="8">
        <v>0</v>
      </c>
      <c r="AK59" s="8">
        <v>-2.5</v>
      </c>
    </row>
    <row r="60" spans="1:37" s="35" customFormat="1" ht="15" customHeight="1" x14ac:dyDescent="0.25">
      <c r="A60" s="37" t="s">
        <v>85</v>
      </c>
      <c r="B60" s="300">
        <v>1.1000000000000001</v>
      </c>
      <c r="C60" s="300">
        <v>1.1000000000000001</v>
      </c>
      <c r="D60" s="8">
        <v>2.2000000000000002</v>
      </c>
      <c r="E60" s="8">
        <v>6.5</v>
      </c>
      <c r="F60" s="8">
        <v>6</v>
      </c>
      <c r="G60" s="8">
        <v>4</v>
      </c>
      <c r="H60" s="8">
        <v>16.2</v>
      </c>
      <c r="I60" s="336">
        <v>20.100000000000001</v>
      </c>
      <c r="K60" s="41">
        <f t="shared" si="86"/>
        <v>5.2150002370454651E-4</v>
      </c>
      <c r="L60" s="41">
        <f t="shared" si="87"/>
        <v>5.5541529916687711E-4</v>
      </c>
      <c r="M60" s="41">
        <f t="shared" si="88"/>
        <v>1.3106159895150723E-3</v>
      </c>
      <c r="N60" s="41">
        <f t="shared" si="89"/>
        <v>3.8943143011203646E-3</v>
      </c>
      <c r="O60" s="41">
        <f t="shared" si="90"/>
        <v>3.6652412950519244E-3</v>
      </c>
      <c r="P60" s="41">
        <f t="shared" si="91"/>
        <v>2.5596723619376719E-3</v>
      </c>
      <c r="Q60" s="41">
        <f t="shared" si="92"/>
        <v>1.0979329041003049E-2</v>
      </c>
      <c r="R60" s="41">
        <f t="shared" si="94"/>
        <v>1.4192910605846633E-2</v>
      </c>
      <c r="T60" s="41"/>
      <c r="U60" s="41"/>
      <c r="V60" s="41"/>
      <c r="W60" s="41"/>
      <c r="X60" s="41"/>
      <c r="Y60" s="41"/>
      <c r="Z60" s="41"/>
      <c r="AA60" s="41"/>
      <c r="AB60" s="41"/>
      <c r="AC60" s="41"/>
      <c r="AD60" s="41"/>
      <c r="AG60" s="16">
        <v>0</v>
      </c>
      <c r="AH60" s="155">
        <v>0</v>
      </c>
      <c r="AI60" s="137"/>
      <c r="AJ60" s="16">
        <v>0</v>
      </c>
      <c r="AK60" s="16">
        <v>0</v>
      </c>
    </row>
    <row r="61" spans="1:37" s="35" customFormat="1" ht="15" customHeight="1" x14ac:dyDescent="0.25">
      <c r="A61" s="37" t="str">
        <f>A486</f>
        <v>SG&amp;A (See Note)</v>
      </c>
      <c r="B61" s="108">
        <f>C61+AG61+AH61-(AJ61+AK61)</f>
        <v>158.89999999999998</v>
      </c>
      <c r="C61" s="23">
        <f t="shared" ref="C61:I61" si="99">C486</f>
        <v>153.29999999999998</v>
      </c>
      <c r="D61" s="23">
        <f t="shared" si="99"/>
        <v>148.9</v>
      </c>
      <c r="E61" s="23">
        <f t="shared" si="99"/>
        <v>143.10000000000002</v>
      </c>
      <c r="F61" s="23">
        <f t="shared" si="99"/>
        <v>148.29999999999998</v>
      </c>
      <c r="G61" s="23">
        <f t="shared" si="99"/>
        <v>158.19999999999999</v>
      </c>
      <c r="H61" s="23">
        <f t="shared" si="99"/>
        <v>132.5</v>
      </c>
      <c r="I61" s="23">
        <f t="shared" si="99"/>
        <v>125.7</v>
      </c>
      <c r="K61" s="42">
        <f t="shared" si="86"/>
        <v>7.5333048878774928E-2</v>
      </c>
      <c r="L61" s="42">
        <f t="shared" si="87"/>
        <v>7.7404695783892946E-2</v>
      </c>
      <c r="M61" s="42">
        <f t="shared" si="88"/>
        <v>8.8704873108542845E-2</v>
      </c>
      <c r="N61" s="42">
        <f t="shared" si="89"/>
        <v>8.5734827152357571E-2</v>
      </c>
      <c r="O61" s="42">
        <f t="shared" si="90"/>
        <v>9.0592547342700044E-2</v>
      </c>
      <c r="P61" s="42">
        <f t="shared" si="91"/>
        <v>0.10123504191463492</v>
      </c>
      <c r="Q61" s="42">
        <f t="shared" si="92"/>
        <v>8.9800067773636055E-2</v>
      </c>
      <c r="R61" s="42">
        <f t="shared" si="94"/>
        <v>8.8758649908205062E-2</v>
      </c>
      <c r="T61" s="42">
        <f t="shared" si="95"/>
        <v>3.3636442967461821E-2</v>
      </c>
      <c r="U61" s="42">
        <f>_xlfn.RRI(5.5,H61,B61)</f>
        <v>3.3586700634519628E-2</v>
      </c>
      <c r="V61" s="42">
        <f>_xlfn.RRI(5,H61,C61)</f>
        <v>2.9592227363256507E-2</v>
      </c>
      <c r="W61" s="42">
        <f t="shared" si="96"/>
        <v>3.3821666997511581E-2</v>
      </c>
      <c r="X61" s="42">
        <f t="shared" ref="X61:AD64" si="100">(B61-C61)/C61</f>
        <v>3.6529680365296774E-2</v>
      </c>
      <c r="Y61" s="42">
        <f t="shared" si="100"/>
        <v>2.9550033579583461E-2</v>
      </c>
      <c r="Z61" s="42">
        <f t="shared" si="100"/>
        <v>4.0531097134870596E-2</v>
      </c>
      <c r="AA61" s="42">
        <f t="shared" si="100"/>
        <v>-3.5064059339177077E-2</v>
      </c>
      <c r="AB61" s="42">
        <f t="shared" si="100"/>
        <v>-6.2579013906447573E-2</v>
      </c>
      <c r="AC61" s="42">
        <f t="shared" si="100"/>
        <v>0.19396226415094331</v>
      </c>
      <c r="AD61" s="42">
        <f t="shared" si="100"/>
        <v>5.4097056483691307E-2</v>
      </c>
      <c r="AF61" s="169"/>
      <c r="AG61" s="8">
        <f>AG486</f>
        <v>43.699999999999996</v>
      </c>
      <c r="AH61" s="144">
        <f t="shared" ref="AH61:AK61" si="101">AH486</f>
        <v>41.6</v>
      </c>
      <c r="AI61" s="135"/>
      <c r="AJ61" s="8">
        <f t="shared" si="101"/>
        <v>40.6</v>
      </c>
      <c r="AK61" s="8">
        <f t="shared" si="101"/>
        <v>39.1</v>
      </c>
    </row>
    <row r="62" spans="1:37" s="35" customFormat="1" ht="15" customHeight="1" x14ac:dyDescent="0.25">
      <c r="A62" s="36" t="s">
        <v>88</v>
      </c>
      <c r="B62" s="24">
        <f>B57-SUM(B58:B61)</f>
        <v>174.00000000000017</v>
      </c>
      <c r="C62" s="24">
        <f t="shared" ref="C62:I62" si="102">C57-SUM(C58:C61)</f>
        <v>136.59999999999991</v>
      </c>
      <c r="D62" s="24">
        <f t="shared" si="102"/>
        <v>156.49999999999989</v>
      </c>
      <c r="E62" s="24">
        <f t="shared" si="102"/>
        <v>156.69999999999985</v>
      </c>
      <c r="F62" s="24">
        <f t="shared" si="102"/>
        <v>125.00000000000006</v>
      </c>
      <c r="G62" s="24">
        <f t="shared" si="102"/>
        <v>84.399999999999977</v>
      </c>
      <c r="H62" s="24">
        <f t="shared" si="102"/>
        <v>123.59999999999991</v>
      </c>
      <c r="I62" s="24">
        <f t="shared" si="102"/>
        <v>93.399999999999977</v>
      </c>
      <c r="J62" s="13"/>
      <c r="K62" s="95">
        <f t="shared" si="86"/>
        <v>8.2491821931446524E-2</v>
      </c>
      <c r="L62" s="95">
        <f t="shared" si="87"/>
        <v>6.897248169654123E-2</v>
      </c>
      <c r="M62" s="95">
        <f t="shared" si="88"/>
        <v>9.3232455617776655E-2</v>
      </c>
      <c r="N62" s="95">
        <f t="shared" si="89"/>
        <v>9.3882930920855465E-2</v>
      </c>
      <c r="O62" s="95">
        <f t="shared" si="90"/>
        <v>7.6359193646915124E-2</v>
      </c>
      <c r="P62" s="95">
        <f t="shared" si="91"/>
        <v>5.4009086836884865E-2</v>
      </c>
      <c r="Q62" s="95">
        <f t="shared" si="92"/>
        <v>8.376821416468988E-2</v>
      </c>
      <c r="R62" s="41">
        <f t="shared" si="94"/>
        <v>6.5951136845078362E-2</v>
      </c>
      <c r="S62" s="13"/>
      <c r="T62" s="41">
        <f t="shared" si="95"/>
        <v>6.5411312636594054E-2</v>
      </c>
      <c r="U62" s="95">
        <f>_xlfn.RRI(5.5,H62,B62)</f>
        <v>6.4156729869222273E-2</v>
      </c>
      <c r="V62" s="95">
        <f>_xlfn.RRI(5,H62,C62)</f>
        <v>2.0202646316464623E-2</v>
      </c>
      <c r="W62" s="95">
        <f t="shared" si="96"/>
        <v>9.3808295077617218E-2</v>
      </c>
      <c r="X62" s="95">
        <f t="shared" si="100"/>
        <v>0.27379209370424806</v>
      </c>
      <c r="Y62" s="95">
        <f t="shared" si="100"/>
        <v>-0.12715654952076672</v>
      </c>
      <c r="Z62" s="95">
        <f t="shared" si="100"/>
        <v>-1.2763241863430785E-3</v>
      </c>
      <c r="AA62" s="95">
        <f t="shared" si="100"/>
        <v>0.25359999999999822</v>
      </c>
      <c r="AB62" s="95">
        <f t="shared" si="100"/>
        <v>0.4810426540284371</v>
      </c>
      <c r="AC62" s="95">
        <f t="shared" si="100"/>
        <v>-0.31715210355987022</v>
      </c>
      <c r="AD62" s="95">
        <f t="shared" si="100"/>
        <v>0.32334047109207642</v>
      </c>
      <c r="AE62" s="13"/>
      <c r="AF62" s="13"/>
      <c r="AG62" s="24" t="e">
        <f>AG55-#REF!</f>
        <v>#REF!</v>
      </c>
      <c r="AH62" s="157" t="e">
        <f>AH55-#REF!</f>
        <v>#REF!</v>
      </c>
      <c r="AI62" s="138"/>
      <c r="AJ62" s="24" t="e">
        <f>AJ55-#REF!</f>
        <v>#REF!</v>
      </c>
      <c r="AK62" s="24" t="e">
        <f>AK55-#REF!</f>
        <v>#REF!</v>
      </c>
    </row>
    <row r="63" spans="1:37" s="35" customFormat="1" ht="15" customHeight="1" x14ac:dyDescent="0.25">
      <c r="A63" s="37" t="s">
        <v>89</v>
      </c>
      <c r="B63" s="107">
        <f>C63+AG63+AH63-(AJ63+AK63)</f>
        <v>1.5</v>
      </c>
      <c r="C63" s="8">
        <v>2.5</v>
      </c>
      <c r="D63" s="8">
        <v>3.6</v>
      </c>
      <c r="E63" s="8">
        <v>2.2999999999999998</v>
      </c>
      <c r="F63" s="8">
        <v>0.4</v>
      </c>
      <c r="G63" s="8">
        <v>0.9</v>
      </c>
      <c r="H63" s="8">
        <v>2.5</v>
      </c>
      <c r="I63" s="336">
        <v>0.3</v>
      </c>
      <c r="J63" s="38"/>
      <c r="K63" s="41">
        <f t="shared" si="86"/>
        <v>7.1113639596074522E-4</v>
      </c>
      <c r="L63" s="41">
        <f t="shared" si="87"/>
        <v>1.2623074981065387E-3</v>
      </c>
      <c r="M63" s="41">
        <f t="shared" si="88"/>
        <v>2.1446443464792088E-3</v>
      </c>
      <c r="N63" s="41">
        <f t="shared" si="89"/>
        <v>1.3779881373195135E-3</v>
      </c>
      <c r="O63" s="41">
        <f t="shared" si="90"/>
        <v>2.4434941967012828E-4</v>
      </c>
      <c r="P63" s="41">
        <f t="shared" si="91"/>
        <v>5.7592628143597624E-4</v>
      </c>
      <c r="Q63" s="41">
        <f t="shared" si="92"/>
        <v>1.6943409013893595E-3</v>
      </c>
      <c r="R63" s="41">
        <f t="shared" si="94"/>
        <v>2.1183448665442733E-4</v>
      </c>
      <c r="T63" s="41">
        <f t="shared" si="95"/>
        <v>0.42386820499340216</v>
      </c>
      <c r="U63" s="41">
        <f>_xlfn.RRI(5.5,H63,B63)</f>
        <v>-8.8694767901123184E-2</v>
      </c>
      <c r="V63" s="41">
        <f>_xlfn.RRI(5,H63,C63)</f>
        <v>0</v>
      </c>
      <c r="W63" s="41">
        <f t="shared" si="96"/>
        <v>0.56901771336553941</v>
      </c>
      <c r="X63" s="41">
        <f t="shared" si="100"/>
        <v>-0.4</v>
      </c>
      <c r="Y63" s="41">
        <f t="shared" si="100"/>
        <v>-0.30555555555555558</v>
      </c>
      <c r="Z63" s="41">
        <f t="shared" si="100"/>
        <v>0.565217391304348</v>
      </c>
      <c r="AA63" s="41">
        <f t="shared" si="100"/>
        <v>4.7499999999999991</v>
      </c>
      <c r="AB63" s="41">
        <f t="shared" si="100"/>
        <v>-0.55555555555555558</v>
      </c>
      <c r="AC63" s="41">
        <f t="shared" si="100"/>
        <v>-0.64</v>
      </c>
      <c r="AD63" s="41">
        <f t="shared" si="100"/>
        <v>7.3333333333333339</v>
      </c>
      <c r="AG63" s="8">
        <v>0.2</v>
      </c>
      <c r="AH63" s="144">
        <v>-0.2</v>
      </c>
      <c r="AI63" s="135"/>
      <c r="AJ63" s="8">
        <v>0.4</v>
      </c>
      <c r="AK63" s="8">
        <v>0.6</v>
      </c>
    </row>
    <row r="64" spans="1:37" s="35" customFormat="1" ht="15" customHeight="1" x14ac:dyDescent="0.25">
      <c r="A64" s="37" t="s">
        <v>90</v>
      </c>
      <c r="B64" s="107">
        <f>C64+AG64+AH64-(AJ64+AK64)</f>
        <v>-58.199999999999996</v>
      </c>
      <c r="C64" s="8">
        <v>-44.8</v>
      </c>
      <c r="D64" s="8">
        <v>-40.5</v>
      </c>
      <c r="E64" s="8">
        <v>-48.9</v>
      </c>
      <c r="F64" s="8">
        <v>-61.7</v>
      </c>
      <c r="G64" s="8">
        <v>-54.1</v>
      </c>
      <c r="H64" s="8">
        <v>-42.5</v>
      </c>
      <c r="I64" s="336">
        <v>-50.8</v>
      </c>
      <c r="K64" s="41">
        <f t="shared" si="86"/>
        <v>-2.7592092163276911E-2</v>
      </c>
      <c r="L64" s="41">
        <f t="shared" si="87"/>
        <v>-2.2620550366069175E-2</v>
      </c>
      <c r="M64" s="41">
        <f t="shared" si="88"/>
        <v>-2.4127248897891102E-2</v>
      </c>
      <c r="N64" s="41">
        <f t="shared" si="89"/>
        <v>-2.929722604996705E-2</v>
      </c>
      <c r="O64" s="41">
        <f t="shared" si="90"/>
        <v>-3.7690897984117289E-2</v>
      </c>
      <c r="P64" s="41">
        <f t="shared" si="91"/>
        <v>-3.4619568695207013E-2</v>
      </c>
      <c r="Q64" s="41">
        <f t="shared" si="92"/>
        <v>-2.8803795323619111E-2</v>
      </c>
      <c r="R64" s="41">
        <f t="shared" si="94"/>
        <v>-3.5870639740149694E-2</v>
      </c>
      <c r="T64" s="41">
        <f t="shared" si="95"/>
        <v>-2.0730149837643985E-2</v>
      </c>
      <c r="U64" s="41">
        <f>_xlfn.RRI(5.5,H64,B64)</f>
        <v>5.8825455064547505E-2</v>
      </c>
      <c r="V64" s="41">
        <f>_xlfn.RRI(5,H64,C64)</f>
        <v>1.0596562775805785E-2</v>
      </c>
      <c r="W64" s="41">
        <f t="shared" si="96"/>
        <v>7.3244529954877971E-2</v>
      </c>
      <c r="X64" s="41">
        <f t="shared" si="100"/>
        <v>0.29910714285714285</v>
      </c>
      <c r="Y64" s="41">
        <f t="shared" si="100"/>
        <v>0.10617283950617278</v>
      </c>
      <c r="Z64" s="41">
        <f t="shared" si="100"/>
        <v>-0.17177914110429446</v>
      </c>
      <c r="AA64" s="41">
        <f t="shared" si="100"/>
        <v>-0.20745542949756896</v>
      </c>
      <c r="AB64" s="41">
        <f t="shared" si="100"/>
        <v>0.14048059149722739</v>
      </c>
      <c r="AC64" s="41">
        <f t="shared" si="100"/>
        <v>0.27294117647058824</v>
      </c>
      <c r="AD64" s="41">
        <f t="shared" si="100"/>
        <v>-0.1633858267716535</v>
      </c>
      <c r="AG64" s="8">
        <v>-20.3</v>
      </c>
      <c r="AH64" s="144">
        <v>-14</v>
      </c>
      <c r="AI64" s="135"/>
      <c r="AJ64" s="8">
        <v>-11.1</v>
      </c>
      <c r="AK64" s="8">
        <v>-9.8000000000000007</v>
      </c>
    </row>
    <row r="65" spans="1:37" s="35" customFormat="1" ht="15" customHeight="1" x14ac:dyDescent="0.25">
      <c r="A65" s="37" t="s">
        <v>91</v>
      </c>
      <c r="B65" s="107">
        <f>C65+AG65+AH65-(AJ65+AK65)</f>
        <v>0</v>
      </c>
      <c r="C65" s="8">
        <v>0</v>
      </c>
      <c r="D65" s="8">
        <v>0</v>
      </c>
      <c r="E65" s="8">
        <v>0</v>
      </c>
      <c r="F65" s="8">
        <v>0</v>
      </c>
      <c r="G65" s="8">
        <v>0</v>
      </c>
      <c r="H65" s="8">
        <v>-10</v>
      </c>
      <c r="I65" s="336">
        <v>-4.4000000000000004</v>
      </c>
      <c r="K65" s="41">
        <f t="shared" si="86"/>
        <v>0</v>
      </c>
      <c r="L65" s="41">
        <f t="shared" si="87"/>
        <v>0</v>
      </c>
      <c r="M65" s="41">
        <f t="shared" si="88"/>
        <v>0</v>
      </c>
      <c r="N65" s="41">
        <f t="shared" si="89"/>
        <v>0</v>
      </c>
      <c r="O65" s="41">
        <f t="shared" si="90"/>
        <v>0</v>
      </c>
      <c r="P65" s="41">
        <f t="shared" si="91"/>
        <v>0</v>
      </c>
      <c r="Q65" s="41">
        <f t="shared" si="92"/>
        <v>-6.7773636055574382E-3</v>
      </c>
      <c r="R65" s="41">
        <f t="shared" si="94"/>
        <v>-3.1069058042649347E-3</v>
      </c>
      <c r="T65" s="41"/>
      <c r="U65" s="41"/>
      <c r="V65" s="41"/>
      <c r="W65" s="41"/>
      <c r="X65" s="41"/>
      <c r="Y65" s="41"/>
      <c r="Z65" s="41"/>
      <c r="AA65" s="41"/>
      <c r="AB65" s="41"/>
      <c r="AC65" s="41"/>
      <c r="AD65" s="41"/>
      <c r="AG65" s="38">
        <v>0</v>
      </c>
      <c r="AH65" s="158">
        <v>0</v>
      </c>
      <c r="AI65" s="38"/>
      <c r="AJ65" s="38">
        <v>0</v>
      </c>
      <c r="AK65" s="38">
        <v>0</v>
      </c>
    </row>
    <row r="66" spans="1:37" s="35" customFormat="1" ht="15" customHeight="1" x14ac:dyDescent="0.25">
      <c r="A66" s="37" t="s">
        <v>92</v>
      </c>
      <c r="B66" s="108">
        <f>C66+AG66+AH66-(AJ66+AK66)</f>
        <v>0</v>
      </c>
      <c r="C66" s="23">
        <v>0</v>
      </c>
      <c r="D66" s="23">
        <v>0</v>
      </c>
      <c r="E66" s="23">
        <v>0</v>
      </c>
      <c r="F66" s="23">
        <v>0</v>
      </c>
      <c r="G66" s="23">
        <v>0</v>
      </c>
      <c r="H66" s="23">
        <v>-13.3</v>
      </c>
      <c r="I66" s="336">
        <v>0</v>
      </c>
      <c r="K66" s="42">
        <f t="shared" si="86"/>
        <v>0</v>
      </c>
      <c r="L66" s="42">
        <f t="shared" si="87"/>
        <v>0</v>
      </c>
      <c r="M66" s="42">
        <f t="shared" si="88"/>
        <v>0</v>
      </c>
      <c r="N66" s="42">
        <f t="shared" si="89"/>
        <v>0</v>
      </c>
      <c r="O66" s="42">
        <f t="shared" si="90"/>
        <v>0</v>
      </c>
      <c r="P66" s="42">
        <f t="shared" si="91"/>
        <v>0</v>
      </c>
      <c r="Q66" s="42">
        <f t="shared" si="92"/>
        <v>-9.0138935953913927E-3</v>
      </c>
      <c r="R66" s="42">
        <f t="shared" si="94"/>
        <v>0</v>
      </c>
      <c r="T66" s="42"/>
      <c r="U66" s="42"/>
      <c r="V66" s="42"/>
      <c r="W66" s="42"/>
      <c r="X66" s="42"/>
      <c r="Y66" s="42"/>
      <c r="Z66" s="42"/>
      <c r="AA66" s="42"/>
      <c r="AB66" s="42"/>
      <c r="AC66" s="42"/>
      <c r="AD66" s="42"/>
      <c r="AF66" s="169"/>
      <c r="AG66" s="38">
        <v>0</v>
      </c>
      <c r="AH66" s="158">
        <v>0</v>
      </c>
      <c r="AI66" s="38"/>
      <c r="AJ66" s="38">
        <v>0</v>
      </c>
      <c r="AK66" s="38">
        <v>0</v>
      </c>
    </row>
    <row r="67" spans="1:37" s="35" customFormat="1" ht="15" customHeight="1" x14ac:dyDescent="0.25">
      <c r="A67" s="36" t="s">
        <v>93</v>
      </c>
      <c r="B67" s="25">
        <f>SUM(B63:B66)</f>
        <v>-56.699999999999996</v>
      </c>
      <c r="C67" s="25">
        <f>SUM(C63:C66)</f>
        <v>-42.3</v>
      </c>
      <c r="D67" s="25">
        <f t="shared" ref="D67:H67" si="103">SUM(D63:D66)</f>
        <v>-36.9</v>
      </c>
      <c r="E67" s="25">
        <f t="shared" si="103"/>
        <v>-46.6</v>
      </c>
      <c r="F67" s="25">
        <f t="shared" si="103"/>
        <v>-61.300000000000004</v>
      </c>
      <c r="G67" s="25">
        <f t="shared" si="103"/>
        <v>-53.2</v>
      </c>
      <c r="H67" s="45">
        <f t="shared" si="103"/>
        <v>-63.3</v>
      </c>
      <c r="I67" s="45">
        <f t="shared" ref="I67" si="104">SUM(I63:I66)</f>
        <v>-54.9</v>
      </c>
      <c r="J67" s="64"/>
      <c r="K67" s="97">
        <f t="shared" si="86"/>
        <v>-2.6880955767316167E-2</v>
      </c>
      <c r="L67" s="97">
        <f t="shared" si="87"/>
        <v>-2.1358242867962635E-2</v>
      </c>
      <c r="M67" s="97">
        <f t="shared" si="88"/>
        <v>-2.1982604551411891E-2</v>
      </c>
      <c r="N67" s="97">
        <f t="shared" si="89"/>
        <v>-2.7919237912647537E-2</v>
      </c>
      <c r="O67" s="97">
        <f t="shared" si="90"/>
        <v>-3.7446548564447159E-2</v>
      </c>
      <c r="P67" s="97">
        <f t="shared" si="91"/>
        <v>-3.4043642413771037E-2</v>
      </c>
      <c r="Q67" s="97">
        <f t="shared" si="92"/>
        <v>-4.2900711623178579E-2</v>
      </c>
      <c r="R67" s="42">
        <f t="shared" si="94"/>
        <v>-3.8765711057760201E-2</v>
      </c>
      <c r="S67" s="64"/>
      <c r="T67" s="42">
        <f t="shared" si="95"/>
        <v>-4.2523764041100365E-2</v>
      </c>
      <c r="U67" s="97">
        <f>_xlfn.RRI(5.5,H67,B67)</f>
        <v>-1.9821129788537561E-2</v>
      </c>
      <c r="V67" s="97">
        <f>_xlfn.RRI(5,H67,C67)</f>
        <v>-7.7455484197801128E-2</v>
      </c>
      <c r="W67" s="97">
        <f t="shared" si="96"/>
        <v>5.2510374377684787E-3</v>
      </c>
      <c r="X67" s="97">
        <f t="shared" ref="X67:AD68" si="105">(B67-C67)/C67</f>
        <v>0.34042553191489361</v>
      </c>
      <c r="Y67" s="97">
        <f t="shared" si="105"/>
        <v>0.14634146341463411</v>
      </c>
      <c r="Z67" s="97">
        <f t="shared" si="105"/>
        <v>-0.20815450643776828</v>
      </c>
      <c r="AA67" s="97">
        <f t="shared" si="105"/>
        <v>-0.23980424143556284</v>
      </c>
      <c r="AB67" s="97">
        <f t="shared" si="105"/>
        <v>0.15225563909774437</v>
      </c>
      <c r="AC67" s="97">
        <f t="shared" si="105"/>
        <v>-0.15955766192733009</v>
      </c>
      <c r="AD67" s="97">
        <f t="shared" si="105"/>
        <v>0.15300546448087429</v>
      </c>
      <c r="AE67" s="64"/>
      <c r="AF67" s="170"/>
      <c r="AG67" s="65">
        <f>SUM(AG63:AG66)</f>
        <v>-20.100000000000001</v>
      </c>
      <c r="AH67" s="156">
        <f t="shared" ref="AH67:AK67" si="106">SUM(AH63:AH66)</f>
        <v>-14.2</v>
      </c>
      <c r="AI67" s="65"/>
      <c r="AJ67" s="65">
        <f t="shared" si="106"/>
        <v>-10.7</v>
      </c>
      <c r="AK67" s="65">
        <f t="shared" si="106"/>
        <v>-9.2000000000000011</v>
      </c>
    </row>
    <row r="68" spans="1:37" s="35" customFormat="1" ht="15" customHeight="1" x14ac:dyDescent="0.25">
      <c r="A68" s="36" t="s">
        <v>94</v>
      </c>
      <c r="B68" s="24">
        <f>SUM(B67,B62)</f>
        <v>117.30000000000018</v>
      </c>
      <c r="C68" s="24">
        <f>SUM(C67,C62)</f>
        <v>94.299999999999912</v>
      </c>
      <c r="D68" s="24">
        <f t="shared" ref="D68:G68" si="107">SUM(D67,D62)</f>
        <v>119.59999999999988</v>
      </c>
      <c r="E68" s="24">
        <f t="shared" si="107"/>
        <v>110.09999999999985</v>
      </c>
      <c r="F68" s="24">
        <f t="shared" si="107"/>
        <v>63.700000000000053</v>
      </c>
      <c r="G68" s="24">
        <f t="shared" si="107"/>
        <v>31.199999999999974</v>
      </c>
      <c r="H68" s="24">
        <f>SUM(H67,H62)</f>
        <v>60.299999999999912</v>
      </c>
      <c r="I68" s="24">
        <f>SUM(I67,I62)</f>
        <v>38.499999999999979</v>
      </c>
      <c r="J68" s="13"/>
      <c r="K68" s="95">
        <f t="shared" si="86"/>
        <v>5.5610866164130364E-2</v>
      </c>
      <c r="L68" s="95">
        <f t="shared" si="87"/>
        <v>4.7614238828578598E-2</v>
      </c>
      <c r="M68" s="95">
        <f t="shared" si="88"/>
        <v>7.1249851066364764E-2</v>
      </c>
      <c r="N68" s="95">
        <f t="shared" si="89"/>
        <v>6.5963693008207938E-2</v>
      </c>
      <c r="O68" s="95">
        <f t="shared" si="90"/>
        <v>3.8912645082467959E-2</v>
      </c>
      <c r="P68" s="95">
        <f t="shared" si="91"/>
        <v>1.9965444423113824E-2</v>
      </c>
      <c r="Q68" s="95">
        <f t="shared" si="92"/>
        <v>4.0867502541511294E-2</v>
      </c>
      <c r="R68" s="41">
        <f t="shared" si="94"/>
        <v>2.7185425787318158E-2</v>
      </c>
      <c r="S68" s="13"/>
      <c r="T68" s="41">
        <f t="shared" si="95"/>
        <v>0.16102568393598582</v>
      </c>
      <c r="U68" s="95">
        <f>_xlfn.RRI(5.5,H68,B68)</f>
        <v>0.12860493627846448</v>
      </c>
      <c r="V68" s="95">
        <f>_xlfn.RRI(5,H68,C68)</f>
        <v>9.3550582156779472E-2</v>
      </c>
      <c r="W68" s="95">
        <f t="shared" si="96"/>
        <v>0.23435720290885997</v>
      </c>
      <c r="X68" s="95">
        <f t="shared" si="105"/>
        <v>0.24390243902439335</v>
      </c>
      <c r="Y68" s="95">
        <f t="shared" si="105"/>
        <v>-0.21153846153846148</v>
      </c>
      <c r="Z68" s="95">
        <f t="shared" si="105"/>
        <v>8.6285195277021262E-2</v>
      </c>
      <c r="AA68" s="95">
        <f t="shared" si="105"/>
        <v>0.72841444270015321</v>
      </c>
      <c r="AB68" s="95">
        <f t="shared" si="105"/>
        <v>1.0416666666666701</v>
      </c>
      <c r="AC68" s="95">
        <f t="shared" si="105"/>
        <v>-0.48258706467661661</v>
      </c>
      <c r="AD68" s="95">
        <f t="shared" si="105"/>
        <v>0.56623376623376476</v>
      </c>
      <c r="AE68" s="13"/>
      <c r="AF68" s="13"/>
      <c r="AG68" s="24" t="e">
        <f t="shared" ref="AG68:AK68" si="108">SUM(AG67,AG62)</f>
        <v>#REF!</v>
      </c>
      <c r="AH68" s="157" t="e">
        <f t="shared" si="108"/>
        <v>#REF!</v>
      </c>
      <c r="AI68" s="138"/>
      <c r="AJ68" s="24" t="e">
        <f t="shared" si="108"/>
        <v>#REF!</v>
      </c>
      <c r="AK68" s="24" t="e">
        <f t="shared" si="108"/>
        <v>#REF!</v>
      </c>
    </row>
    <row r="69" spans="1:37" s="35" customFormat="1" ht="15" customHeight="1" x14ac:dyDescent="0.25">
      <c r="A69" s="37" t="str">
        <f>A494</f>
        <v>Income tax provision (See Note)</v>
      </c>
      <c r="B69" s="108">
        <f>C69+AG69+AH69-(AJ69+AK69)</f>
        <v>34.9</v>
      </c>
      <c r="C69" s="108">
        <f t="shared" ref="C69:I69" si="109">C494</f>
        <v>31.6</v>
      </c>
      <c r="D69" s="108">
        <f t="shared" si="109"/>
        <v>34.499999999999993</v>
      </c>
      <c r="E69" s="108">
        <f t="shared" si="109"/>
        <v>21</v>
      </c>
      <c r="F69" s="108">
        <f t="shared" si="109"/>
        <v>0</v>
      </c>
      <c r="G69" s="108">
        <f t="shared" si="109"/>
        <v>25.7</v>
      </c>
      <c r="H69" s="108">
        <f t="shared" si="109"/>
        <v>29</v>
      </c>
      <c r="I69" s="108">
        <f t="shared" si="109"/>
        <v>11.4</v>
      </c>
      <c r="K69" s="42">
        <f t="shared" si="86"/>
        <v>1.6545773479353338E-2</v>
      </c>
      <c r="L69" s="42">
        <f t="shared" si="87"/>
        <v>1.5955566776066649E-2</v>
      </c>
      <c r="M69" s="42">
        <f t="shared" si="88"/>
        <v>2.055284165375908E-2</v>
      </c>
      <c r="N69" s="42">
        <f t="shared" si="89"/>
        <v>1.2581630819004255E-2</v>
      </c>
      <c r="O69" s="42">
        <f t="shared" si="90"/>
        <v>0</v>
      </c>
      <c r="P69" s="42">
        <f t="shared" si="91"/>
        <v>1.6445894925449542E-2</v>
      </c>
      <c r="Q69" s="42">
        <f t="shared" si="92"/>
        <v>1.965435445611657E-2</v>
      </c>
      <c r="R69" s="42">
        <f t="shared" si="94"/>
        <v>8.0497104928682391E-3</v>
      </c>
      <c r="T69" s="42">
        <f t="shared" si="95"/>
        <v>0.18521472519183702</v>
      </c>
      <c r="U69" s="42">
        <f>_xlfn.RRI(5.5,H69,B69)</f>
        <v>3.4244378254496555E-2</v>
      </c>
      <c r="V69" s="42">
        <f>_xlfn.RRI(5,H69,C69)</f>
        <v>1.7320548959203874E-2</v>
      </c>
      <c r="W69" s="42"/>
      <c r="X69" s="42"/>
      <c r="Y69" s="42"/>
      <c r="Z69" s="42"/>
      <c r="AA69" s="42"/>
      <c r="AB69" s="42"/>
      <c r="AC69" s="42"/>
      <c r="AD69" s="42"/>
      <c r="AF69" s="169"/>
      <c r="AG69" s="23">
        <v>9.9</v>
      </c>
      <c r="AH69" s="146">
        <v>9.9</v>
      </c>
      <c r="AI69" s="136"/>
      <c r="AJ69" s="23">
        <v>6.8</v>
      </c>
      <c r="AK69" s="23">
        <v>9.6999999999999993</v>
      </c>
    </row>
    <row r="70" spans="1:37" s="35" customFormat="1" ht="15" customHeight="1" x14ac:dyDescent="0.25">
      <c r="A70" s="36" t="s">
        <v>102</v>
      </c>
      <c r="B70" s="24">
        <f>B68-B69</f>
        <v>82.400000000000176</v>
      </c>
      <c r="C70" s="24">
        <f>C68-C69</f>
        <v>62.69999999999991</v>
      </c>
      <c r="D70" s="24">
        <f t="shared" ref="D70:I70" si="110">D68-D69</f>
        <v>85.099999999999881</v>
      </c>
      <c r="E70" s="24">
        <f t="shared" si="110"/>
        <v>89.099999999999852</v>
      </c>
      <c r="F70" s="24">
        <f t="shared" si="110"/>
        <v>63.700000000000053</v>
      </c>
      <c r="G70" s="24">
        <f t="shared" si="110"/>
        <v>5.4999999999999751</v>
      </c>
      <c r="H70" s="24">
        <f t="shared" si="110"/>
        <v>31.299999999999912</v>
      </c>
      <c r="I70" s="24">
        <f t="shared" si="110"/>
        <v>27.09999999999998</v>
      </c>
      <c r="J70" s="13"/>
      <c r="K70" s="95">
        <f t="shared" si="86"/>
        <v>3.9065092684777022E-2</v>
      </c>
      <c r="L70" s="95">
        <f t="shared" si="87"/>
        <v>3.1658672052511945E-2</v>
      </c>
      <c r="M70" s="95">
        <f t="shared" si="88"/>
        <v>5.0697009412605673E-2</v>
      </c>
      <c r="N70" s="95">
        <f t="shared" si="89"/>
        <v>5.3382062189203675E-2</v>
      </c>
      <c r="O70" s="95">
        <f t="shared" si="90"/>
        <v>3.8912645082467959E-2</v>
      </c>
      <c r="P70" s="95">
        <f t="shared" si="91"/>
        <v>3.5195494976642829E-3</v>
      </c>
      <c r="Q70" s="95">
        <f t="shared" si="92"/>
        <v>2.121314808539472E-2</v>
      </c>
      <c r="R70" s="41">
        <f t="shared" si="94"/>
        <v>1.913571529444992E-2</v>
      </c>
      <c r="S70" s="13"/>
      <c r="T70" s="41">
        <f t="shared" si="95"/>
        <v>0.15004908026857389</v>
      </c>
      <c r="U70" s="95">
        <f>_xlfn.RRI(5.5,H70,B70)</f>
        <v>0.19243097762095984</v>
      </c>
      <c r="V70" s="95">
        <f>_xlfn.RRI(5,H70,C70)</f>
        <v>0.14906511699868363</v>
      </c>
      <c r="W70" s="95">
        <f t="shared" si="96"/>
        <v>1.6937271003889125</v>
      </c>
      <c r="X70" s="95">
        <f t="shared" ref="X70:AD70" si="111">(B70-C70)/C70</f>
        <v>0.3141945773524768</v>
      </c>
      <c r="Y70" s="95">
        <f t="shared" si="111"/>
        <v>-0.26321974148061106</v>
      </c>
      <c r="Z70" s="95">
        <f t="shared" si="111"/>
        <v>-4.4893378226711314E-2</v>
      </c>
      <c r="AA70" s="95">
        <f t="shared" si="111"/>
        <v>0.39874411302982382</v>
      </c>
      <c r="AB70" s="95">
        <f t="shared" si="111"/>
        <v>10.581818181818242</v>
      </c>
      <c r="AC70" s="95">
        <f t="shared" si="111"/>
        <v>-0.82428115015974468</v>
      </c>
      <c r="AD70" s="95">
        <f t="shared" si="111"/>
        <v>0.15498154981549575</v>
      </c>
      <c r="AE70" s="13"/>
      <c r="AF70" s="13"/>
      <c r="AG70" s="24" t="e">
        <f t="shared" ref="AG70:AK70" si="112">AG68-AG69</f>
        <v>#REF!</v>
      </c>
      <c r="AH70" s="157" t="e">
        <f t="shared" si="112"/>
        <v>#REF!</v>
      </c>
      <c r="AI70" s="138"/>
      <c r="AJ70" s="24" t="e">
        <f t="shared" si="112"/>
        <v>#REF!</v>
      </c>
      <c r="AK70" s="24" t="e">
        <f t="shared" si="112"/>
        <v>#REF!</v>
      </c>
    </row>
    <row r="71" spans="1:37" s="35" customFormat="1" ht="15" customHeight="1" x14ac:dyDescent="0.25">
      <c r="A71" s="37" t="s">
        <v>103</v>
      </c>
      <c r="B71" s="108">
        <f>C71+AG71+AH71-(AJ71+AK71)</f>
        <v>-9.9999999999999978E-2</v>
      </c>
      <c r="C71" s="23">
        <v>-0.6</v>
      </c>
      <c r="D71" s="23">
        <v>-0.2</v>
      </c>
      <c r="E71" s="23">
        <v>31.9</v>
      </c>
      <c r="F71" s="23">
        <v>3.7</v>
      </c>
      <c r="G71" s="23">
        <v>23.7</v>
      </c>
      <c r="H71" s="23">
        <v>-0.8</v>
      </c>
      <c r="I71" s="345">
        <v>0.6</v>
      </c>
      <c r="K71" s="42">
        <f t="shared" si="86"/>
        <v>-4.7409093064049671E-5</v>
      </c>
      <c r="L71" s="42">
        <f t="shared" si="87"/>
        <v>-3.029537995455693E-4</v>
      </c>
      <c r="M71" s="42">
        <f t="shared" si="88"/>
        <v>-1.1914690813773384E-4</v>
      </c>
      <c r="N71" s="42">
        <f t="shared" si="89"/>
        <v>1.9112096339344558E-2</v>
      </c>
      <c r="O71" s="42">
        <f t="shared" si="90"/>
        <v>2.2602321319486868E-3</v>
      </c>
      <c r="P71" s="42">
        <f t="shared" si="91"/>
        <v>1.5166058744480706E-2</v>
      </c>
      <c r="Q71" s="42">
        <f t="shared" si="92"/>
        <v>-5.4218908844459507E-4</v>
      </c>
      <c r="R71" s="42">
        <f t="shared" si="94"/>
        <v>4.2366897330885467E-4</v>
      </c>
      <c r="T71" s="42"/>
      <c r="U71" s="42"/>
      <c r="V71" s="42"/>
      <c r="W71" s="42"/>
      <c r="X71" s="42"/>
      <c r="Y71" s="42"/>
      <c r="Z71" s="42"/>
      <c r="AA71" s="42"/>
      <c r="AB71" s="42"/>
      <c r="AC71" s="42"/>
      <c r="AD71" s="42"/>
      <c r="AF71" s="169"/>
      <c r="AG71" s="23">
        <v>0</v>
      </c>
      <c r="AH71" s="146">
        <v>0</v>
      </c>
      <c r="AI71" s="136"/>
      <c r="AJ71" s="23">
        <v>0</v>
      </c>
      <c r="AK71" s="23">
        <v>-0.5</v>
      </c>
    </row>
    <row r="72" spans="1:37" s="35" customFormat="1" ht="15" customHeight="1" x14ac:dyDescent="0.25">
      <c r="A72" s="36" t="s">
        <v>104</v>
      </c>
      <c r="B72" s="76">
        <f>SUM(B70:B71)</f>
        <v>82.300000000000182</v>
      </c>
      <c r="C72" s="76">
        <f>SUM(C70:C71)</f>
        <v>62.099999999999909</v>
      </c>
      <c r="D72" s="76">
        <f t="shared" ref="D72:I72" si="113">SUM(D70:D71)</f>
        <v>84.899999999999878</v>
      </c>
      <c r="E72" s="76">
        <f t="shared" si="113"/>
        <v>120.99999999999986</v>
      </c>
      <c r="F72" s="76">
        <f t="shared" si="113"/>
        <v>67.400000000000048</v>
      </c>
      <c r="G72" s="76">
        <f t="shared" si="113"/>
        <v>29.199999999999974</v>
      </c>
      <c r="H72" s="76">
        <f t="shared" si="113"/>
        <v>30.499999999999911</v>
      </c>
      <c r="I72" s="76">
        <f t="shared" si="113"/>
        <v>27.699999999999982</v>
      </c>
      <c r="J72" s="13"/>
      <c r="K72" s="95">
        <f t="shared" si="86"/>
        <v>3.9017683591712975E-2</v>
      </c>
      <c r="L72" s="95">
        <f t="shared" si="87"/>
        <v>3.1355718252966375E-2</v>
      </c>
      <c r="M72" s="95">
        <f t="shared" si="88"/>
        <v>5.0577862504467941E-2</v>
      </c>
      <c r="N72" s="95">
        <f t="shared" si="89"/>
        <v>7.2494158528548236E-2</v>
      </c>
      <c r="O72" s="95">
        <f t="shared" si="90"/>
        <v>4.1172877214416648E-2</v>
      </c>
      <c r="P72" s="95">
        <f t="shared" si="91"/>
        <v>1.8685608242144987E-2</v>
      </c>
      <c r="Q72" s="95">
        <f t="shared" si="92"/>
        <v>2.0670958996950126E-2</v>
      </c>
      <c r="R72" s="41">
        <f t="shared" si="94"/>
        <v>1.9559384267758776E-2</v>
      </c>
      <c r="S72" s="13"/>
      <c r="T72" s="41">
        <f t="shared" si="95"/>
        <v>0.14402444715997542</v>
      </c>
      <c r="U72" s="95">
        <f>_xlfn.RRI(5.5,H72,B72)</f>
        <v>0.1977931288736392</v>
      </c>
      <c r="V72" s="95">
        <f>_xlfn.RRI(5,H72,C72)</f>
        <v>0.15281163799210273</v>
      </c>
      <c r="W72" s="95">
        <f t="shared" si="96"/>
        <v>0.30320531868955908</v>
      </c>
      <c r="X72" s="95">
        <f t="shared" ref="X72:AD72" si="114">(B72-C72)/C72</f>
        <v>0.32528180354267799</v>
      </c>
      <c r="Y72" s="95">
        <f t="shared" si="114"/>
        <v>-0.26855123674911663</v>
      </c>
      <c r="Z72" s="95">
        <f t="shared" si="114"/>
        <v>-0.29834710743801673</v>
      </c>
      <c r="AA72" s="95">
        <f t="shared" si="114"/>
        <v>0.79525222551928443</v>
      </c>
      <c r="AB72" s="95">
        <f t="shared" si="114"/>
        <v>1.3082191780821955</v>
      </c>
      <c r="AC72" s="95">
        <f t="shared" si="114"/>
        <v>-4.2622950819670179E-2</v>
      </c>
      <c r="AD72" s="95">
        <f t="shared" si="114"/>
        <v>0.10108303249097225</v>
      </c>
      <c r="AE72" s="13"/>
      <c r="AF72" s="13"/>
      <c r="AG72" s="76" t="e">
        <f t="shared" ref="AG72:AK72" si="115">SUM(AG70:AG71)</f>
        <v>#REF!</v>
      </c>
      <c r="AH72" s="159" t="e">
        <f t="shared" si="115"/>
        <v>#REF!</v>
      </c>
      <c r="AI72" s="139"/>
      <c r="AJ72" s="76" t="e">
        <f t="shared" si="115"/>
        <v>#REF!</v>
      </c>
      <c r="AK72" s="76" t="e">
        <f t="shared" si="115"/>
        <v>#REF!</v>
      </c>
    </row>
    <row r="73" spans="1:37" s="35" customFormat="1" ht="15" customHeight="1" x14ac:dyDescent="0.25">
      <c r="A73" s="37" t="s">
        <v>105</v>
      </c>
      <c r="B73" s="108">
        <f>C73+AG73+AH73-(AJ73+AK73)</f>
        <v>0.49999999999999989</v>
      </c>
      <c r="C73" s="23">
        <v>-0.2</v>
      </c>
      <c r="D73" s="23">
        <v>-0.3</v>
      </c>
      <c r="E73" s="23">
        <v>-1</v>
      </c>
      <c r="F73" s="23">
        <v>0.8</v>
      </c>
      <c r="G73" s="23">
        <v>5.8</v>
      </c>
      <c r="H73" s="23">
        <v>1.4</v>
      </c>
      <c r="I73" s="346">
        <v>-1.6</v>
      </c>
      <c r="K73" s="42">
        <f t="shared" si="86"/>
        <v>2.3704546532024836E-4</v>
      </c>
      <c r="L73" s="42">
        <f t="shared" si="87"/>
        <v>-1.009845998485231E-4</v>
      </c>
      <c r="M73" s="42">
        <f t="shared" si="88"/>
        <v>-1.7872036220660075E-4</v>
      </c>
      <c r="N73" s="42">
        <f t="shared" si="89"/>
        <v>-5.9912527709544072E-4</v>
      </c>
      <c r="O73" s="42">
        <f t="shared" si="90"/>
        <v>4.8869883934025656E-4</v>
      </c>
      <c r="P73" s="42">
        <f t="shared" si="91"/>
        <v>3.7115249248096242E-3</v>
      </c>
      <c r="Q73" s="42">
        <f t="shared" si="92"/>
        <v>9.4883090477804123E-4</v>
      </c>
      <c r="R73" s="42">
        <f t="shared" si="94"/>
        <v>-1.1297839288236125E-3</v>
      </c>
      <c r="T73" s="42"/>
      <c r="U73" s="42"/>
      <c r="V73" s="42"/>
      <c r="W73" s="42"/>
      <c r="X73" s="42"/>
      <c r="Y73" s="42"/>
      <c r="Z73" s="42"/>
      <c r="AA73" s="42"/>
      <c r="AB73" s="42"/>
      <c r="AC73" s="42"/>
      <c r="AD73" s="42"/>
      <c r="AF73" s="169"/>
      <c r="AG73" s="8">
        <v>-0.1</v>
      </c>
      <c r="AH73" s="144">
        <v>0.7</v>
      </c>
      <c r="AI73" s="135"/>
      <c r="AJ73" s="8">
        <v>-0.1</v>
      </c>
      <c r="AK73" s="8">
        <v>0</v>
      </c>
    </row>
    <row r="74" spans="1:37" s="35" customFormat="1" ht="15" customHeight="1" thickBot="1" x14ac:dyDescent="0.3">
      <c r="A74" s="36" t="s">
        <v>106</v>
      </c>
      <c r="B74" s="30">
        <f>B72-B73</f>
        <v>81.800000000000182</v>
      </c>
      <c r="C74" s="30">
        <f>C72-C73</f>
        <v>62.299999999999912</v>
      </c>
      <c r="D74" s="30">
        <f t="shared" ref="D74:I74" si="116">D72-D73</f>
        <v>85.199999999999875</v>
      </c>
      <c r="E74" s="30">
        <f t="shared" si="116"/>
        <v>121.99999999999986</v>
      </c>
      <c r="F74" s="30">
        <f t="shared" si="116"/>
        <v>66.600000000000051</v>
      </c>
      <c r="G74" s="30">
        <f>G72-G73</f>
        <v>23.399999999999974</v>
      </c>
      <c r="H74" s="30">
        <f t="shared" si="116"/>
        <v>29.099999999999913</v>
      </c>
      <c r="I74" s="30">
        <f t="shared" si="116"/>
        <v>29.299999999999983</v>
      </c>
      <c r="J74" s="13"/>
      <c r="K74" s="98">
        <f t="shared" si="86"/>
        <v>3.8780638126392722E-2</v>
      </c>
      <c r="L74" s="98">
        <f t="shared" si="87"/>
        <v>3.1456702852814898E-2</v>
      </c>
      <c r="M74" s="98">
        <f t="shared" si="88"/>
        <v>5.0756582866674539E-2</v>
      </c>
      <c r="N74" s="98">
        <f t="shared" si="89"/>
        <v>7.3093283805643686E-2</v>
      </c>
      <c r="O74" s="98">
        <f t="shared" si="90"/>
        <v>4.0684178375076388E-2</v>
      </c>
      <c r="P74" s="98">
        <f t="shared" si="91"/>
        <v>1.4974083317335364E-2</v>
      </c>
      <c r="Q74" s="98">
        <f t="shared" si="92"/>
        <v>1.9722128092172084E-2</v>
      </c>
      <c r="R74" s="347">
        <f t="shared" si="94"/>
        <v>2.068916819658239E-2</v>
      </c>
      <c r="S74" s="13"/>
      <c r="T74" s="347">
        <f t="shared" si="95"/>
        <v>0.133974802410048</v>
      </c>
      <c r="U74" s="128">
        <f>_xlfn.RRI(5.5,H74,B74)</f>
        <v>0.20673238023139695</v>
      </c>
      <c r="V74" s="98">
        <f>_xlfn.RRI(5,H74,C74)</f>
        <v>0.16444508345274023</v>
      </c>
      <c r="W74" s="98">
        <f t="shared" si="96"/>
        <v>0.37078205124617147</v>
      </c>
      <c r="X74" s="98">
        <f t="shared" ref="X74:AD74" si="117">(B74-C74)/C74</f>
        <v>0.31300160513644137</v>
      </c>
      <c r="Y74" s="98">
        <f t="shared" si="117"/>
        <v>-0.26877934272300463</v>
      </c>
      <c r="Z74" s="98">
        <f t="shared" si="117"/>
        <v>-0.30163934426229527</v>
      </c>
      <c r="AA74" s="98">
        <f t="shared" si="117"/>
        <v>0.83183183183182829</v>
      </c>
      <c r="AB74" s="98">
        <f t="shared" si="117"/>
        <v>1.8461538461538514</v>
      </c>
      <c r="AC74" s="98">
        <f t="shared" si="117"/>
        <v>-0.19587628865979231</v>
      </c>
      <c r="AD74" s="98">
        <f t="shared" si="117"/>
        <v>-6.8259385665553054E-3</v>
      </c>
      <c r="AE74" s="13"/>
      <c r="AF74" s="171"/>
      <c r="AG74" s="30" t="e">
        <f t="shared" ref="AG74:AK74" si="118">AG72-AG73</f>
        <v>#REF!</v>
      </c>
      <c r="AH74" s="160" t="e">
        <f t="shared" si="118"/>
        <v>#REF!</v>
      </c>
      <c r="AI74" s="140"/>
      <c r="AJ74" s="30" t="e">
        <f t="shared" si="118"/>
        <v>#REF!</v>
      </c>
      <c r="AK74" s="30" t="e">
        <f t="shared" si="118"/>
        <v>#REF!</v>
      </c>
    </row>
    <row r="75" spans="1:37" s="35" customFormat="1" ht="15" customHeight="1" thickTop="1" x14ac:dyDescent="0.25"/>
    <row r="76" spans="1:37" s="35" customFormat="1" ht="15" customHeight="1" x14ac:dyDescent="0.25">
      <c r="A76" s="78" t="s">
        <v>115</v>
      </c>
      <c r="B76" s="38">
        <f>C76+AG76+AH76-(AJ76+AK76)</f>
        <v>21.020000000000003</v>
      </c>
      <c r="C76" s="38">
        <v>21.21</v>
      </c>
      <c r="D76" s="38">
        <v>21.93</v>
      </c>
      <c r="E76" s="38">
        <v>21.37</v>
      </c>
      <c r="F76" s="38">
        <v>21.07</v>
      </c>
      <c r="G76" s="38">
        <v>20.87</v>
      </c>
      <c r="H76" s="38">
        <v>22</v>
      </c>
      <c r="I76" s="336">
        <v>21.06</v>
      </c>
      <c r="AG76" s="77">
        <v>21.35</v>
      </c>
      <c r="AH76" s="77">
        <v>21.39</v>
      </c>
      <c r="AI76" s="77"/>
      <c r="AJ76" s="77">
        <v>21.24</v>
      </c>
      <c r="AK76" s="77">
        <v>21.69</v>
      </c>
    </row>
    <row r="77" spans="1:37" s="35" customFormat="1" ht="15" customHeight="1" x14ac:dyDescent="0.25">
      <c r="A77" s="78" t="s">
        <v>116</v>
      </c>
      <c r="B77" s="43">
        <f>B74/B76</f>
        <v>3.8915318744053362</v>
      </c>
      <c r="C77" s="43">
        <f>C74/C76</f>
        <v>2.9372937293729331</v>
      </c>
      <c r="D77" s="43">
        <f t="shared" ref="D77:I77" si="119">D74/D76</f>
        <v>3.88508891928864</v>
      </c>
      <c r="E77" s="43">
        <f t="shared" si="119"/>
        <v>5.7089377632194598</v>
      </c>
      <c r="F77" s="43">
        <f t="shared" si="119"/>
        <v>3.1608922638822996</v>
      </c>
      <c r="G77" s="43">
        <f t="shared" si="119"/>
        <v>1.1212266411116423</v>
      </c>
      <c r="H77" s="43">
        <f t="shared" si="119"/>
        <v>1.3227272727272688</v>
      </c>
      <c r="I77" s="43">
        <f t="shared" si="119"/>
        <v>1.3912630579297238</v>
      </c>
      <c r="L77" s="40"/>
      <c r="M77" s="40"/>
      <c r="N77" s="40"/>
      <c r="O77" s="40"/>
      <c r="P77" s="40"/>
      <c r="Q77" s="40"/>
      <c r="R77" s="40"/>
      <c r="S77" s="40"/>
      <c r="T77" s="40"/>
    </row>
    <row r="78" spans="1:37" s="35" customFormat="1" ht="15" customHeight="1" x14ac:dyDescent="0.25">
      <c r="A78" s="78" t="s">
        <v>159</v>
      </c>
      <c r="B78" s="43">
        <f t="shared" ref="B78:H78" si="120">B187/B76</f>
        <v>0.23786869647954326</v>
      </c>
      <c r="C78" s="43">
        <f t="shared" si="120"/>
        <v>0.19801980198019803</v>
      </c>
      <c r="D78" s="43">
        <f t="shared" si="120"/>
        <v>0</v>
      </c>
      <c r="E78" s="43">
        <f t="shared" si="120"/>
        <v>0</v>
      </c>
      <c r="F78" s="43">
        <f t="shared" si="120"/>
        <v>0</v>
      </c>
      <c r="G78" s="43">
        <f t="shared" si="120"/>
        <v>0</v>
      </c>
      <c r="H78" s="43">
        <f t="shared" si="120"/>
        <v>0</v>
      </c>
      <c r="I78" s="43">
        <f>I136/I76</f>
        <v>0.42260208926875598</v>
      </c>
    </row>
    <row r="79" spans="1:37" s="35" customFormat="1" ht="15" customHeight="1" x14ac:dyDescent="0.25">
      <c r="A79" s="78"/>
      <c r="B79" s="43"/>
      <c r="C79" s="43"/>
      <c r="D79" s="43"/>
      <c r="E79" s="43"/>
      <c r="F79" s="43"/>
      <c r="G79" s="43"/>
      <c r="H79" s="43"/>
      <c r="I79" s="43"/>
    </row>
    <row r="80" spans="1:37" s="35" customFormat="1" ht="15" customHeight="1" x14ac:dyDescent="0.25">
      <c r="A80" s="277" t="s">
        <v>441</v>
      </c>
      <c r="B80" s="43"/>
      <c r="C80" s="43"/>
      <c r="D80" s="43"/>
      <c r="E80" s="43"/>
      <c r="F80" s="43"/>
      <c r="G80" s="43"/>
      <c r="H80" s="43"/>
      <c r="I80" s="43"/>
    </row>
    <row r="81" spans="1:37" s="35" customFormat="1" ht="15" customHeight="1" x14ac:dyDescent="0.25">
      <c r="A81" s="78" t="s">
        <v>436</v>
      </c>
      <c r="B81" s="44">
        <f>B74</f>
        <v>81.800000000000182</v>
      </c>
      <c r="C81" s="44">
        <f t="shared" ref="C81:H81" si="121">C74</f>
        <v>62.299999999999912</v>
      </c>
      <c r="D81" s="44">
        <f t="shared" si="121"/>
        <v>85.199999999999875</v>
      </c>
      <c r="E81" s="44">
        <f t="shared" si="121"/>
        <v>121.99999999999986</v>
      </c>
      <c r="F81" s="44">
        <f t="shared" si="121"/>
        <v>66.600000000000051</v>
      </c>
      <c r="G81" s="44">
        <f t="shared" si="121"/>
        <v>23.399999999999974</v>
      </c>
      <c r="H81" s="44">
        <f t="shared" si="121"/>
        <v>29.099999999999913</v>
      </c>
      <c r="I81" s="44">
        <f t="shared" ref="I81" si="122">I74</f>
        <v>29.299999999999983</v>
      </c>
    </row>
    <row r="82" spans="1:37" s="35" customFormat="1" ht="15" customHeight="1" x14ac:dyDescent="0.25">
      <c r="A82" s="78" t="s">
        <v>437</v>
      </c>
      <c r="B82" s="279">
        <f>-B186</f>
        <v>19.090601728451141</v>
      </c>
      <c r="C82" s="279">
        <f t="shared" ref="C82:G82" si="123">-C186</f>
        <v>20.7</v>
      </c>
      <c r="D82" s="279">
        <f t="shared" si="123"/>
        <v>23.4</v>
      </c>
      <c r="E82" s="279">
        <f t="shared" si="123"/>
        <v>13.4</v>
      </c>
      <c r="F82" s="279">
        <f t="shared" si="123"/>
        <v>16.8</v>
      </c>
      <c r="G82" s="279">
        <f t="shared" si="123"/>
        <v>25.9</v>
      </c>
      <c r="H82" s="279">
        <f>-H186</f>
        <v>16.600000000000001</v>
      </c>
      <c r="I82" s="279">
        <f t="shared" ref="I82" si="124">-I186</f>
        <v>11.6</v>
      </c>
    </row>
    <row r="83" spans="1:37" s="35" customFormat="1" ht="15" customHeight="1" x14ac:dyDescent="0.25">
      <c r="A83" s="278" t="s">
        <v>439</v>
      </c>
      <c r="B83" s="107">
        <f>SUM(B81:B82)</f>
        <v>100.89060172845132</v>
      </c>
      <c r="C83" s="107">
        <f t="shared" ref="C83:H83" si="125">SUM(C81:C82)</f>
        <v>82.999999999999915</v>
      </c>
      <c r="D83" s="107">
        <f t="shared" si="125"/>
        <v>108.59999999999988</v>
      </c>
      <c r="E83" s="107">
        <f t="shared" si="125"/>
        <v>135.39999999999986</v>
      </c>
      <c r="F83" s="107">
        <f t="shared" si="125"/>
        <v>83.400000000000048</v>
      </c>
      <c r="G83" s="107">
        <f t="shared" si="125"/>
        <v>49.299999999999969</v>
      </c>
      <c r="H83" s="107">
        <f t="shared" si="125"/>
        <v>45.699999999999918</v>
      </c>
      <c r="I83" s="107">
        <f t="shared" ref="I83" si="126">SUM(I81:I82)</f>
        <v>40.899999999999984</v>
      </c>
    </row>
    <row r="84" spans="1:37" s="35" customFormat="1" ht="15" customHeight="1" x14ac:dyDescent="0.25">
      <c r="A84" s="78" t="s">
        <v>90</v>
      </c>
      <c r="B84" s="279">
        <f>-B64</f>
        <v>58.199999999999996</v>
      </c>
      <c r="C84" s="279">
        <f t="shared" ref="C84:H84" si="127">-C64</f>
        <v>44.8</v>
      </c>
      <c r="D84" s="279">
        <f t="shared" si="127"/>
        <v>40.5</v>
      </c>
      <c r="E84" s="279">
        <f t="shared" si="127"/>
        <v>48.9</v>
      </c>
      <c r="F84" s="279">
        <f t="shared" si="127"/>
        <v>61.7</v>
      </c>
      <c r="G84" s="279">
        <f t="shared" si="127"/>
        <v>54.1</v>
      </c>
      <c r="H84" s="279">
        <f t="shared" si="127"/>
        <v>42.5</v>
      </c>
      <c r="I84" s="279">
        <f t="shared" ref="I84" si="128">-I64</f>
        <v>50.8</v>
      </c>
    </row>
    <row r="85" spans="1:37" s="35" customFormat="1" ht="15" customHeight="1" x14ac:dyDescent="0.25">
      <c r="A85" s="277" t="s">
        <v>438</v>
      </c>
      <c r="B85" s="107">
        <f>SUM(B83:B84)</f>
        <v>159.0906017284513</v>
      </c>
      <c r="C85" s="107">
        <f t="shared" ref="C85:H85" si="129">SUM(C83:C84)</f>
        <v>127.79999999999991</v>
      </c>
      <c r="D85" s="107">
        <f t="shared" si="129"/>
        <v>149.09999999999988</v>
      </c>
      <c r="E85" s="107">
        <f t="shared" si="129"/>
        <v>184.29999999999987</v>
      </c>
      <c r="F85" s="107">
        <f t="shared" si="129"/>
        <v>145.10000000000005</v>
      </c>
      <c r="G85" s="107">
        <f t="shared" si="129"/>
        <v>103.39999999999998</v>
      </c>
      <c r="H85" s="107">
        <f t="shared" si="129"/>
        <v>88.199999999999918</v>
      </c>
      <c r="I85" s="107">
        <f t="shared" ref="I85" si="130">SUM(I83:I84)</f>
        <v>91.699999999999989</v>
      </c>
    </row>
    <row r="86" spans="1:37" s="35" customFormat="1" ht="15" customHeight="1" x14ac:dyDescent="0.25">
      <c r="A86" s="78" t="s">
        <v>440</v>
      </c>
      <c r="B86" s="279">
        <f>B126</f>
        <v>56.9</v>
      </c>
      <c r="C86" s="279">
        <f t="shared" ref="C86:H86" si="131">C126</f>
        <v>56.1</v>
      </c>
      <c r="D86" s="279">
        <f t="shared" si="131"/>
        <v>57.7</v>
      </c>
      <c r="E86" s="279">
        <f t="shared" si="131"/>
        <v>54.1</v>
      </c>
      <c r="F86" s="279">
        <f t="shared" si="131"/>
        <v>55.1</v>
      </c>
      <c r="G86" s="279">
        <f t="shared" si="131"/>
        <v>50.8</v>
      </c>
      <c r="H86" s="279">
        <f t="shared" si="131"/>
        <v>49.8</v>
      </c>
      <c r="I86" s="279">
        <f t="shared" ref="I86" si="132">I126</f>
        <v>52.9</v>
      </c>
    </row>
    <row r="87" spans="1:37" s="35" customFormat="1" ht="15" customHeight="1" thickBot="1" x14ac:dyDescent="0.3">
      <c r="A87" s="277" t="s">
        <v>426</v>
      </c>
      <c r="B87" s="280">
        <f>SUM(B85:B86)</f>
        <v>215.99060172845131</v>
      </c>
      <c r="C87" s="280">
        <f t="shared" ref="C87:H87" si="133">SUM(C85:C86)</f>
        <v>183.89999999999992</v>
      </c>
      <c r="D87" s="280">
        <f t="shared" si="133"/>
        <v>206.7999999999999</v>
      </c>
      <c r="E87" s="280">
        <f t="shared" si="133"/>
        <v>238.39999999999986</v>
      </c>
      <c r="F87" s="280">
        <f t="shared" si="133"/>
        <v>200.20000000000005</v>
      </c>
      <c r="G87" s="280">
        <f t="shared" si="133"/>
        <v>154.19999999999999</v>
      </c>
      <c r="H87" s="280">
        <f t="shared" si="133"/>
        <v>137.99999999999991</v>
      </c>
      <c r="I87" s="280">
        <f t="shared" ref="I87" si="134">SUM(I85:I86)</f>
        <v>144.6</v>
      </c>
    </row>
    <row r="88" spans="1:37" s="35" customFormat="1" ht="15" customHeight="1" thickTop="1" x14ac:dyDescent="0.25">
      <c r="A88" s="277"/>
      <c r="B88" s="299"/>
      <c r="C88" s="299"/>
      <c r="D88" s="299"/>
      <c r="E88" s="299"/>
      <c r="F88" s="299"/>
      <c r="G88" s="299"/>
      <c r="H88" s="299"/>
      <c r="I88" s="299"/>
    </row>
    <row r="89" spans="1:37" s="1" customFormat="1" x14ac:dyDescent="0.25">
      <c r="A89" s="1" t="s">
        <v>111</v>
      </c>
      <c r="B89" s="1" t="s">
        <v>318</v>
      </c>
    </row>
    <row r="90" spans="1:37" s="1" customFormat="1" x14ac:dyDescent="0.25">
      <c r="A90" s="1" t="s">
        <v>529</v>
      </c>
    </row>
    <row r="91" spans="1:37" s="1" customFormat="1" x14ac:dyDescent="0.25">
      <c r="A91" s="1" t="s">
        <v>3</v>
      </c>
      <c r="H91" s="2"/>
      <c r="I91" s="2"/>
      <c r="Q91" s="2"/>
      <c r="R91" s="2"/>
      <c r="T91" s="1" t="s">
        <v>536</v>
      </c>
      <c r="U91" s="1" t="s">
        <v>263</v>
      </c>
      <c r="V91" s="1" t="s">
        <v>4</v>
      </c>
      <c r="W91" s="1" t="s">
        <v>5</v>
      </c>
      <c r="X91" s="22" t="s">
        <v>75</v>
      </c>
      <c r="Y91" s="1" t="s">
        <v>6</v>
      </c>
      <c r="Z91" s="1" t="s">
        <v>7</v>
      </c>
      <c r="AA91" s="1" t="s">
        <v>8</v>
      </c>
      <c r="AB91" s="1" t="s">
        <v>9</v>
      </c>
      <c r="AC91" s="1" t="s">
        <v>10</v>
      </c>
      <c r="AD91" s="1" t="s">
        <v>537</v>
      </c>
      <c r="AF91" s="109"/>
      <c r="AG91" s="109"/>
      <c r="AH91" s="111"/>
      <c r="AI91" s="109"/>
      <c r="AJ91" s="109"/>
      <c r="AK91" s="109"/>
    </row>
    <row r="92" spans="1:37" s="1" customFormat="1" ht="15.75" thickBot="1" x14ac:dyDescent="0.3">
      <c r="A92" s="2" t="s">
        <v>11</v>
      </c>
      <c r="B92" s="17" t="s">
        <v>72</v>
      </c>
      <c r="C92" s="3">
        <v>2022</v>
      </c>
      <c r="D92" s="3">
        <v>2021</v>
      </c>
      <c r="E92" s="3">
        <v>2020</v>
      </c>
      <c r="F92" s="3">
        <v>2019</v>
      </c>
      <c r="G92" s="3">
        <v>2018</v>
      </c>
      <c r="H92" s="3">
        <v>2017</v>
      </c>
      <c r="I92" s="3">
        <v>2016</v>
      </c>
      <c r="K92" s="17" t="s">
        <v>72</v>
      </c>
      <c r="L92" s="3">
        <v>2022</v>
      </c>
      <c r="M92" s="3">
        <v>2021</v>
      </c>
      <c r="N92" s="3">
        <v>2020</v>
      </c>
      <c r="O92" s="3">
        <v>2019</v>
      </c>
      <c r="P92" s="3">
        <v>2018</v>
      </c>
      <c r="Q92" s="3">
        <v>2017</v>
      </c>
      <c r="R92" s="3">
        <v>2016</v>
      </c>
      <c r="T92" s="4" t="s">
        <v>12</v>
      </c>
      <c r="U92" s="4" t="s">
        <v>12</v>
      </c>
      <c r="V92" s="4" t="s">
        <v>12</v>
      </c>
      <c r="W92" s="4" t="s">
        <v>13</v>
      </c>
      <c r="X92" s="21" t="s">
        <v>72</v>
      </c>
      <c r="Y92" s="3">
        <v>2022</v>
      </c>
      <c r="Z92" s="3">
        <v>2021</v>
      </c>
      <c r="AA92" s="3">
        <v>2020</v>
      </c>
      <c r="AB92" s="3">
        <v>2019</v>
      </c>
      <c r="AC92" s="3">
        <v>2018</v>
      </c>
      <c r="AD92" s="3">
        <v>2017</v>
      </c>
      <c r="AE92" s="7"/>
      <c r="AF92" s="110"/>
      <c r="AG92" s="110"/>
      <c r="AH92" s="112"/>
      <c r="AI92" s="110"/>
      <c r="AJ92" s="110"/>
      <c r="AK92" s="110"/>
    </row>
    <row r="93" spans="1:37" s="35" customFormat="1" ht="15" customHeight="1" x14ac:dyDescent="0.25">
      <c r="A93" s="277" t="s">
        <v>450</v>
      </c>
      <c r="B93" s="300">
        <f>B74</f>
        <v>81.800000000000182</v>
      </c>
      <c r="C93" s="300">
        <f t="shared" ref="C93:I93" si="135">C74</f>
        <v>62.299999999999912</v>
      </c>
      <c r="D93" s="300">
        <f t="shared" si="135"/>
        <v>85.199999999999875</v>
      </c>
      <c r="E93" s="300">
        <f t="shared" si="135"/>
        <v>121.99999999999986</v>
      </c>
      <c r="F93" s="300">
        <f t="shared" si="135"/>
        <v>66.600000000000051</v>
      </c>
      <c r="G93" s="300">
        <f t="shared" si="135"/>
        <v>23.399999999999974</v>
      </c>
      <c r="H93" s="300">
        <f t="shared" si="135"/>
        <v>29.099999999999913</v>
      </c>
      <c r="I93" s="300">
        <f t="shared" si="135"/>
        <v>29.299999999999983</v>
      </c>
    </row>
    <row r="94" spans="1:37" s="35" customFormat="1" ht="15" customHeight="1" x14ac:dyDescent="0.25">
      <c r="A94" s="277" t="s">
        <v>451</v>
      </c>
      <c r="B94" s="300"/>
      <c r="C94" s="300"/>
      <c r="D94" s="300"/>
      <c r="E94" s="300"/>
      <c r="F94" s="300"/>
      <c r="G94" s="300"/>
      <c r="H94" s="300"/>
      <c r="I94" s="300"/>
    </row>
    <row r="95" spans="1:37" s="35" customFormat="1" ht="15" customHeight="1" x14ac:dyDescent="0.25">
      <c r="A95" s="78" t="s">
        <v>452</v>
      </c>
      <c r="B95" s="300">
        <v>-1.7999999999999998</v>
      </c>
      <c r="C95" s="300">
        <v>-2.5</v>
      </c>
      <c r="D95" s="300">
        <v>-31.2</v>
      </c>
      <c r="E95" s="300">
        <v>0</v>
      </c>
      <c r="F95" s="300">
        <v>0</v>
      </c>
      <c r="G95" s="300">
        <v>8.3000000000000007</v>
      </c>
      <c r="H95" s="300">
        <v>0</v>
      </c>
      <c r="I95" s="300">
        <v>-2.1</v>
      </c>
    </row>
    <row r="96" spans="1:37" s="35" customFormat="1" ht="15" customHeight="1" x14ac:dyDescent="0.25">
      <c r="A96" s="78" t="s">
        <v>453</v>
      </c>
      <c r="B96" s="300">
        <v>1.1000000000000001</v>
      </c>
      <c r="C96" s="300">
        <v>1.1000000000000001</v>
      </c>
      <c r="D96" s="300">
        <v>2.2000000000000002</v>
      </c>
      <c r="E96" s="300">
        <v>6.5</v>
      </c>
      <c r="F96" s="300">
        <v>6</v>
      </c>
      <c r="G96" s="300">
        <v>4</v>
      </c>
      <c r="H96" s="300">
        <v>16.2</v>
      </c>
      <c r="I96" s="300">
        <v>20.100000000000001</v>
      </c>
    </row>
    <row r="97" spans="1:11" s="35" customFormat="1" ht="15" customHeight="1" x14ac:dyDescent="0.25">
      <c r="A97" s="78" t="s">
        <v>455</v>
      </c>
      <c r="B97" s="300">
        <v>0</v>
      </c>
      <c r="C97" s="300">
        <v>0</v>
      </c>
      <c r="D97" s="300">
        <v>0</v>
      </c>
      <c r="E97" s="300">
        <v>0</v>
      </c>
      <c r="F97" s="300">
        <v>0</v>
      </c>
      <c r="G97" s="300">
        <v>0</v>
      </c>
      <c r="H97" s="300">
        <v>10</v>
      </c>
      <c r="I97" s="300">
        <v>4.4000000000000004</v>
      </c>
    </row>
    <row r="98" spans="1:11" s="35" customFormat="1" ht="15" customHeight="1" x14ac:dyDescent="0.25">
      <c r="A98" s="78" t="s">
        <v>456</v>
      </c>
      <c r="B98" s="300">
        <v>0</v>
      </c>
      <c r="C98" s="300">
        <v>0</v>
      </c>
      <c r="D98" s="300">
        <v>0</v>
      </c>
      <c r="E98" s="300">
        <v>0</v>
      </c>
      <c r="F98" s="300">
        <v>0</v>
      </c>
      <c r="G98" s="300">
        <v>0</v>
      </c>
      <c r="H98" s="300">
        <v>13.3</v>
      </c>
      <c r="I98" s="300">
        <v>0</v>
      </c>
    </row>
    <row r="99" spans="1:11" s="35" customFormat="1" ht="15" customHeight="1" x14ac:dyDescent="0.25">
      <c r="A99" s="78" t="s">
        <v>461</v>
      </c>
      <c r="B99" s="38">
        <v>0</v>
      </c>
      <c r="C99" s="300">
        <v>-1.1000000000000001</v>
      </c>
      <c r="D99" s="300">
        <v>0</v>
      </c>
      <c r="E99" s="300">
        <v>0</v>
      </c>
      <c r="F99" s="300">
        <v>0</v>
      </c>
      <c r="G99" s="300">
        <v>0</v>
      </c>
      <c r="H99" s="300">
        <v>0</v>
      </c>
      <c r="I99" s="300">
        <v>0</v>
      </c>
      <c r="K99" s="35" t="s">
        <v>543</v>
      </c>
    </row>
    <row r="100" spans="1:11" s="35" customFormat="1" ht="15" customHeight="1" x14ac:dyDescent="0.25">
      <c r="A100" s="78" t="s">
        <v>462</v>
      </c>
      <c r="B100" s="279">
        <v>1</v>
      </c>
      <c r="C100" s="279">
        <v>1.2</v>
      </c>
      <c r="D100" s="279">
        <v>0.6</v>
      </c>
      <c r="E100" s="279">
        <v>0.6</v>
      </c>
      <c r="F100" s="279">
        <v>1</v>
      </c>
      <c r="G100" s="279">
        <v>1</v>
      </c>
      <c r="H100" s="279">
        <v>0.4</v>
      </c>
      <c r="I100" s="279">
        <v>0</v>
      </c>
      <c r="K100" s="35" t="s">
        <v>542</v>
      </c>
    </row>
    <row r="101" spans="1:11" s="35" customFormat="1" ht="15" customHeight="1" x14ac:dyDescent="0.25">
      <c r="A101" s="277" t="s">
        <v>463</v>
      </c>
      <c r="B101" s="302">
        <f>SUM(B95:B100)</f>
        <v>0.30000000000000027</v>
      </c>
      <c r="C101" s="302">
        <f t="shared" ref="C101:I101" si="136">SUM(C95:C100)</f>
        <v>-1.3</v>
      </c>
      <c r="D101" s="302">
        <f t="shared" si="136"/>
        <v>-28.4</v>
      </c>
      <c r="E101" s="302">
        <f t="shared" si="136"/>
        <v>7.1</v>
      </c>
      <c r="F101" s="302">
        <f t="shared" si="136"/>
        <v>7</v>
      </c>
      <c r="G101" s="302">
        <f t="shared" si="136"/>
        <v>13.3</v>
      </c>
      <c r="H101" s="302">
        <f t="shared" si="136"/>
        <v>39.9</v>
      </c>
      <c r="I101" s="302">
        <f t="shared" si="136"/>
        <v>22.4</v>
      </c>
    </row>
    <row r="102" spans="1:11" s="35" customFormat="1" ht="15" customHeight="1" x14ac:dyDescent="0.25">
      <c r="A102" s="78" t="s">
        <v>464</v>
      </c>
      <c r="B102" s="279">
        <f t="shared" ref="B102:I102" si="137">-B101*B116</f>
        <v>-6.6000000000000059E-2</v>
      </c>
      <c r="C102" s="279">
        <f t="shared" si="137"/>
        <v>0.28600000000000003</v>
      </c>
      <c r="D102" s="279">
        <f t="shared" si="137"/>
        <v>6.2479999999999993</v>
      </c>
      <c r="E102" s="279">
        <f t="shared" si="137"/>
        <v>-1.5619999999999998</v>
      </c>
      <c r="F102" s="279">
        <f t="shared" si="137"/>
        <v>-1.54</v>
      </c>
      <c r="G102" s="279">
        <f t="shared" si="137"/>
        <v>-2.9260000000000002</v>
      </c>
      <c r="H102" s="279">
        <f t="shared" si="137"/>
        <v>-8.7780000000000005</v>
      </c>
      <c r="I102" s="279">
        <f t="shared" si="137"/>
        <v>-4.9279999999999999</v>
      </c>
    </row>
    <row r="103" spans="1:11" s="35" customFormat="1" ht="15" customHeight="1" x14ac:dyDescent="0.25">
      <c r="A103" s="277" t="s">
        <v>465</v>
      </c>
      <c r="B103" s="302">
        <f>SUM(B101:B102)</f>
        <v>0.23400000000000021</v>
      </c>
      <c r="C103" s="302">
        <f>SUM(C101:C102)</f>
        <v>-1.014</v>
      </c>
      <c r="D103" s="302">
        <f>SUM(D101:D102)</f>
        <v>-22.152000000000001</v>
      </c>
      <c r="E103" s="302">
        <f>SUM(E101:E102)</f>
        <v>5.5380000000000003</v>
      </c>
      <c r="F103" s="302">
        <f t="shared" ref="F103:I103" si="138">SUM(F101:F102)</f>
        <v>5.46</v>
      </c>
      <c r="G103" s="302">
        <f>SUM(G101:G102)</f>
        <v>10.374000000000001</v>
      </c>
      <c r="H103" s="302">
        <f t="shared" si="138"/>
        <v>31.122</v>
      </c>
      <c r="I103" s="302">
        <f t="shared" si="138"/>
        <v>17.471999999999998</v>
      </c>
    </row>
    <row r="104" spans="1:11" s="35" customFormat="1" ht="15" customHeight="1" x14ac:dyDescent="0.25">
      <c r="A104" s="78" t="s">
        <v>457</v>
      </c>
      <c r="B104" s="300">
        <f t="shared" ref="B104:I104" si="139">-B71</f>
        <v>9.9999999999999978E-2</v>
      </c>
      <c r="C104" s="300">
        <f t="shared" si="139"/>
        <v>0.6</v>
      </c>
      <c r="D104" s="300">
        <f t="shared" si="139"/>
        <v>0.2</v>
      </c>
      <c r="E104" s="300">
        <f t="shared" si="139"/>
        <v>-31.9</v>
      </c>
      <c r="F104" s="300">
        <f t="shared" si="139"/>
        <v>-3.7</v>
      </c>
      <c r="G104" s="300">
        <f t="shared" si="139"/>
        <v>-23.7</v>
      </c>
      <c r="H104" s="300">
        <f t="shared" si="139"/>
        <v>0.8</v>
      </c>
      <c r="I104" s="300">
        <f t="shared" si="139"/>
        <v>-0.6</v>
      </c>
    </row>
    <row r="105" spans="1:11" s="35" customFormat="1" ht="15" customHeight="1" x14ac:dyDescent="0.25">
      <c r="A105" s="78" t="s">
        <v>459</v>
      </c>
      <c r="B105" s="300">
        <v>0</v>
      </c>
      <c r="C105" s="300">
        <v>0</v>
      </c>
      <c r="D105" s="300">
        <v>0</v>
      </c>
      <c r="E105" s="300">
        <v>3</v>
      </c>
      <c r="F105" s="300">
        <v>0</v>
      </c>
      <c r="G105" s="300">
        <v>0</v>
      </c>
      <c r="H105" s="38">
        <v>0</v>
      </c>
      <c r="I105" s="38">
        <v>0</v>
      </c>
      <c r="K105" t="s">
        <v>460</v>
      </c>
    </row>
    <row r="106" spans="1:11" s="35" customFormat="1" ht="15" customHeight="1" x14ac:dyDescent="0.25">
      <c r="A106" s="78" t="s">
        <v>454</v>
      </c>
      <c r="B106" s="300">
        <v>0</v>
      </c>
      <c r="C106" s="300">
        <v>0</v>
      </c>
      <c r="D106" s="300">
        <v>0</v>
      </c>
      <c r="E106" s="300">
        <v>0</v>
      </c>
      <c r="F106" s="300">
        <v>0</v>
      </c>
      <c r="G106" s="300">
        <v>0</v>
      </c>
      <c r="H106" s="300">
        <v>20.5</v>
      </c>
      <c r="I106" s="300">
        <v>0</v>
      </c>
      <c r="K106" t="s">
        <v>458</v>
      </c>
    </row>
    <row r="107" spans="1:11" s="35" customFormat="1" ht="15" customHeight="1" x14ac:dyDescent="0.25">
      <c r="A107" s="78" t="str">
        <f>A119</f>
        <v>Unusual Taxes</v>
      </c>
      <c r="B107" s="279">
        <f>B119</f>
        <v>9.0939999999999586</v>
      </c>
      <c r="C107" s="279">
        <f t="shared" ref="C107:I107" si="140">C119</f>
        <v>10.854000000000021</v>
      </c>
      <c r="D107" s="279">
        <f t="shared" si="140"/>
        <v>8.1880000000000202</v>
      </c>
      <c r="E107" s="279">
        <f t="shared" si="140"/>
        <v>-3.2219999999999693</v>
      </c>
      <c r="F107" s="279">
        <f>F119</f>
        <v>-14.014000000000012</v>
      </c>
      <c r="G107" s="279">
        <f t="shared" si="140"/>
        <v>18.836000000000006</v>
      </c>
      <c r="H107" s="279">
        <f t="shared" si="140"/>
        <v>15.73400000000002</v>
      </c>
      <c r="I107" s="279">
        <f t="shared" si="140"/>
        <v>2.930000000000005</v>
      </c>
      <c r="J107" s="300"/>
      <c r="K107"/>
    </row>
    <row r="108" spans="1:11" s="35" customFormat="1" ht="15" customHeight="1" x14ac:dyDescent="0.25">
      <c r="A108" s="277" t="s">
        <v>466</v>
      </c>
      <c r="B108" s="303">
        <f>SUM(B103:B107)</f>
        <v>9.4279999999999582</v>
      </c>
      <c r="C108" s="303">
        <f t="shared" ref="C108:I108" si="141">SUM(C103:C107)</f>
        <v>10.440000000000021</v>
      </c>
      <c r="D108" s="303">
        <f t="shared" si="141"/>
        <v>-13.763999999999982</v>
      </c>
      <c r="E108" s="303">
        <f t="shared" si="141"/>
        <v>-26.583999999999968</v>
      </c>
      <c r="F108" s="303">
        <f t="shared" si="141"/>
        <v>-12.254000000000012</v>
      </c>
      <c r="G108" s="303">
        <f t="shared" si="141"/>
        <v>5.5100000000000069</v>
      </c>
      <c r="H108" s="303">
        <f t="shared" si="141"/>
        <v>68.15600000000002</v>
      </c>
      <c r="I108" s="303">
        <f t="shared" si="141"/>
        <v>19.802</v>
      </c>
    </row>
    <row r="109" spans="1:11" s="35" customFormat="1" ht="15" customHeight="1" x14ac:dyDescent="0.25">
      <c r="A109" s="277" t="s">
        <v>540</v>
      </c>
      <c r="B109" s="302">
        <f t="shared" ref="B109:I109" si="142">SUM(B93,B108)</f>
        <v>91.228000000000137</v>
      </c>
      <c r="C109" s="302">
        <f t="shared" si="142"/>
        <v>72.739999999999938</v>
      </c>
      <c r="D109" s="302">
        <f t="shared" si="142"/>
        <v>71.435999999999893</v>
      </c>
      <c r="E109" s="302">
        <f t="shared" si="142"/>
        <v>95.415999999999883</v>
      </c>
      <c r="F109" s="302">
        <f t="shared" si="142"/>
        <v>54.346000000000039</v>
      </c>
      <c r="G109" s="302">
        <f t="shared" si="142"/>
        <v>28.909999999999982</v>
      </c>
      <c r="H109" s="302">
        <f t="shared" si="142"/>
        <v>97.255999999999929</v>
      </c>
      <c r="I109" s="302">
        <f t="shared" si="142"/>
        <v>49.101999999999983</v>
      </c>
      <c r="K109" s="41"/>
    </row>
    <row r="110" spans="1:11" s="35" customFormat="1" ht="15" customHeight="1" x14ac:dyDescent="0.25">
      <c r="A110" s="277"/>
      <c r="B110" s="302"/>
      <c r="C110" s="302"/>
      <c r="D110" s="302"/>
      <c r="E110" s="302"/>
      <c r="F110" s="302"/>
      <c r="G110" s="302"/>
      <c r="H110" s="302"/>
      <c r="I110" s="302"/>
      <c r="K110" s="374"/>
    </row>
    <row r="111" spans="1:11" s="35" customFormat="1" ht="15" customHeight="1" x14ac:dyDescent="0.25">
      <c r="A111" s="277" t="s">
        <v>470</v>
      </c>
      <c r="B111" s="304">
        <f t="shared" ref="B111:I111" si="143">B77</f>
        <v>3.8915318744053362</v>
      </c>
      <c r="C111" s="304">
        <f t="shared" si="143"/>
        <v>2.9372937293729331</v>
      </c>
      <c r="D111" s="304">
        <f t="shared" si="143"/>
        <v>3.88508891928864</v>
      </c>
      <c r="E111" s="304">
        <f t="shared" si="143"/>
        <v>5.7089377632194598</v>
      </c>
      <c r="F111" s="304">
        <f t="shared" si="143"/>
        <v>3.1608922638822996</v>
      </c>
      <c r="G111" s="304">
        <f t="shared" si="143"/>
        <v>1.1212266411116423</v>
      </c>
      <c r="H111" s="304">
        <f t="shared" si="143"/>
        <v>1.3227272727272688</v>
      </c>
      <c r="I111" s="304">
        <f t="shared" si="143"/>
        <v>1.3912630579297238</v>
      </c>
      <c r="K111" s="41"/>
    </row>
    <row r="112" spans="1:11" s="35" customFormat="1" ht="15" customHeight="1" x14ac:dyDescent="0.25">
      <c r="A112" s="277" t="s">
        <v>469</v>
      </c>
      <c r="B112" s="304">
        <f>B113-B111</f>
        <v>0.44852521408182433</v>
      </c>
      <c r="C112" s="304">
        <f t="shared" ref="C112:H112" si="144">C113-C111</f>
        <v>0.49222065063649323</v>
      </c>
      <c r="D112" s="304">
        <f t="shared" si="144"/>
        <v>-0.62763337893296756</v>
      </c>
      <c r="E112" s="304">
        <f t="shared" si="144"/>
        <v>-1.2439868975198864</v>
      </c>
      <c r="F112" s="304">
        <f t="shared" si="144"/>
        <v>-0.58158519221642191</v>
      </c>
      <c r="G112" s="304">
        <f t="shared" si="144"/>
        <v>0.2640153330138959</v>
      </c>
      <c r="H112" s="304">
        <f t="shared" si="144"/>
        <v>3.0980000000000008</v>
      </c>
      <c r="I112" s="304">
        <f t="shared" ref="I112" si="145">I113-I111</f>
        <v>0.94026590693257384</v>
      </c>
      <c r="K112" s="41"/>
    </row>
    <row r="113" spans="1:37" s="35" customFormat="1" ht="15" customHeight="1" x14ac:dyDescent="0.25">
      <c r="A113" s="277" t="s">
        <v>541</v>
      </c>
      <c r="B113" s="304">
        <f t="shared" ref="B113:I113" si="146">B109/B76</f>
        <v>4.3400570884871605</v>
      </c>
      <c r="C113" s="304">
        <f t="shared" si="146"/>
        <v>3.4295143800094263</v>
      </c>
      <c r="D113" s="304">
        <f t="shared" si="146"/>
        <v>3.2574555403556724</v>
      </c>
      <c r="E113" s="304">
        <f t="shared" si="146"/>
        <v>4.4649508656995733</v>
      </c>
      <c r="F113" s="304">
        <f t="shared" si="146"/>
        <v>2.5793070716658777</v>
      </c>
      <c r="G113" s="304">
        <f t="shared" si="146"/>
        <v>1.3852419741255382</v>
      </c>
      <c r="H113" s="304">
        <f t="shared" si="146"/>
        <v>4.4207272727272695</v>
      </c>
      <c r="I113" s="304">
        <f t="shared" si="146"/>
        <v>2.3315289648622977</v>
      </c>
      <c r="K113" s="41"/>
    </row>
    <row r="114" spans="1:37" s="35" customFormat="1" ht="15" customHeight="1" x14ac:dyDescent="0.25">
      <c r="A114" s="277"/>
      <c r="B114" s="302"/>
      <c r="C114" s="302"/>
      <c r="D114" s="302"/>
      <c r="E114" s="302"/>
      <c r="F114" s="302"/>
      <c r="G114" s="302"/>
      <c r="H114" s="302"/>
      <c r="I114" s="302"/>
      <c r="K114" s="41"/>
    </row>
    <row r="115" spans="1:37" s="35" customFormat="1" ht="15" customHeight="1" x14ac:dyDescent="0.25">
      <c r="A115" s="277" t="s">
        <v>471</v>
      </c>
      <c r="B115" s="305">
        <f t="shared" ref="B115:I115" si="147">B69/B68</f>
        <v>0.29752770673486739</v>
      </c>
      <c r="C115" s="305">
        <f t="shared" si="147"/>
        <v>0.33510074231177128</v>
      </c>
      <c r="D115" s="305">
        <f t="shared" si="147"/>
        <v>0.28846153846153871</v>
      </c>
      <c r="E115" s="305">
        <f t="shared" si="147"/>
        <v>0.19073569482288855</v>
      </c>
      <c r="F115" s="305">
        <f t="shared" si="147"/>
        <v>0</v>
      </c>
      <c r="G115" s="305">
        <f t="shared" si="147"/>
        <v>0.82371794871794934</v>
      </c>
      <c r="H115" s="305">
        <f t="shared" si="147"/>
        <v>0.48092868988391446</v>
      </c>
      <c r="I115" s="305">
        <f t="shared" si="147"/>
        <v>0.29610389610389626</v>
      </c>
      <c r="K115" s="41"/>
    </row>
    <row r="116" spans="1:37" s="35" customFormat="1" ht="15" customHeight="1" x14ac:dyDescent="0.25">
      <c r="A116" s="277" t="s">
        <v>472</v>
      </c>
      <c r="B116" s="306">
        <v>0.22</v>
      </c>
      <c r="C116" s="306">
        <v>0.22</v>
      </c>
      <c r="D116" s="306">
        <v>0.22</v>
      </c>
      <c r="E116" s="306">
        <v>0.22</v>
      </c>
      <c r="F116" s="306">
        <v>0.22</v>
      </c>
      <c r="G116" s="306">
        <v>0.22</v>
      </c>
      <c r="H116" s="306">
        <v>0.22</v>
      </c>
      <c r="I116" s="306">
        <v>0.22</v>
      </c>
      <c r="K116" s="41"/>
    </row>
    <row r="117" spans="1:37" s="35" customFormat="1" ht="15" customHeight="1" x14ac:dyDescent="0.25">
      <c r="A117" s="277" t="s">
        <v>473</v>
      </c>
      <c r="B117" s="302">
        <f t="shared" ref="B117:I117" si="148">B116*B68</f>
        <v>25.80600000000004</v>
      </c>
      <c r="C117" s="302">
        <f t="shared" si="148"/>
        <v>20.745999999999981</v>
      </c>
      <c r="D117" s="302">
        <f t="shared" si="148"/>
        <v>26.311999999999973</v>
      </c>
      <c r="E117" s="302">
        <f t="shared" si="148"/>
        <v>24.221999999999969</v>
      </c>
      <c r="F117" s="302">
        <f t="shared" si="148"/>
        <v>14.014000000000012</v>
      </c>
      <c r="G117" s="302">
        <f t="shared" si="148"/>
        <v>6.8639999999999946</v>
      </c>
      <c r="H117" s="302">
        <f t="shared" si="148"/>
        <v>13.26599999999998</v>
      </c>
      <c r="I117" s="302">
        <f t="shared" si="148"/>
        <v>8.4699999999999953</v>
      </c>
      <c r="K117" s="41"/>
    </row>
    <row r="118" spans="1:37" s="35" customFormat="1" ht="15" customHeight="1" x14ac:dyDescent="0.25">
      <c r="A118" s="277" t="s">
        <v>474</v>
      </c>
      <c r="B118" s="307">
        <f t="shared" ref="B118:I118" si="149">B69</f>
        <v>34.9</v>
      </c>
      <c r="C118" s="307">
        <f t="shared" si="149"/>
        <v>31.6</v>
      </c>
      <c r="D118" s="307">
        <f t="shared" si="149"/>
        <v>34.499999999999993</v>
      </c>
      <c r="E118" s="307">
        <f t="shared" si="149"/>
        <v>21</v>
      </c>
      <c r="F118" s="307">
        <f t="shared" si="149"/>
        <v>0</v>
      </c>
      <c r="G118" s="307">
        <f t="shared" si="149"/>
        <v>25.7</v>
      </c>
      <c r="H118" s="307">
        <f t="shared" si="149"/>
        <v>29</v>
      </c>
      <c r="I118" s="307">
        <f t="shared" si="149"/>
        <v>11.4</v>
      </c>
      <c r="K118" s="41"/>
    </row>
    <row r="119" spans="1:37" s="35" customFormat="1" ht="15" customHeight="1" x14ac:dyDescent="0.25">
      <c r="A119" s="277" t="s">
        <v>475</v>
      </c>
      <c r="B119" s="302">
        <f>B118-B117</f>
        <v>9.0939999999999586</v>
      </c>
      <c r="C119" s="302">
        <f t="shared" ref="C119:H119" si="150">C118-C117</f>
        <v>10.854000000000021</v>
      </c>
      <c r="D119" s="302">
        <f>D118-D117</f>
        <v>8.1880000000000202</v>
      </c>
      <c r="E119" s="302">
        <f t="shared" si="150"/>
        <v>-3.2219999999999693</v>
      </c>
      <c r="F119" s="302">
        <f t="shared" si="150"/>
        <v>-14.014000000000012</v>
      </c>
      <c r="G119" s="302">
        <f>G118-G117</f>
        <v>18.836000000000006</v>
      </c>
      <c r="H119" s="302">
        <f t="shared" si="150"/>
        <v>15.73400000000002</v>
      </c>
      <c r="I119" s="302">
        <f t="shared" ref="I119" si="151">I118-I117</f>
        <v>2.930000000000005</v>
      </c>
      <c r="K119" s="41"/>
    </row>
    <row r="120" spans="1:37" s="35" customFormat="1" ht="15" customHeight="1" x14ac:dyDescent="0.25">
      <c r="A120" s="301"/>
      <c r="B120" s="300"/>
      <c r="C120" s="300"/>
      <c r="D120" s="300"/>
      <c r="E120" s="300"/>
      <c r="F120" s="300"/>
      <c r="G120" s="300"/>
      <c r="H120" s="300"/>
      <c r="I120" s="300"/>
    </row>
    <row r="121" spans="1:37" s="1" customFormat="1" x14ac:dyDescent="0.25">
      <c r="A121" s="1" t="s">
        <v>111</v>
      </c>
      <c r="B121" s="1" t="s">
        <v>318</v>
      </c>
      <c r="K121" s="1" t="s">
        <v>318</v>
      </c>
      <c r="U121" s="1" t="s">
        <v>318</v>
      </c>
      <c r="AF121" s="1" t="s">
        <v>318</v>
      </c>
    </row>
    <row r="122" spans="1:37" s="1" customFormat="1" x14ac:dyDescent="0.25">
      <c r="A122" s="1" t="s">
        <v>163</v>
      </c>
      <c r="K122" s="1" t="s">
        <v>161</v>
      </c>
      <c r="U122" s="1" t="s">
        <v>74</v>
      </c>
      <c r="AF122" s="1" t="s">
        <v>73</v>
      </c>
    </row>
    <row r="123" spans="1:37" s="1" customFormat="1" x14ac:dyDescent="0.25">
      <c r="A123" s="1" t="s">
        <v>3</v>
      </c>
      <c r="H123" s="2"/>
      <c r="I123" s="2"/>
      <c r="Q123" s="2"/>
      <c r="R123" s="2"/>
      <c r="T123" s="1" t="s">
        <v>536</v>
      </c>
      <c r="U123" s="1" t="s">
        <v>263</v>
      </c>
      <c r="V123" s="1" t="s">
        <v>4</v>
      </c>
      <c r="W123" s="1" t="s">
        <v>5</v>
      </c>
      <c r="X123" s="22" t="s">
        <v>75</v>
      </c>
      <c r="Y123" s="1" t="s">
        <v>6</v>
      </c>
      <c r="Z123" s="1" t="s">
        <v>7</v>
      </c>
      <c r="AA123" s="1" t="s">
        <v>8</v>
      </c>
      <c r="AB123" s="1" t="s">
        <v>9</v>
      </c>
      <c r="AC123" s="1" t="s">
        <v>10</v>
      </c>
      <c r="AD123" s="1" t="s">
        <v>537</v>
      </c>
      <c r="AF123" s="109" t="s">
        <v>262</v>
      </c>
      <c r="AG123" s="109" t="s">
        <v>260</v>
      </c>
      <c r="AH123" s="111" t="s">
        <v>261</v>
      </c>
      <c r="AI123" s="109" t="s">
        <v>262</v>
      </c>
      <c r="AJ123" s="109" t="s">
        <v>260</v>
      </c>
      <c r="AK123" s="109" t="s">
        <v>261</v>
      </c>
    </row>
    <row r="124" spans="1:37" s="1" customFormat="1" ht="15.75" thickBot="1" x14ac:dyDescent="0.3">
      <c r="A124" s="2" t="s">
        <v>11</v>
      </c>
      <c r="B124" s="17" t="s">
        <v>72</v>
      </c>
      <c r="C124" s="3">
        <v>2022</v>
      </c>
      <c r="D124" s="3">
        <v>2021</v>
      </c>
      <c r="E124" s="3">
        <v>2020</v>
      </c>
      <c r="F124" s="3">
        <v>2019</v>
      </c>
      <c r="G124" s="3">
        <v>2018</v>
      </c>
      <c r="H124" s="3">
        <v>2017</v>
      </c>
      <c r="I124" s="3">
        <v>2016</v>
      </c>
      <c r="K124" s="17" t="s">
        <v>72</v>
      </c>
      <c r="L124" s="3">
        <v>2022</v>
      </c>
      <c r="M124" s="3">
        <v>2021</v>
      </c>
      <c r="N124" s="3">
        <v>2020</v>
      </c>
      <c r="O124" s="3">
        <v>2019</v>
      </c>
      <c r="P124" s="3">
        <v>2018</v>
      </c>
      <c r="Q124" s="3">
        <v>2017</v>
      </c>
      <c r="R124" s="3">
        <v>2016</v>
      </c>
      <c r="T124" s="4" t="s">
        <v>12</v>
      </c>
      <c r="U124" s="4" t="s">
        <v>12</v>
      </c>
      <c r="V124" s="4" t="s">
        <v>12</v>
      </c>
      <c r="W124" s="4" t="s">
        <v>13</v>
      </c>
      <c r="X124" s="21" t="s">
        <v>72</v>
      </c>
      <c r="Y124" s="3">
        <v>2022</v>
      </c>
      <c r="Z124" s="3">
        <v>2021</v>
      </c>
      <c r="AA124" s="3">
        <v>2020</v>
      </c>
      <c r="AB124" s="3">
        <v>2019</v>
      </c>
      <c r="AC124" s="3">
        <v>2018</v>
      </c>
      <c r="AD124" s="3">
        <v>2017</v>
      </c>
      <c r="AE124" s="7"/>
      <c r="AF124" s="110">
        <v>2023</v>
      </c>
      <c r="AG124" s="110">
        <v>2023</v>
      </c>
      <c r="AH124" s="112">
        <v>2023</v>
      </c>
      <c r="AI124" s="110">
        <v>2022</v>
      </c>
      <c r="AJ124" s="110">
        <v>2022</v>
      </c>
      <c r="AK124" s="110">
        <v>2022</v>
      </c>
    </row>
    <row r="125" spans="1:37" x14ac:dyDescent="0.25">
      <c r="A125" s="14" t="s">
        <v>104</v>
      </c>
      <c r="B125" s="28">
        <f t="shared" ref="B125:I125" si="152">B72</f>
        <v>82.300000000000182</v>
      </c>
      <c r="C125" s="28">
        <f t="shared" si="152"/>
        <v>62.099999999999909</v>
      </c>
      <c r="D125" s="28">
        <f t="shared" si="152"/>
        <v>84.899999999999878</v>
      </c>
      <c r="E125" s="28">
        <f t="shared" si="152"/>
        <v>120.99999999999986</v>
      </c>
      <c r="F125" s="28">
        <f t="shared" si="152"/>
        <v>67.400000000000048</v>
      </c>
      <c r="G125" s="28">
        <f t="shared" si="152"/>
        <v>29.199999999999974</v>
      </c>
      <c r="H125" s="28">
        <f t="shared" si="152"/>
        <v>30.499999999999911</v>
      </c>
      <c r="I125" s="28">
        <f t="shared" si="152"/>
        <v>27.699999999999982</v>
      </c>
      <c r="J125" s="57"/>
      <c r="K125" s="57"/>
      <c r="L125" s="57"/>
      <c r="M125" s="57"/>
      <c r="N125" s="57"/>
      <c r="O125" s="57"/>
      <c r="P125" s="57"/>
      <c r="Q125" s="57"/>
      <c r="R125" s="57"/>
      <c r="S125" s="57"/>
      <c r="T125" s="57"/>
      <c r="U125" s="58">
        <f>_xlfn.RRI(5.5,H125,B125)</f>
        <v>0.1977931288736392</v>
      </c>
      <c r="V125" s="58">
        <f>_xlfn.RRI(5,H125,C125)</f>
        <v>0.15281163799210273</v>
      </c>
      <c r="W125" s="58">
        <f>AVERAGE(X125:AC125)</f>
        <v>0.30320531868955908</v>
      </c>
      <c r="X125" s="58">
        <f t="shared" ref="X125:AC126" si="153">(B125-C125)/C125</f>
        <v>0.32528180354267799</v>
      </c>
      <c r="Y125" s="58">
        <f t="shared" si="153"/>
        <v>-0.26855123674911663</v>
      </c>
      <c r="Z125" s="58">
        <f t="shared" si="153"/>
        <v>-0.29834710743801673</v>
      </c>
      <c r="AA125" s="58">
        <f t="shared" si="153"/>
        <v>0.79525222551928443</v>
      </c>
      <c r="AB125" s="58">
        <f t="shared" si="153"/>
        <v>1.3082191780821955</v>
      </c>
      <c r="AC125" s="58">
        <f t="shared" si="153"/>
        <v>-4.2622950819670179E-2</v>
      </c>
      <c r="AD125" s="58"/>
      <c r="AE125" s="57"/>
      <c r="AF125" s="61"/>
      <c r="AG125" s="28">
        <v>24.4</v>
      </c>
      <c r="AH125" s="166">
        <v>26.2</v>
      </c>
      <c r="AI125" s="135"/>
      <c r="AJ125" s="28">
        <v>11.6</v>
      </c>
      <c r="AK125" s="28">
        <v>18.8</v>
      </c>
    </row>
    <row r="126" spans="1:37" x14ac:dyDescent="0.25">
      <c r="A126" s="14" t="s">
        <v>83</v>
      </c>
      <c r="B126" s="61">
        <f t="shared" ref="B126:B141" si="154">C126+AG126+AH126-(AJ126+AK126)</f>
        <v>56.9</v>
      </c>
      <c r="C126" s="8">
        <v>56.1</v>
      </c>
      <c r="D126" s="8">
        <v>57.7</v>
      </c>
      <c r="E126" s="8">
        <v>54.1</v>
      </c>
      <c r="F126" s="8">
        <v>55.1</v>
      </c>
      <c r="G126" s="8">
        <v>50.8</v>
      </c>
      <c r="H126" s="8">
        <v>49.8</v>
      </c>
      <c r="I126" s="336">
        <v>52.9</v>
      </c>
      <c r="J126" s="57"/>
      <c r="K126" s="57"/>
      <c r="L126" s="57"/>
      <c r="M126" s="57"/>
      <c r="N126" s="57"/>
      <c r="O126" s="57"/>
      <c r="P126" s="57"/>
      <c r="Q126" s="57"/>
      <c r="R126" s="57"/>
      <c r="S126" s="57"/>
      <c r="T126" s="57"/>
      <c r="U126" s="58">
        <f>_xlfn.RRI(5.5,H126,B126)</f>
        <v>2.4528792443905489E-2</v>
      </c>
      <c r="V126" s="58">
        <f>_xlfn.RRI(5,H126,C126)</f>
        <v>2.4110228352600682E-2</v>
      </c>
      <c r="W126" s="58">
        <f t="shared" ref="W126:W183" si="155">AVERAGE(X126:AC126)</f>
        <v>2.3275203638879128E-2</v>
      </c>
      <c r="X126" s="58">
        <f t="shared" si="153"/>
        <v>1.426024955436715E-2</v>
      </c>
      <c r="Y126" s="58">
        <f t="shared" si="153"/>
        <v>-2.7729636048526886E-2</v>
      </c>
      <c r="Z126" s="58">
        <f t="shared" si="153"/>
        <v>6.6543438077634035E-2</v>
      </c>
      <c r="AA126" s="58">
        <f t="shared" si="153"/>
        <v>-1.8148820326678767E-2</v>
      </c>
      <c r="AB126" s="58">
        <f t="shared" si="153"/>
        <v>8.4645669291338668E-2</v>
      </c>
      <c r="AC126" s="58">
        <f t="shared" si="153"/>
        <v>2.0080321285140562E-2</v>
      </c>
      <c r="AD126" s="58"/>
      <c r="AE126" s="57"/>
      <c r="AF126" s="61"/>
      <c r="AG126" s="8">
        <v>14.4</v>
      </c>
      <c r="AH126" s="144">
        <v>14</v>
      </c>
      <c r="AI126" s="135"/>
      <c r="AJ126" s="8">
        <v>13.4</v>
      </c>
      <c r="AK126" s="8">
        <v>14.2</v>
      </c>
    </row>
    <row r="127" spans="1:37" x14ac:dyDescent="0.25">
      <c r="A127" s="14" t="s">
        <v>117</v>
      </c>
      <c r="B127" s="61">
        <f t="shared" si="154"/>
        <v>-0.59999999999999964</v>
      </c>
      <c r="C127" s="8">
        <v>6.5</v>
      </c>
      <c r="D127" s="8">
        <v>3.8</v>
      </c>
      <c r="E127" s="8">
        <v>-9.1999999999999993</v>
      </c>
      <c r="F127" s="8">
        <v>-4.0999999999999996</v>
      </c>
      <c r="G127" s="8">
        <v>6.9</v>
      </c>
      <c r="H127" s="8">
        <v>0</v>
      </c>
      <c r="I127" s="336">
        <v>0</v>
      </c>
      <c r="J127" s="57"/>
      <c r="K127" s="57"/>
      <c r="L127" s="57"/>
      <c r="M127" s="57"/>
      <c r="N127" s="57"/>
      <c r="O127" s="57"/>
      <c r="P127" s="57"/>
      <c r="Q127" s="57"/>
      <c r="R127" s="57"/>
      <c r="S127" s="57"/>
      <c r="T127" s="57"/>
      <c r="U127" s="58"/>
      <c r="V127" s="58"/>
      <c r="W127" s="58"/>
      <c r="X127" s="58">
        <f>(B127-C127)/C127</f>
        <v>-1.0923076923076922</v>
      </c>
      <c r="Y127" s="58">
        <f>(C127-D127)/D127</f>
        <v>0.71052631578947378</v>
      </c>
      <c r="Z127" s="58">
        <f>(D127-E127)/E127</f>
        <v>-1.4130434782608696</v>
      </c>
      <c r="AA127" s="58">
        <f>(E127-F127)/F127</f>
        <v>1.2439024390243902</v>
      </c>
      <c r="AB127" s="58">
        <f>(F127-G127)/G127</f>
        <v>-1.5942028985507246</v>
      </c>
      <c r="AC127" s="58"/>
      <c r="AD127" s="58"/>
      <c r="AE127" s="57"/>
      <c r="AF127" s="61"/>
      <c r="AG127" s="8">
        <v>1.1000000000000001</v>
      </c>
      <c r="AH127" s="144">
        <v>-1.1000000000000001</v>
      </c>
      <c r="AI127" s="135"/>
      <c r="AJ127" s="8">
        <v>6.8</v>
      </c>
      <c r="AK127" s="8">
        <v>0.3</v>
      </c>
    </row>
    <row r="128" spans="1:37" x14ac:dyDescent="0.25">
      <c r="A128" s="14" t="s">
        <v>118</v>
      </c>
      <c r="B128" s="61">
        <f t="shared" si="154"/>
        <v>0</v>
      </c>
      <c r="C128" s="8">
        <v>0</v>
      </c>
      <c r="D128" s="8">
        <v>0</v>
      </c>
      <c r="E128" s="8">
        <v>0</v>
      </c>
      <c r="F128" s="8">
        <v>0</v>
      </c>
      <c r="G128" s="8">
        <v>0</v>
      </c>
      <c r="H128" s="8">
        <v>3.7</v>
      </c>
      <c r="I128" s="336">
        <v>3.5</v>
      </c>
      <c r="J128" s="57"/>
      <c r="K128" s="57"/>
      <c r="L128" s="57"/>
      <c r="M128" s="57"/>
      <c r="N128" s="57"/>
      <c r="O128" s="57"/>
      <c r="P128" s="57"/>
      <c r="Q128" s="57"/>
      <c r="R128" s="57"/>
      <c r="S128" s="57"/>
      <c r="T128" s="57"/>
      <c r="U128" s="58"/>
      <c r="V128" s="58"/>
      <c r="W128" s="58"/>
      <c r="X128" s="58"/>
      <c r="Y128" s="58"/>
      <c r="Z128" s="58"/>
      <c r="AA128" s="58"/>
      <c r="AB128" s="58"/>
      <c r="AC128" s="58"/>
      <c r="AD128" s="58"/>
      <c r="AE128" s="57"/>
      <c r="AF128" s="61"/>
      <c r="AG128" s="8">
        <v>0</v>
      </c>
      <c r="AH128" s="144">
        <v>0</v>
      </c>
      <c r="AI128" s="135"/>
      <c r="AJ128" s="8">
        <v>0</v>
      </c>
      <c r="AK128" s="8">
        <v>0</v>
      </c>
    </row>
    <row r="129" spans="1:37" x14ac:dyDescent="0.25">
      <c r="A129" s="14" t="s">
        <v>92</v>
      </c>
      <c r="B129" s="61">
        <f t="shared" si="154"/>
        <v>0</v>
      </c>
      <c r="C129" s="8">
        <v>0</v>
      </c>
      <c r="D129" s="8">
        <v>0</v>
      </c>
      <c r="E129" s="8">
        <v>0</v>
      </c>
      <c r="F129" s="8">
        <v>0</v>
      </c>
      <c r="G129" s="8">
        <v>0</v>
      </c>
      <c r="H129" s="8">
        <v>13.3</v>
      </c>
      <c r="I129" s="336">
        <v>0</v>
      </c>
      <c r="J129" s="57"/>
      <c r="K129" s="57"/>
      <c r="L129" s="57"/>
      <c r="M129" s="57"/>
      <c r="N129" s="57"/>
      <c r="O129" s="57"/>
      <c r="P129" s="57"/>
      <c r="Q129" s="57"/>
      <c r="R129" s="57"/>
      <c r="S129" s="57"/>
      <c r="T129" s="57"/>
      <c r="U129" s="58"/>
      <c r="V129" s="58"/>
      <c r="W129" s="58"/>
      <c r="X129" s="58"/>
      <c r="Y129" s="58"/>
      <c r="Z129" s="58"/>
      <c r="AA129" s="58"/>
      <c r="AB129" s="58"/>
      <c r="AC129" s="58"/>
      <c r="AD129" s="58"/>
      <c r="AE129" s="57"/>
      <c r="AF129" s="61"/>
      <c r="AG129" s="8">
        <v>0</v>
      </c>
      <c r="AH129" s="144">
        <v>0</v>
      </c>
      <c r="AI129" s="135"/>
      <c r="AJ129" s="8">
        <v>0</v>
      </c>
      <c r="AK129" s="8">
        <v>0</v>
      </c>
    </row>
    <row r="130" spans="1:37" x14ac:dyDescent="0.25">
      <c r="A130" s="14" t="s">
        <v>119</v>
      </c>
      <c r="B130" s="61">
        <f t="shared" si="154"/>
        <v>0</v>
      </c>
      <c r="C130" s="8">
        <v>0</v>
      </c>
      <c r="D130" s="8">
        <v>0.3</v>
      </c>
      <c r="E130" s="8">
        <v>-35.6</v>
      </c>
      <c r="F130" s="8">
        <v>0.8</v>
      </c>
      <c r="G130" s="8">
        <v>0.7</v>
      </c>
      <c r="H130" s="8">
        <v>-0.7</v>
      </c>
      <c r="I130" s="336">
        <v>-2.9</v>
      </c>
      <c r="J130" s="57"/>
      <c r="K130" s="57"/>
      <c r="L130" s="57"/>
      <c r="M130" s="57"/>
      <c r="N130" s="57"/>
      <c r="O130" s="57"/>
      <c r="P130" s="57"/>
      <c r="Q130" s="57"/>
      <c r="R130" s="57"/>
      <c r="S130" s="57"/>
      <c r="T130" s="57"/>
      <c r="U130" s="58"/>
      <c r="V130" s="58"/>
      <c r="W130" s="58"/>
      <c r="X130" s="58"/>
      <c r="Y130" s="58"/>
      <c r="Z130" s="58"/>
      <c r="AA130" s="58"/>
      <c r="AB130" s="58"/>
      <c r="AC130" s="58"/>
      <c r="AD130" s="58"/>
      <c r="AE130" s="57"/>
      <c r="AF130" s="61"/>
      <c r="AG130" s="8">
        <v>0</v>
      </c>
      <c r="AH130" s="144">
        <v>0</v>
      </c>
      <c r="AI130" s="135"/>
      <c r="AJ130" s="8">
        <v>0</v>
      </c>
      <c r="AK130" s="8">
        <v>0</v>
      </c>
    </row>
    <row r="131" spans="1:37" x14ac:dyDescent="0.25">
      <c r="A131" s="14" t="s">
        <v>120</v>
      </c>
      <c r="B131" s="61">
        <f t="shared" si="154"/>
        <v>-0.20000000000000007</v>
      </c>
      <c r="C131" s="8">
        <v>-0.8</v>
      </c>
      <c r="D131" s="8">
        <v>-6.1</v>
      </c>
      <c r="E131" s="8">
        <v>-0.7</v>
      </c>
      <c r="F131" s="8">
        <v>-3</v>
      </c>
      <c r="G131" s="8">
        <v>-1.5</v>
      </c>
      <c r="H131" s="8">
        <v>0</v>
      </c>
      <c r="I131" s="336">
        <v>0</v>
      </c>
      <c r="J131" s="57"/>
      <c r="K131" s="57"/>
      <c r="L131" s="57"/>
      <c r="M131" s="57"/>
      <c r="N131" s="57"/>
      <c r="O131" s="57"/>
      <c r="P131" s="57"/>
      <c r="Q131" s="57"/>
      <c r="R131" s="57"/>
      <c r="S131" s="57"/>
      <c r="T131" s="57"/>
      <c r="U131" s="58"/>
      <c r="V131" s="58"/>
      <c r="W131" s="58"/>
      <c r="X131" s="58">
        <f>(B131-C131)/C131</f>
        <v>-0.74999999999999989</v>
      </c>
      <c r="Y131" s="58">
        <f>(C131-D131)/D131</f>
        <v>-0.86885245901639352</v>
      </c>
      <c r="Z131" s="58">
        <f>(D131-E131)/E131</f>
        <v>7.7142857142857144</v>
      </c>
      <c r="AA131" s="58">
        <f>(E131-F131)/F131</f>
        <v>-0.76666666666666661</v>
      </c>
      <c r="AB131" s="58">
        <f>(F131-G131)/G131</f>
        <v>1</v>
      </c>
      <c r="AC131" s="58"/>
      <c r="AD131" s="58"/>
      <c r="AE131" s="57"/>
      <c r="AF131" s="61"/>
      <c r="AG131" s="8">
        <v>-0.1</v>
      </c>
      <c r="AH131" s="144">
        <v>0</v>
      </c>
      <c r="AI131" s="135"/>
      <c r="AJ131" s="8">
        <v>-0.3</v>
      </c>
      <c r="AK131" s="8">
        <v>-0.4</v>
      </c>
    </row>
    <row r="132" spans="1:37" x14ac:dyDescent="0.25">
      <c r="A132" s="14" t="s">
        <v>84</v>
      </c>
      <c r="B132" s="61">
        <f t="shared" si="154"/>
        <v>-1.8000000000000003</v>
      </c>
      <c r="C132" s="8">
        <v>-2.6</v>
      </c>
      <c r="D132" s="8">
        <v>-31.5</v>
      </c>
      <c r="E132" s="8">
        <v>0</v>
      </c>
      <c r="F132" s="8">
        <v>0</v>
      </c>
      <c r="G132" s="8">
        <v>8.3000000000000007</v>
      </c>
      <c r="H132" s="8">
        <v>-1.5</v>
      </c>
      <c r="I132" s="336">
        <v>0</v>
      </c>
      <c r="J132" s="57"/>
      <c r="K132" s="57"/>
      <c r="L132" s="57"/>
      <c r="M132" s="57"/>
      <c r="N132" s="57"/>
      <c r="O132" s="57"/>
      <c r="P132" s="57"/>
      <c r="Q132" s="57"/>
      <c r="R132" s="57"/>
      <c r="S132" s="57"/>
      <c r="T132" s="57"/>
      <c r="U132" s="58">
        <f>_xlfn.RRI(5.5,H132,B132)</f>
        <v>3.3704936311998557E-2</v>
      </c>
      <c r="V132" s="58">
        <f>_xlfn.RRI(5,H132,C132)</f>
        <v>0.11628841548417412</v>
      </c>
      <c r="W132" s="58"/>
      <c r="X132" s="58"/>
      <c r="Y132" s="58"/>
      <c r="Z132" s="58"/>
      <c r="AA132" s="58"/>
      <c r="AB132" s="58"/>
      <c r="AC132" s="58"/>
      <c r="AD132" s="58"/>
      <c r="AE132" s="57"/>
      <c r="AF132" s="61"/>
      <c r="AG132" s="8">
        <v>0</v>
      </c>
      <c r="AH132" s="144">
        <v>-1.8</v>
      </c>
      <c r="AI132" s="135"/>
      <c r="AJ132" s="8">
        <v>-0.1</v>
      </c>
      <c r="AK132" s="8">
        <v>-2.5</v>
      </c>
    </row>
    <row r="133" spans="1:37" x14ac:dyDescent="0.25">
      <c r="A133" s="14" t="s">
        <v>121</v>
      </c>
      <c r="B133" s="61">
        <f t="shared" si="154"/>
        <v>3</v>
      </c>
      <c r="C133" s="8">
        <v>2.7</v>
      </c>
      <c r="D133" s="8">
        <v>16.899999999999999</v>
      </c>
      <c r="E133" s="8">
        <v>9.4</v>
      </c>
      <c r="F133" s="8">
        <v>-10.9</v>
      </c>
      <c r="G133" s="8">
        <v>9.1</v>
      </c>
      <c r="H133" s="8">
        <v>1.6</v>
      </c>
      <c r="I133" s="336">
        <v>-0.1</v>
      </c>
      <c r="J133" s="57"/>
      <c r="K133" s="57"/>
      <c r="L133" s="57"/>
      <c r="M133" s="57"/>
      <c r="N133" s="57"/>
      <c r="O133" s="57"/>
      <c r="P133" s="57"/>
      <c r="Q133" s="57"/>
      <c r="R133" s="57"/>
      <c r="S133" s="57"/>
      <c r="T133" s="57"/>
      <c r="U133" s="58">
        <f>_xlfn.RRI(5.5,H133,B133)</f>
        <v>0.12107997436634665</v>
      </c>
      <c r="V133" s="58">
        <f>_xlfn.RRI(5,H133,C133)</f>
        <v>0.11032151746146002</v>
      </c>
      <c r="W133" s="58">
        <f t="shared" si="155"/>
        <v>0.11600987437383248</v>
      </c>
      <c r="X133" s="58">
        <f t="shared" ref="X133:AC136" si="156">(B133-C133)/C133</f>
        <v>0.11111111111111104</v>
      </c>
      <c r="Y133" s="58">
        <f t="shared" si="156"/>
        <v>-0.84023668639053262</v>
      </c>
      <c r="Z133" s="58">
        <f t="shared" si="156"/>
        <v>0.79787234042553168</v>
      </c>
      <c r="AA133" s="58">
        <f t="shared" si="156"/>
        <v>-1.8623853211009174</v>
      </c>
      <c r="AB133" s="58">
        <f t="shared" si="156"/>
        <v>-2.197802197802198</v>
      </c>
      <c r="AC133" s="58">
        <f t="shared" si="156"/>
        <v>4.6875</v>
      </c>
      <c r="AD133" s="58"/>
      <c r="AE133" s="57"/>
      <c r="AF133" s="61"/>
      <c r="AG133" s="8">
        <v>1</v>
      </c>
      <c r="AH133" s="144">
        <v>-0.1</v>
      </c>
      <c r="AI133" s="135"/>
      <c r="AJ133" s="8">
        <v>0.3</v>
      </c>
      <c r="AK133" s="8">
        <v>0.3</v>
      </c>
    </row>
    <row r="134" spans="1:37" x14ac:dyDescent="0.25">
      <c r="A134" s="14" t="s">
        <v>122</v>
      </c>
      <c r="B134" s="61">
        <f t="shared" si="154"/>
        <v>1.2000000000000002</v>
      </c>
      <c r="C134" s="8">
        <v>1.1000000000000001</v>
      </c>
      <c r="D134" s="8">
        <v>2.1</v>
      </c>
      <c r="E134" s="8">
        <v>-8.6</v>
      </c>
      <c r="F134" s="8">
        <v>-18.399999999999999</v>
      </c>
      <c r="G134" s="8">
        <v>-22.6</v>
      </c>
      <c r="H134" s="8">
        <v>-21.1</v>
      </c>
      <c r="I134" s="336">
        <v>-5</v>
      </c>
      <c r="J134" s="57"/>
      <c r="K134" s="57"/>
      <c r="L134" s="57"/>
      <c r="M134" s="57"/>
      <c r="N134" s="57"/>
      <c r="O134" s="57"/>
      <c r="P134" s="57"/>
      <c r="Q134" s="57"/>
      <c r="R134" s="57"/>
      <c r="S134" s="57"/>
      <c r="T134" s="57"/>
      <c r="U134" s="58"/>
      <c r="V134" s="58"/>
      <c r="W134" s="58">
        <f t="shared" si="155"/>
        <v>-0.37947113133607063</v>
      </c>
      <c r="X134" s="58">
        <f t="shared" si="156"/>
        <v>9.0909090909090981E-2</v>
      </c>
      <c r="Y134" s="58">
        <f t="shared" si="156"/>
        <v>-0.47619047619047616</v>
      </c>
      <c r="Z134" s="58">
        <f t="shared" si="156"/>
        <v>-1.2441860465116279</v>
      </c>
      <c r="AA134" s="58">
        <f t="shared" si="156"/>
        <v>-0.53260869565217395</v>
      </c>
      <c r="AB134" s="58">
        <f t="shared" si="156"/>
        <v>-0.18584070796460189</v>
      </c>
      <c r="AC134" s="58">
        <f t="shared" si="156"/>
        <v>7.1090047393364927E-2</v>
      </c>
      <c r="AD134" s="58"/>
      <c r="AE134" s="57"/>
      <c r="AF134" s="61"/>
      <c r="AG134" s="8">
        <v>-1.3</v>
      </c>
      <c r="AH134" s="144">
        <v>0.4</v>
      </c>
      <c r="AI134" s="135"/>
      <c r="AJ134" s="8">
        <v>-2</v>
      </c>
      <c r="AK134" s="8">
        <v>1</v>
      </c>
    </row>
    <row r="135" spans="1:37" x14ac:dyDescent="0.25">
      <c r="A135" s="14" t="s">
        <v>123</v>
      </c>
      <c r="B135" s="61">
        <f t="shared" si="154"/>
        <v>4.3999999999999995</v>
      </c>
      <c r="C135" s="8">
        <v>2.8</v>
      </c>
      <c r="D135" s="8">
        <v>2.7</v>
      </c>
      <c r="E135" s="8">
        <v>2.6</v>
      </c>
      <c r="F135" s="8">
        <v>2.6</v>
      </c>
      <c r="G135" s="8">
        <v>2.4</v>
      </c>
      <c r="H135" s="8">
        <v>2.1</v>
      </c>
      <c r="I135" s="336">
        <v>5.7</v>
      </c>
      <c r="J135" s="57"/>
      <c r="K135" s="57"/>
      <c r="L135" s="57"/>
      <c r="M135" s="57"/>
      <c r="N135" s="57"/>
      <c r="O135" s="57"/>
      <c r="P135" s="57"/>
      <c r="Q135" s="57"/>
      <c r="R135" s="57"/>
      <c r="S135" s="57"/>
      <c r="T135" s="57"/>
      <c r="U135" s="58">
        <f>_xlfn.RRI(5.5,H135,B135)</f>
        <v>0.14394743647263364</v>
      </c>
      <c r="V135" s="58">
        <f>_xlfn.RRI(5,H135,C135)</f>
        <v>5.9223841048812176E-2</v>
      </c>
      <c r="W135" s="58">
        <f t="shared" si="155"/>
        <v>0.14551960385293713</v>
      </c>
      <c r="X135" s="58">
        <f t="shared" si="156"/>
        <v>0.57142857142857129</v>
      </c>
      <c r="Y135" s="58">
        <f t="shared" si="156"/>
        <v>3.7037037037036903E-2</v>
      </c>
      <c r="Z135" s="58">
        <f t="shared" si="156"/>
        <v>3.8461538461538491E-2</v>
      </c>
      <c r="AA135" s="58">
        <f t="shared" si="156"/>
        <v>0</v>
      </c>
      <c r="AB135" s="58">
        <f t="shared" si="156"/>
        <v>8.3333333333333412E-2</v>
      </c>
      <c r="AC135" s="58">
        <f t="shared" si="156"/>
        <v>0.14285714285714277</v>
      </c>
      <c r="AD135" s="58"/>
      <c r="AE135" s="57"/>
      <c r="AF135" s="61"/>
      <c r="AG135" s="8">
        <v>2.7</v>
      </c>
      <c r="AH135" s="144">
        <v>0.6</v>
      </c>
      <c r="AI135" s="135"/>
      <c r="AJ135" s="8">
        <v>1</v>
      </c>
      <c r="AK135" s="8">
        <v>0.7</v>
      </c>
    </row>
    <row r="136" spans="1:37" x14ac:dyDescent="0.25">
      <c r="A136" s="14" t="s">
        <v>124</v>
      </c>
      <c r="B136" s="61">
        <f t="shared" si="154"/>
        <v>14.3</v>
      </c>
      <c r="C136" s="8">
        <v>13.2</v>
      </c>
      <c r="D136" s="8">
        <v>13</v>
      </c>
      <c r="E136" s="8">
        <v>11.3</v>
      </c>
      <c r="F136" s="8">
        <v>12.1</v>
      </c>
      <c r="G136" s="8">
        <v>12.5</v>
      </c>
      <c r="H136" s="8">
        <v>10.6</v>
      </c>
      <c r="I136" s="336">
        <v>8.9</v>
      </c>
      <c r="J136" s="57"/>
      <c r="K136" s="57"/>
      <c r="L136" s="57"/>
      <c r="M136" s="57"/>
      <c r="N136" s="57"/>
      <c r="O136" s="57"/>
      <c r="P136" s="57"/>
      <c r="Q136" s="57"/>
      <c r="R136" s="57"/>
      <c r="S136" s="57"/>
      <c r="T136" s="57"/>
      <c r="U136" s="58">
        <f>_xlfn.RRI(5.5,H136,B136)</f>
        <v>5.5946340643771242E-2</v>
      </c>
      <c r="V136" s="58">
        <f>_xlfn.RRI(5,H136,C136)</f>
        <v>4.4849196772801969E-2</v>
      </c>
      <c r="W136" s="58">
        <f t="shared" si="155"/>
        <v>5.5048334522264014E-2</v>
      </c>
      <c r="X136" s="58">
        <f t="shared" si="156"/>
        <v>8.333333333333344E-2</v>
      </c>
      <c r="Y136" s="58">
        <f t="shared" si="156"/>
        <v>1.538461538461533E-2</v>
      </c>
      <c r="Z136" s="58">
        <f t="shared" si="156"/>
        <v>0.15044247787610612</v>
      </c>
      <c r="AA136" s="58">
        <f t="shared" si="156"/>
        <v>-6.6115702479338762E-2</v>
      </c>
      <c r="AB136" s="58">
        <f t="shared" si="156"/>
        <v>-3.2000000000000028E-2</v>
      </c>
      <c r="AC136" s="58">
        <f t="shared" si="156"/>
        <v>0.17924528301886797</v>
      </c>
      <c r="AD136" s="58"/>
      <c r="AE136" s="57"/>
      <c r="AF136" s="61"/>
      <c r="AG136" s="8">
        <v>3.8</v>
      </c>
      <c r="AH136" s="144">
        <v>4</v>
      </c>
      <c r="AI136" s="135"/>
      <c r="AJ136" s="8">
        <v>3.2</v>
      </c>
      <c r="AK136" s="8">
        <v>3.5</v>
      </c>
    </row>
    <row r="137" spans="1:37" x14ac:dyDescent="0.25">
      <c r="A137" s="14" t="s">
        <v>125</v>
      </c>
      <c r="B137" s="61">
        <f t="shared" si="154"/>
        <v>0</v>
      </c>
      <c r="C137" s="8">
        <v>0</v>
      </c>
      <c r="D137" s="8">
        <v>0</v>
      </c>
      <c r="E137" s="8">
        <v>0</v>
      </c>
      <c r="F137" s="8">
        <v>0</v>
      </c>
      <c r="G137" s="8">
        <v>0</v>
      </c>
      <c r="H137" s="8">
        <v>10</v>
      </c>
      <c r="I137" s="336">
        <v>0</v>
      </c>
      <c r="J137" s="57"/>
      <c r="K137" s="57"/>
      <c r="L137" s="57"/>
      <c r="M137" s="57"/>
      <c r="N137" s="57"/>
      <c r="O137" s="57"/>
      <c r="P137" s="57"/>
      <c r="Q137" s="57"/>
      <c r="R137" s="57"/>
      <c r="S137" s="57"/>
      <c r="T137" s="57"/>
      <c r="U137" s="58"/>
      <c r="V137" s="58"/>
      <c r="W137" s="58"/>
      <c r="X137" s="58"/>
      <c r="Y137" s="58"/>
      <c r="Z137" s="58"/>
      <c r="AA137" s="58"/>
      <c r="AB137" s="58"/>
      <c r="AC137" s="58"/>
      <c r="AD137" s="58"/>
      <c r="AE137" s="57"/>
      <c r="AF137" s="61"/>
      <c r="AG137" s="61">
        <v>0</v>
      </c>
      <c r="AH137" s="145">
        <v>0</v>
      </c>
      <c r="AI137" s="61"/>
      <c r="AJ137" s="61">
        <v>0</v>
      </c>
      <c r="AK137" s="61">
        <v>0</v>
      </c>
    </row>
    <row r="138" spans="1:37" x14ac:dyDescent="0.25">
      <c r="A138" s="14" t="s">
        <v>126</v>
      </c>
      <c r="B138" s="61">
        <f t="shared" si="154"/>
        <v>0</v>
      </c>
      <c r="C138" s="8">
        <v>0</v>
      </c>
      <c r="D138" s="8">
        <v>0</v>
      </c>
      <c r="E138" s="8">
        <v>0</v>
      </c>
      <c r="F138" s="8">
        <v>0</v>
      </c>
      <c r="G138" s="8">
        <v>0</v>
      </c>
      <c r="H138" s="8">
        <v>0</v>
      </c>
      <c r="I138" s="336">
        <v>0</v>
      </c>
      <c r="J138" s="57"/>
      <c r="K138" s="57"/>
      <c r="L138" s="57"/>
      <c r="M138" s="57"/>
      <c r="N138" s="57"/>
      <c r="O138" s="57"/>
      <c r="P138" s="57"/>
      <c r="Q138" s="57"/>
      <c r="R138" s="57"/>
      <c r="S138" s="57"/>
      <c r="T138" s="57"/>
      <c r="U138" s="58"/>
      <c r="V138" s="58"/>
      <c r="W138" s="58"/>
      <c r="X138" s="58"/>
      <c r="Y138" s="58"/>
      <c r="Z138" s="58"/>
      <c r="AA138" s="58"/>
      <c r="AB138" s="58"/>
      <c r="AC138" s="58"/>
      <c r="AD138" s="58"/>
      <c r="AE138" s="57"/>
      <c r="AF138" s="61"/>
      <c r="AG138" s="61">
        <v>0</v>
      </c>
      <c r="AH138" s="145">
        <v>0</v>
      </c>
      <c r="AI138" s="61"/>
      <c r="AJ138" s="61">
        <v>0</v>
      </c>
      <c r="AK138" s="61">
        <v>0</v>
      </c>
    </row>
    <row r="139" spans="1:37" x14ac:dyDescent="0.25">
      <c r="A139" s="14" t="s">
        <v>127</v>
      </c>
      <c r="B139" s="61">
        <f t="shared" si="154"/>
        <v>0.20000000000000018</v>
      </c>
      <c r="C139" s="8">
        <v>5.3</v>
      </c>
      <c r="D139" s="8">
        <v>4</v>
      </c>
      <c r="E139" s="8">
        <v>-0.6</v>
      </c>
      <c r="F139" s="8">
        <v>-0.3</v>
      </c>
      <c r="G139" s="8">
        <v>-0.8</v>
      </c>
      <c r="H139" s="8">
        <v>-0.1</v>
      </c>
      <c r="I139" s="336">
        <v>8.1999999999999993</v>
      </c>
      <c r="J139" s="57"/>
      <c r="K139" s="57"/>
      <c r="L139" s="57"/>
      <c r="M139" s="57"/>
      <c r="N139" s="57"/>
      <c r="O139" s="57"/>
      <c r="P139" s="57"/>
      <c r="Q139" s="57"/>
      <c r="R139" s="57"/>
      <c r="S139" s="57"/>
      <c r="T139" s="57"/>
      <c r="U139" s="58"/>
      <c r="V139" s="58"/>
      <c r="W139" s="58"/>
      <c r="X139" s="58"/>
      <c r="Y139" s="58"/>
      <c r="Z139" s="58"/>
      <c r="AA139" s="58"/>
      <c r="AB139" s="58"/>
      <c r="AC139" s="58"/>
      <c r="AD139" s="58"/>
      <c r="AE139" s="57"/>
      <c r="AF139" s="61"/>
      <c r="AG139" s="8">
        <v>0.3</v>
      </c>
      <c r="AH139" s="144">
        <v>0.4</v>
      </c>
      <c r="AI139" s="135"/>
      <c r="AJ139" s="8">
        <v>3.4</v>
      </c>
      <c r="AK139" s="8">
        <v>2.4</v>
      </c>
    </row>
    <row r="140" spans="1:37" x14ac:dyDescent="0.25">
      <c r="A140" s="14" t="s">
        <v>128</v>
      </c>
      <c r="B140" s="61">
        <f t="shared" si="154"/>
        <v>0</v>
      </c>
      <c r="C140" s="8">
        <v>0</v>
      </c>
      <c r="D140" s="8">
        <v>0</v>
      </c>
      <c r="E140" s="8">
        <v>0</v>
      </c>
      <c r="F140" s="8">
        <v>0</v>
      </c>
      <c r="G140" s="8">
        <v>0</v>
      </c>
      <c r="H140" s="8">
        <v>0</v>
      </c>
      <c r="I140" s="336">
        <v>-2.1</v>
      </c>
      <c r="J140" s="57"/>
      <c r="K140" s="57"/>
      <c r="L140" s="57"/>
      <c r="M140" s="57"/>
      <c r="N140" s="57"/>
      <c r="O140" s="57"/>
      <c r="P140" s="57"/>
      <c r="Q140" s="57"/>
      <c r="R140" s="57"/>
      <c r="S140" s="57"/>
      <c r="T140" s="57"/>
      <c r="U140" s="58"/>
      <c r="V140" s="58"/>
      <c r="W140" s="58"/>
      <c r="X140" s="58"/>
      <c r="Y140" s="58"/>
      <c r="Z140" s="58"/>
      <c r="AA140" s="58"/>
      <c r="AB140" s="58"/>
      <c r="AC140" s="58"/>
      <c r="AD140" s="58"/>
      <c r="AE140" s="57"/>
      <c r="AF140" s="61"/>
      <c r="AG140" s="61">
        <v>0</v>
      </c>
      <c r="AH140" s="145">
        <v>0</v>
      </c>
      <c r="AI140" s="61"/>
      <c r="AJ140" s="61">
        <v>0</v>
      </c>
      <c r="AK140" s="61">
        <v>0</v>
      </c>
    </row>
    <row r="141" spans="1:37" x14ac:dyDescent="0.25">
      <c r="A141" s="14" t="s">
        <v>129</v>
      </c>
      <c r="B141" s="66">
        <f t="shared" si="154"/>
        <v>0</v>
      </c>
      <c r="C141" s="23">
        <v>0</v>
      </c>
      <c r="D141" s="23">
        <v>0</v>
      </c>
      <c r="E141" s="23">
        <v>0</v>
      </c>
      <c r="F141" s="23">
        <v>0</v>
      </c>
      <c r="G141" s="23">
        <v>0</v>
      </c>
      <c r="H141" s="23">
        <v>0</v>
      </c>
      <c r="I141" s="341">
        <v>1</v>
      </c>
      <c r="J141" s="57"/>
      <c r="K141" s="73"/>
      <c r="L141" s="73"/>
      <c r="M141" s="73"/>
      <c r="N141" s="73"/>
      <c r="O141" s="73"/>
      <c r="P141" s="73"/>
      <c r="Q141" s="73"/>
      <c r="R141" s="57"/>
      <c r="S141" s="57"/>
      <c r="T141" s="57"/>
      <c r="U141" s="59"/>
      <c r="V141" s="59"/>
      <c r="W141" s="59"/>
      <c r="X141" s="59"/>
      <c r="Y141" s="59"/>
      <c r="Z141" s="59"/>
      <c r="AA141" s="59"/>
      <c r="AB141" s="59"/>
      <c r="AC141" s="59"/>
      <c r="AD141" s="80"/>
      <c r="AE141" s="57"/>
      <c r="AF141" s="67"/>
      <c r="AG141" s="67">
        <v>0</v>
      </c>
      <c r="AH141" s="161">
        <v>0</v>
      </c>
      <c r="AI141" s="67"/>
      <c r="AJ141" s="67">
        <v>0</v>
      </c>
      <c r="AK141" s="67">
        <v>0</v>
      </c>
    </row>
    <row r="142" spans="1:37" x14ac:dyDescent="0.25">
      <c r="A142" s="6" t="s">
        <v>162</v>
      </c>
      <c r="B142" s="56">
        <f t="shared" ref="B142:I142" si="157">SUM(B125:B141)</f>
        <v>159.70000000000019</v>
      </c>
      <c r="C142" s="56">
        <f t="shared" si="157"/>
        <v>146.39999999999992</v>
      </c>
      <c r="D142" s="56">
        <f t="shared" si="157"/>
        <v>147.7999999999999</v>
      </c>
      <c r="E142" s="56">
        <f t="shared" si="157"/>
        <v>143.6999999999999</v>
      </c>
      <c r="F142" s="56">
        <f t="shared" si="157"/>
        <v>101.30000000000005</v>
      </c>
      <c r="G142" s="56">
        <f t="shared" si="157"/>
        <v>94.999999999999986</v>
      </c>
      <c r="H142" s="56">
        <f t="shared" si="157"/>
        <v>98.199999999999903</v>
      </c>
      <c r="I142" s="56">
        <f t="shared" si="157"/>
        <v>97.8</v>
      </c>
      <c r="J142" s="57"/>
      <c r="K142" s="57"/>
      <c r="L142" s="57"/>
      <c r="M142" s="57"/>
      <c r="N142" s="57"/>
      <c r="O142" s="57"/>
      <c r="P142" s="57"/>
      <c r="Q142" s="57"/>
      <c r="R142" s="57"/>
      <c r="S142" s="57"/>
      <c r="T142" s="57"/>
      <c r="U142" s="58">
        <f>_xlfn.RRI(5.5,H142,B142)</f>
        <v>9.2443047657633448E-2</v>
      </c>
      <c r="V142" s="58">
        <f>_xlfn.RRI(5,H142,C142)</f>
        <v>8.3143300359078465E-2</v>
      </c>
      <c r="W142" s="20">
        <f t="shared" si="155"/>
        <v>9.3699060961249248E-2</v>
      </c>
      <c r="X142" s="20">
        <f t="shared" ref="X142:AC142" si="158">(B142-C142)/C142</f>
        <v>9.0846994535521003E-2</v>
      </c>
      <c r="Y142" s="20">
        <f t="shared" si="158"/>
        <v>-9.4722598105546566E-3</v>
      </c>
      <c r="Z142" s="20">
        <f t="shared" si="158"/>
        <v>2.8531663187195525E-2</v>
      </c>
      <c r="AA142" s="20">
        <f t="shared" si="158"/>
        <v>0.41855873642645436</v>
      </c>
      <c r="AB142" s="20">
        <f t="shared" si="158"/>
        <v>6.6315789473684938E-2</v>
      </c>
      <c r="AC142" s="20">
        <f t="shared" si="158"/>
        <v>-3.2586558044805709E-2</v>
      </c>
      <c r="AD142" s="20"/>
      <c r="AE142" s="57"/>
      <c r="AF142" s="61"/>
      <c r="AG142" s="56">
        <f>SUM(AG125:AG141)</f>
        <v>46.3</v>
      </c>
      <c r="AH142" s="147">
        <f>SUM(AH125:AH141)</f>
        <v>42.6</v>
      </c>
      <c r="AI142" s="56"/>
      <c r="AJ142" s="56">
        <f t="shared" ref="AJ142:AK142" si="159">SUM(AJ125:AJ141)</f>
        <v>37.299999999999997</v>
      </c>
      <c r="AK142" s="56">
        <f t="shared" si="159"/>
        <v>38.299999999999997</v>
      </c>
    </row>
    <row r="143" spans="1:37" x14ac:dyDescent="0.25">
      <c r="A143" s="6" t="s">
        <v>327</v>
      </c>
      <c r="B143" s="56"/>
      <c r="C143" s="56"/>
      <c r="D143" s="56"/>
      <c r="E143" s="56"/>
      <c r="F143" s="56"/>
      <c r="G143" s="56"/>
      <c r="H143" s="56"/>
      <c r="I143" s="56"/>
      <c r="J143" s="57"/>
      <c r="K143" s="57"/>
      <c r="L143" s="57"/>
      <c r="M143" s="57"/>
      <c r="N143" s="57"/>
      <c r="O143" s="57"/>
      <c r="P143" s="57"/>
      <c r="Q143" s="57"/>
      <c r="R143" s="57"/>
      <c r="S143" s="57"/>
      <c r="T143" s="57"/>
      <c r="U143" s="58"/>
      <c r="V143" s="58"/>
      <c r="W143" s="20"/>
      <c r="X143" s="20"/>
      <c r="Y143" s="20"/>
      <c r="Z143" s="20"/>
      <c r="AA143" s="20"/>
      <c r="AB143" s="20"/>
      <c r="AC143" s="20"/>
      <c r="AD143" s="20"/>
      <c r="AE143" s="57"/>
      <c r="AF143" s="61"/>
      <c r="AG143" s="56"/>
      <c r="AH143" s="147"/>
      <c r="AI143" s="56"/>
      <c r="AJ143" s="56"/>
      <c r="AK143" s="56"/>
    </row>
    <row r="144" spans="1:37" x14ac:dyDescent="0.25">
      <c r="A144" s="14" t="s">
        <v>130</v>
      </c>
      <c r="B144" s="61">
        <f>C144+AG144+AH144-(AJ144+AK144)</f>
        <v>-21.799999999999997</v>
      </c>
      <c r="C144" s="8">
        <v>-32.299999999999997</v>
      </c>
      <c r="D144" s="8">
        <v>-12.7</v>
      </c>
      <c r="E144" s="8">
        <v>-11.5</v>
      </c>
      <c r="F144" s="8">
        <v>25.4</v>
      </c>
      <c r="G144" s="8">
        <v>-7.7</v>
      </c>
      <c r="H144" s="8">
        <v>-16</v>
      </c>
      <c r="I144" s="336">
        <v>12.7</v>
      </c>
      <c r="J144" s="57"/>
      <c r="K144" s="57"/>
      <c r="L144" s="57"/>
      <c r="M144" s="57"/>
      <c r="N144" s="57"/>
      <c r="O144" s="57"/>
      <c r="P144" s="57"/>
      <c r="Q144" s="57"/>
      <c r="R144" s="57"/>
      <c r="S144" s="57"/>
      <c r="T144" s="57"/>
      <c r="U144" s="58">
        <f>_xlfn.RRI(5.5,H144,B144)</f>
        <v>5.7851777592576648E-2</v>
      </c>
      <c r="V144" s="58">
        <f>_xlfn.RRI(5,H144,C144)</f>
        <v>0.15084413276322484</v>
      </c>
      <c r="W144" s="58">
        <f t="shared" si="155"/>
        <v>-0.82460494848213084</v>
      </c>
      <c r="X144" s="58">
        <f t="shared" ref="X144:AC148" si="160">(B144-C144)/C144</f>
        <v>-0.32507739938080499</v>
      </c>
      <c r="Y144" s="58">
        <f t="shared" si="160"/>
        <v>1.5433070866141732</v>
      </c>
      <c r="Z144" s="58">
        <f t="shared" si="160"/>
        <v>0.10434782608695646</v>
      </c>
      <c r="AA144" s="58">
        <f t="shared" si="160"/>
        <v>-1.4527559055118111</v>
      </c>
      <c r="AB144" s="58">
        <f t="shared" si="160"/>
        <v>-4.2987012987012987</v>
      </c>
      <c r="AC144" s="58">
        <f t="shared" si="160"/>
        <v>-0.51875000000000004</v>
      </c>
      <c r="AD144" s="58"/>
      <c r="AE144" s="57"/>
      <c r="AF144" s="61"/>
      <c r="AG144" s="8">
        <v>-16.7</v>
      </c>
      <c r="AH144" s="144">
        <v>-25.1</v>
      </c>
      <c r="AI144" s="135"/>
      <c r="AJ144" s="8">
        <v>-12.3</v>
      </c>
      <c r="AK144" s="8">
        <v>-40</v>
      </c>
    </row>
    <row r="145" spans="1:37" x14ac:dyDescent="0.25">
      <c r="A145" s="14" t="s">
        <v>131</v>
      </c>
      <c r="B145" s="61">
        <f>C145+AG145+AH145-(AJ145+AK145)</f>
        <v>-39.399999999999991</v>
      </c>
      <c r="C145" s="8">
        <v>-41.8</v>
      </c>
      <c r="D145" s="8">
        <v>-24.3</v>
      </c>
      <c r="E145" s="8">
        <v>8.6999999999999993</v>
      </c>
      <c r="F145" s="8">
        <v>-14.8</v>
      </c>
      <c r="G145" s="8">
        <v>-18.3</v>
      </c>
      <c r="H145" s="8">
        <v>0.7</v>
      </c>
      <c r="I145" s="336">
        <v>-3.3</v>
      </c>
      <c r="J145" s="57"/>
      <c r="K145" s="57"/>
      <c r="L145" s="57"/>
      <c r="M145" s="57"/>
      <c r="N145" s="57"/>
      <c r="O145" s="57"/>
      <c r="P145" s="57"/>
      <c r="Q145" s="57"/>
      <c r="R145" s="57"/>
      <c r="S145" s="57"/>
      <c r="T145" s="57"/>
      <c r="U145" s="58"/>
      <c r="V145" s="58"/>
      <c r="W145" s="58">
        <f t="shared" si="155"/>
        <v>-5.342051153076838</v>
      </c>
      <c r="X145" s="58">
        <f t="shared" si="160"/>
        <v>-5.7416267942583872E-2</v>
      </c>
      <c r="Y145" s="58">
        <f t="shared" si="160"/>
        <v>0.72016460905349777</v>
      </c>
      <c r="Z145" s="58">
        <f t="shared" si="160"/>
        <v>-3.7931034482758625</v>
      </c>
      <c r="AA145" s="58">
        <f t="shared" si="160"/>
        <v>-1.5878378378378377</v>
      </c>
      <c r="AB145" s="58">
        <f t="shared" si="160"/>
        <v>-0.19125683060109289</v>
      </c>
      <c r="AC145" s="58">
        <f t="shared" si="160"/>
        <v>-27.142857142857146</v>
      </c>
      <c r="AD145" s="58"/>
      <c r="AE145" s="57"/>
      <c r="AF145" s="61"/>
      <c r="AG145" s="8">
        <v>5.2</v>
      </c>
      <c r="AH145" s="144">
        <v>-22.4</v>
      </c>
      <c r="AI145" s="135"/>
      <c r="AJ145" s="8">
        <v>-6.1</v>
      </c>
      <c r="AK145" s="8">
        <v>-13.5</v>
      </c>
    </row>
    <row r="146" spans="1:37" x14ac:dyDescent="0.25">
      <c r="A146" s="14" t="s">
        <v>49</v>
      </c>
      <c r="B146" s="61">
        <f>C146+AG146+AH146-(AJ146+AK146)</f>
        <v>-2.7999999999999972</v>
      </c>
      <c r="C146" s="8">
        <v>32.700000000000003</v>
      </c>
      <c r="D146" s="8">
        <v>20.9</v>
      </c>
      <c r="E146" s="8">
        <v>-25.3</v>
      </c>
      <c r="F146" s="8">
        <v>-3.1</v>
      </c>
      <c r="G146" s="8">
        <v>30.8</v>
      </c>
      <c r="H146" s="8">
        <v>-13.6</v>
      </c>
      <c r="I146" s="336">
        <v>5</v>
      </c>
      <c r="J146" s="57"/>
      <c r="K146" s="57"/>
      <c r="L146" s="57"/>
      <c r="M146" s="57"/>
      <c r="N146" s="57"/>
      <c r="O146" s="57"/>
      <c r="P146" s="57"/>
      <c r="Q146" s="57"/>
      <c r="R146" s="57"/>
      <c r="S146" s="57"/>
      <c r="T146" s="57"/>
      <c r="U146" s="58"/>
      <c r="V146" s="58"/>
      <c r="W146" s="58">
        <f t="shared" si="155"/>
        <v>7.4802420529506142E-2</v>
      </c>
      <c r="X146" s="58">
        <f t="shared" si="160"/>
        <v>-1.0856269113149846</v>
      </c>
      <c r="Y146" s="58">
        <f t="shared" si="160"/>
        <v>0.56459330143540698</v>
      </c>
      <c r="Z146" s="58">
        <f t="shared" si="160"/>
        <v>-1.8260869565217392</v>
      </c>
      <c r="AA146" s="58">
        <f t="shared" si="160"/>
        <v>7.161290322580645</v>
      </c>
      <c r="AB146" s="58">
        <f t="shared" si="160"/>
        <v>-1.1006493506493507</v>
      </c>
      <c r="AC146" s="58">
        <f t="shared" si="160"/>
        <v>-3.2647058823529411</v>
      </c>
      <c r="AD146" s="58"/>
      <c r="AE146" s="57"/>
      <c r="AF146" s="61"/>
      <c r="AG146" s="8">
        <v>-21.6</v>
      </c>
      <c r="AH146" s="144">
        <v>14.1</v>
      </c>
      <c r="AI146" s="135"/>
      <c r="AJ146" s="8">
        <v>15</v>
      </c>
      <c r="AK146" s="8">
        <v>13</v>
      </c>
    </row>
    <row r="147" spans="1:37" x14ac:dyDescent="0.25">
      <c r="A147" s="14" t="s">
        <v>132</v>
      </c>
      <c r="B147" s="61">
        <f>C147+AG147+AH147-(AJ147+AK147)</f>
        <v>-18.100000000000001</v>
      </c>
      <c r="C147" s="8">
        <v>-7.3</v>
      </c>
      <c r="D147" s="8">
        <v>-21</v>
      </c>
      <c r="E147" s="8">
        <v>8.5</v>
      </c>
      <c r="F147" s="8">
        <v>3.9</v>
      </c>
      <c r="G147" s="8">
        <v>-27</v>
      </c>
      <c r="H147" s="8">
        <v>31.2</v>
      </c>
      <c r="I147" s="336">
        <v>8.4</v>
      </c>
      <c r="J147" s="57"/>
      <c r="K147" s="57"/>
      <c r="L147" s="57"/>
      <c r="M147" s="57"/>
      <c r="N147" s="57"/>
      <c r="O147" s="57"/>
      <c r="P147" s="57"/>
      <c r="Q147" s="57"/>
      <c r="R147" s="57"/>
      <c r="S147" s="57"/>
      <c r="T147" s="57"/>
      <c r="U147" s="58"/>
      <c r="V147" s="58"/>
      <c r="W147" s="58">
        <f t="shared" si="155"/>
        <v>-0.74564316887040505</v>
      </c>
      <c r="X147" s="58">
        <f t="shared" si="160"/>
        <v>1.4794520547945207</v>
      </c>
      <c r="Y147" s="58">
        <f t="shared" si="160"/>
        <v>-0.65238095238095239</v>
      </c>
      <c r="Z147" s="58">
        <f t="shared" si="160"/>
        <v>-3.4705882352941178</v>
      </c>
      <c r="AA147" s="58">
        <f t="shared" si="160"/>
        <v>1.1794871794871795</v>
      </c>
      <c r="AB147" s="58">
        <f t="shared" si="160"/>
        <v>-1.1444444444444444</v>
      </c>
      <c r="AC147" s="58">
        <f t="shared" si="160"/>
        <v>-1.8653846153846154</v>
      </c>
      <c r="AD147" s="58"/>
      <c r="AE147" s="57"/>
      <c r="AF147" s="61"/>
      <c r="AG147" s="8">
        <v>-0.2</v>
      </c>
      <c r="AH147" s="144">
        <v>-18.5</v>
      </c>
      <c r="AI147" s="135"/>
      <c r="AJ147" s="8">
        <v>-3.4</v>
      </c>
      <c r="AK147" s="8">
        <v>-4.5</v>
      </c>
    </row>
    <row r="148" spans="1:37" x14ac:dyDescent="0.25">
      <c r="A148" s="14" t="s">
        <v>133</v>
      </c>
      <c r="B148" s="66">
        <f>C148+AG148+AH148-(AJ148+AK148)</f>
        <v>0.30000000000000027</v>
      </c>
      <c r="C148" s="23">
        <v>3.5</v>
      </c>
      <c r="D148" s="23">
        <v>-7.7</v>
      </c>
      <c r="E148" s="23">
        <v>3</v>
      </c>
      <c r="F148" s="23">
        <v>2.6</v>
      </c>
      <c r="G148" s="23">
        <v>5.5</v>
      </c>
      <c r="H148" s="23">
        <v>1.3</v>
      </c>
      <c r="I148" s="341">
        <v>-1.1000000000000001</v>
      </c>
      <c r="J148" s="57"/>
      <c r="K148" s="73"/>
      <c r="L148" s="73"/>
      <c r="M148" s="73"/>
      <c r="N148" s="73"/>
      <c r="O148" s="73"/>
      <c r="P148" s="73"/>
      <c r="Q148" s="73"/>
      <c r="R148" s="57"/>
      <c r="S148" s="57"/>
      <c r="T148" s="57"/>
      <c r="U148" s="59">
        <f>_xlfn.RRI(5.5,H148,B148)</f>
        <v>-0.23402576055975999</v>
      </c>
      <c r="V148" s="59">
        <f>_xlfn.RRI(5,H148,C148)</f>
        <v>0.21905959874044001</v>
      </c>
      <c r="W148" s="59">
        <f t="shared" si="155"/>
        <v>-0.51302586302586295</v>
      </c>
      <c r="X148" s="59">
        <f t="shared" si="160"/>
        <v>-0.91428571428571426</v>
      </c>
      <c r="Y148" s="59">
        <f t="shared" si="160"/>
        <v>-1.4545454545454544</v>
      </c>
      <c r="Z148" s="59">
        <f t="shared" si="160"/>
        <v>-3.5666666666666664</v>
      </c>
      <c r="AA148" s="59">
        <f t="shared" si="160"/>
        <v>0.1538461538461538</v>
      </c>
      <c r="AB148" s="59">
        <f t="shared" si="160"/>
        <v>-0.52727272727272723</v>
      </c>
      <c r="AC148" s="59">
        <f t="shared" si="160"/>
        <v>3.2307692307692308</v>
      </c>
      <c r="AD148" s="80"/>
      <c r="AE148" s="57"/>
      <c r="AF148" s="67"/>
      <c r="AG148" s="23">
        <v>0.2</v>
      </c>
      <c r="AH148" s="146">
        <v>-6</v>
      </c>
      <c r="AI148" s="136"/>
      <c r="AJ148" s="23">
        <v>-1.3</v>
      </c>
      <c r="AK148" s="23">
        <v>-1.3</v>
      </c>
    </row>
    <row r="149" spans="1:37" ht="15.75" thickBot="1" x14ac:dyDescent="0.3">
      <c r="A149" s="356" t="s">
        <v>319</v>
      </c>
      <c r="B149" s="56">
        <f>SUM(B142:B148)</f>
        <v>77.900000000000219</v>
      </c>
      <c r="C149" s="56">
        <f>SUM(C142:C148)</f>
        <v>101.19999999999993</v>
      </c>
      <c r="D149" s="56">
        <f t="shared" ref="D149:I149" si="161">SUM(D142:D148)</f>
        <v>102.9999999999999</v>
      </c>
      <c r="E149" s="56">
        <f t="shared" si="161"/>
        <v>127.09999999999989</v>
      </c>
      <c r="F149" s="56">
        <f t="shared" si="161"/>
        <v>115.30000000000005</v>
      </c>
      <c r="G149" s="56">
        <f t="shared" si="161"/>
        <v>78.299999999999983</v>
      </c>
      <c r="H149" s="56">
        <f t="shared" si="161"/>
        <v>101.79999999999991</v>
      </c>
      <c r="I149" s="56">
        <f t="shared" si="161"/>
        <v>119.50000000000001</v>
      </c>
      <c r="J149" s="57"/>
      <c r="K149" s="57"/>
      <c r="L149" s="57"/>
      <c r="M149" s="57"/>
      <c r="N149" s="57"/>
      <c r="O149" s="57"/>
      <c r="P149" s="57"/>
      <c r="Q149" s="57"/>
      <c r="R149" s="57"/>
      <c r="S149" s="57"/>
      <c r="T149" s="57"/>
      <c r="U149" s="80"/>
      <c r="V149" s="80"/>
      <c r="W149" s="80"/>
      <c r="X149" s="80"/>
      <c r="Y149" s="80"/>
      <c r="Z149" s="80"/>
      <c r="AA149" s="80"/>
      <c r="AB149" s="80"/>
      <c r="AC149" s="80"/>
      <c r="AD149" s="80"/>
      <c r="AE149" s="57"/>
      <c r="AF149" s="61"/>
      <c r="AG149" s="276"/>
      <c r="AH149" s="289"/>
      <c r="AI149" s="290"/>
      <c r="AJ149" s="276"/>
      <c r="AK149" s="276"/>
    </row>
    <row r="150" spans="1:37" x14ac:dyDescent="0.25">
      <c r="A150" s="202" t="s">
        <v>320</v>
      </c>
      <c r="B150" s="203"/>
      <c r="C150" s="204"/>
      <c r="D150" s="204"/>
      <c r="E150" s="204"/>
      <c r="F150" s="204"/>
      <c r="G150" s="354"/>
      <c r="H150" s="203"/>
      <c r="I150" s="357"/>
      <c r="J150" s="201"/>
      <c r="K150" s="70"/>
      <c r="L150" s="70"/>
      <c r="M150" s="70"/>
      <c r="N150" s="70"/>
      <c r="O150" s="70"/>
      <c r="P150" s="70"/>
      <c r="Q150" s="70"/>
      <c r="R150" s="343"/>
      <c r="S150" s="201"/>
      <c r="T150" s="201"/>
      <c r="U150" s="58"/>
      <c r="V150" s="58"/>
      <c r="W150" s="20"/>
      <c r="X150" s="20"/>
      <c r="Y150" s="20"/>
      <c r="Z150" s="20"/>
      <c r="AA150" s="20"/>
      <c r="AB150" s="20"/>
      <c r="AC150" s="20"/>
      <c r="AD150" s="20"/>
      <c r="AE150" s="201"/>
      <c r="AF150" s="200"/>
      <c r="AG150" s="24"/>
      <c r="AH150" s="157"/>
      <c r="AI150" s="138"/>
      <c r="AJ150" s="24"/>
      <c r="AK150" s="24"/>
    </row>
    <row r="151" spans="1:37" x14ac:dyDescent="0.25">
      <c r="A151" s="205" t="s">
        <v>321</v>
      </c>
      <c r="B151" s="113">
        <f t="shared" ref="B151:I151" si="162">B55+B144</f>
        <v>2087.5</v>
      </c>
      <c r="C151" s="113">
        <f t="shared" si="162"/>
        <v>1948.2</v>
      </c>
      <c r="D151" s="113">
        <f t="shared" si="162"/>
        <v>1665.8999999999999</v>
      </c>
      <c r="E151" s="113">
        <f t="shared" si="162"/>
        <v>1657.6</v>
      </c>
      <c r="F151" s="113">
        <f t="shared" si="162"/>
        <v>1662.4</v>
      </c>
      <c r="G151" s="113">
        <f t="shared" si="162"/>
        <v>1555</v>
      </c>
      <c r="H151" s="113">
        <f t="shared" si="162"/>
        <v>1459.5</v>
      </c>
      <c r="I151" s="206">
        <f t="shared" si="162"/>
        <v>1428.9</v>
      </c>
      <c r="J151" s="201"/>
      <c r="K151" s="70"/>
      <c r="L151" s="70"/>
      <c r="M151" s="70"/>
      <c r="N151" s="70"/>
      <c r="O151" s="70"/>
      <c r="P151" s="70"/>
      <c r="Q151" s="70"/>
      <c r="R151" s="343"/>
      <c r="S151" s="201"/>
      <c r="T151" s="201"/>
      <c r="U151" s="58"/>
      <c r="V151" s="58"/>
      <c r="W151" s="20"/>
      <c r="X151" s="20"/>
      <c r="Y151" s="20"/>
      <c r="Z151" s="20"/>
      <c r="AA151" s="20"/>
      <c r="AB151" s="20"/>
      <c r="AC151" s="20"/>
      <c r="AD151" s="20"/>
      <c r="AE151" s="201"/>
      <c r="AF151" s="200"/>
      <c r="AG151" s="24"/>
      <c r="AH151" s="157"/>
      <c r="AI151" s="138"/>
      <c r="AJ151" s="24"/>
      <c r="AK151" s="24"/>
    </row>
    <row r="152" spans="1:37" x14ac:dyDescent="0.25">
      <c r="A152" s="205" t="s">
        <v>322</v>
      </c>
      <c r="B152" s="208">
        <f t="shared" ref="B152:I152" si="163">-B56+B145+B146</f>
        <v>-1762.4</v>
      </c>
      <c r="C152" s="84">
        <f t="shared" si="163"/>
        <v>-1645</v>
      </c>
      <c r="D152" s="84">
        <f t="shared" si="163"/>
        <v>-1347.8999999999999</v>
      </c>
      <c r="E152" s="84">
        <f t="shared" si="163"/>
        <v>-1325.3</v>
      </c>
      <c r="F152" s="84">
        <f t="shared" si="163"/>
        <v>-1324.1999999999998</v>
      </c>
      <c r="G152" s="84">
        <f t="shared" si="163"/>
        <v>-1248.4000000000001</v>
      </c>
      <c r="H152" s="84">
        <f t="shared" si="163"/>
        <v>-1166.3</v>
      </c>
      <c r="I152" s="362">
        <f t="shared" si="163"/>
        <v>-1124.5</v>
      </c>
      <c r="J152" s="201"/>
      <c r="K152" s="70"/>
      <c r="L152" s="70"/>
      <c r="M152" s="70"/>
      <c r="N152" s="70"/>
      <c r="O152" s="70"/>
      <c r="P152" s="70"/>
      <c r="Q152" s="70"/>
      <c r="R152" s="343"/>
      <c r="S152" s="201"/>
      <c r="T152" s="201"/>
      <c r="U152" s="58"/>
      <c r="V152" s="58"/>
      <c r="W152" s="20"/>
      <c r="X152" s="20"/>
      <c r="Y152" s="20"/>
      <c r="Z152" s="20"/>
      <c r="AA152" s="20"/>
      <c r="AB152" s="20"/>
      <c r="AC152" s="20"/>
      <c r="AD152" s="20"/>
      <c r="AE152" s="201"/>
      <c r="AF152" s="200"/>
      <c r="AG152" s="24"/>
      <c r="AH152" s="157"/>
      <c r="AI152" s="138"/>
      <c r="AJ152" s="24"/>
      <c r="AK152" s="24"/>
    </row>
    <row r="153" spans="1:37" x14ac:dyDescent="0.25">
      <c r="A153" s="209" t="s">
        <v>323</v>
      </c>
      <c r="B153" s="200">
        <f>SUM(B151:B152)</f>
        <v>325.09999999999991</v>
      </c>
      <c r="C153" s="200">
        <f t="shared" ref="C153:H153" si="164">SUM(C151:C152)</f>
        <v>303.20000000000005</v>
      </c>
      <c r="D153" s="200">
        <f t="shared" si="164"/>
        <v>318</v>
      </c>
      <c r="E153" s="200">
        <f t="shared" si="164"/>
        <v>332.29999999999995</v>
      </c>
      <c r="F153" s="200">
        <f t="shared" si="164"/>
        <v>338.20000000000027</v>
      </c>
      <c r="G153" s="200">
        <f t="shared" si="164"/>
        <v>306.59999999999991</v>
      </c>
      <c r="H153" s="200">
        <f t="shared" si="164"/>
        <v>293.20000000000005</v>
      </c>
      <c r="I153" s="207">
        <f t="shared" ref="I153" si="165">SUM(I151:I152)</f>
        <v>304.40000000000009</v>
      </c>
      <c r="J153" s="201"/>
      <c r="K153" s="70"/>
      <c r="L153" s="70"/>
      <c r="M153" s="70"/>
      <c r="N153" s="70"/>
      <c r="O153" s="70"/>
      <c r="P153" s="70"/>
      <c r="Q153" s="70"/>
      <c r="R153" s="343"/>
      <c r="S153" s="201"/>
      <c r="T153" s="201"/>
      <c r="U153" s="58"/>
      <c r="V153" s="58"/>
      <c r="W153" s="20"/>
      <c r="X153" s="20"/>
      <c r="Y153" s="20"/>
      <c r="Z153" s="20"/>
      <c r="AA153" s="20"/>
      <c r="AB153" s="20"/>
      <c r="AC153" s="20"/>
      <c r="AD153" s="20"/>
      <c r="AE153" s="201"/>
      <c r="AF153" s="200"/>
      <c r="AG153" s="24"/>
      <c r="AH153" s="157"/>
      <c r="AI153" s="138"/>
      <c r="AJ153" s="24"/>
      <c r="AK153" s="24"/>
    </row>
    <row r="154" spans="1:37" x14ac:dyDescent="0.25">
      <c r="A154" s="275" t="s">
        <v>324</v>
      </c>
      <c r="B154" s="276">
        <f>B185</f>
        <v>-47.269821452458181</v>
      </c>
      <c r="C154" s="276">
        <f>C185</f>
        <v>-41.3</v>
      </c>
      <c r="D154" s="276">
        <f t="shared" ref="D154:H154" si="166">D185</f>
        <v>-38.1</v>
      </c>
      <c r="E154" s="276">
        <f t="shared" si="166"/>
        <v>-50.1</v>
      </c>
      <c r="F154" s="276">
        <f t="shared" si="166"/>
        <v>-60.9</v>
      </c>
      <c r="G154" s="355">
        <f t="shared" si="166"/>
        <v>-49.8</v>
      </c>
      <c r="H154" s="113">
        <f t="shared" si="166"/>
        <v>-37.6</v>
      </c>
      <c r="I154" s="206">
        <f t="shared" ref="I154" si="167">I185</f>
        <v>-42.7</v>
      </c>
      <c r="J154" s="201"/>
      <c r="K154" s="70"/>
      <c r="L154" s="70"/>
      <c r="M154" s="70"/>
      <c r="N154" s="70"/>
      <c r="O154" s="70"/>
      <c r="P154" s="70"/>
      <c r="Q154" s="70"/>
      <c r="R154" s="343"/>
      <c r="S154" s="201"/>
      <c r="T154" s="201"/>
      <c r="U154" s="58"/>
      <c r="V154" s="58"/>
      <c r="W154" s="20"/>
      <c r="X154" s="20"/>
      <c r="Y154" s="20"/>
      <c r="Z154" s="20"/>
      <c r="AA154" s="20"/>
      <c r="AB154" s="20"/>
      <c r="AC154" s="20"/>
      <c r="AD154" s="20"/>
      <c r="AE154" s="201"/>
      <c r="AF154" s="200"/>
      <c r="AG154" s="24"/>
      <c r="AH154" s="157"/>
      <c r="AI154" s="138"/>
      <c r="AJ154" s="24"/>
      <c r="AK154" s="24"/>
    </row>
    <row r="155" spans="1:37" x14ac:dyDescent="0.25">
      <c r="A155" s="281" t="s">
        <v>325</v>
      </c>
      <c r="B155" s="113">
        <f>B186</f>
        <v>-19.090601728451141</v>
      </c>
      <c r="C155" s="113">
        <f>C186</f>
        <v>-20.7</v>
      </c>
      <c r="D155" s="113">
        <f t="shared" ref="D155:H155" si="168">D186</f>
        <v>-23.4</v>
      </c>
      <c r="E155" s="113">
        <f t="shared" si="168"/>
        <v>-13.4</v>
      </c>
      <c r="F155" s="113">
        <f t="shared" si="168"/>
        <v>-16.8</v>
      </c>
      <c r="G155" s="113">
        <f t="shared" si="168"/>
        <v>-25.9</v>
      </c>
      <c r="H155" s="113">
        <f t="shared" si="168"/>
        <v>-16.600000000000001</v>
      </c>
      <c r="I155" s="206">
        <f t="shared" ref="I155" si="169">I186</f>
        <v>-11.6</v>
      </c>
      <c r="J155" s="201"/>
      <c r="K155" s="70"/>
      <c r="L155" s="70"/>
      <c r="M155" s="70"/>
      <c r="N155" s="70"/>
      <c r="O155" s="70"/>
      <c r="P155" s="70"/>
      <c r="Q155" s="70"/>
      <c r="R155" s="343"/>
      <c r="S155" s="201"/>
      <c r="T155" s="201"/>
      <c r="U155" s="58"/>
      <c r="V155" s="58"/>
      <c r="W155" s="20"/>
      <c r="X155" s="20"/>
      <c r="Y155" s="20"/>
      <c r="Z155" s="20"/>
      <c r="AA155" s="20"/>
      <c r="AB155" s="20"/>
      <c r="AC155" s="20"/>
      <c r="AD155" s="20"/>
      <c r="AE155" s="201"/>
      <c r="AF155" s="200"/>
      <c r="AG155" s="24"/>
      <c r="AH155" s="157"/>
      <c r="AI155" s="138"/>
      <c r="AJ155" s="24"/>
      <c r="AK155" s="24"/>
    </row>
    <row r="156" spans="1:37" x14ac:dyDescent="0.25">
      <c r="A156" s="282" t="s">
        <v>435</v>
      </c>
      <c r="B156" s="113">
        <f>-B188</f>
        <v>-28.700000000000003</v>
      </c>
      <c r="C156" s="113">
        <f t="shared" ref="C156:H156" si="170">-C188</f>
        <v>-29.3</v>
      </c>
      <c r="D156" s="113">
        <f t="shared" si="170"/>
        <v>-30.5</v>
      </c>
      <c r="E156" s="113">
        <f t="shared" si="170"/>
        <v>-31.5</v>
      </c>
      <c r="F156" s="113">
        <f t="shared" si="170"/>
        <v>-31.1</v>
      </c>
      <c r="G156" s="113">
        <f t="shared" si="170"/>
        <v>-49.4</v>
      </c>
      <c r="H156" s="113">
        <f t="shared" si="170"/>
        <v>-50.4</v>
      </c>
      <c r="I156" s="206">
        <f t="shared" ref="I156" si="171">-I188</f>
        <v>0</v>
      </c>
      <c r="J156" s="201"/>
      <c r="K156" s="70"/>
      <c r="L156" s="70"/>
      <c r="M156" s="70"/>
      <c r="N156" s="70"/>
      <c r="O156" s="70"/>
      <c r="P156" s="70"/>
      <c r="Q156" s="70"/>
      <c r="R156" s="343"/>
      <c r="S156" s="201"/>
      <c r="T156" s="201"/>
      <c r="U156" s="58"/>
      <c r="V156" s="58"/>
      <c r="W156" s="20"/>
      <c r="X156" s="20"/>
      <c r="Y156" s="20"/>
      <c r="Z156" s="20"/>
      <c r="AA156" s="20"/>
      <c r="AB156" s="20"/>
      <c r="AC156" s="20"/>
      <c r="AD156" s="20"/>
      <c r="AE156" s="201"/>
      <c r="AF156" s="200"/>
      <c r="AG156" s="24"/>
      <c r="AH156" s="157"/>
      <c r="AI156" s="138"/>
      <c r="AJ156" s="24"/>
      <c r="AK156" s="24"/>
    </row>
    <row r="157" spans="1:37" x14ac:dyDescent="0.25">
      <c r="A157" s="281" t="s">
        <v>124</v>
      </c>
      <c r="B157" s="113">
        <f t="shared" ref="B157:H157" si="172">B136</f>
        <v>14.3</v>
      </c>
      <c r="C157" s="113">
        <f t="shared" si="172"/>
        <v>13.2</v>
      </c>
      <c r="D157" s="113">
        <f t="shared" si="172"/>
        <v>13</v>
      </c>
      <c r="E157" s="113">
        <f t="shared" si="172"/>
        <v>11.3</v>
      </c>
      <c r="F157" s="113">
        <f t="shared" si="172"/>
        <v>12.1</v>
      </c>
      <c r="G157" s="113">
        <f t="shared" si="172"/>
        <v>12.5</v>
      </c>
      <c r="H157" s="113">
        <f t="shared" si="172"/>
        <v>10.6</v>
      </c>
      <c r="I157" s="206">
        <f t="shared" ref="I157" si="173">I136</f>
        <v>8.9</v>
      </c>
      <c r="J157" s="201"/>
      <c r="K157" s="283"/>
      <c r="L157" s="283"/>
      <c r="M157" s="283"/>
      <c r="N157" s="283"/>
      <c r="O157" s="283"/>
      <c r="P157" s="283"/>
      <c r="Q157" s="283"/>
      <c r="R157" s="343"/>
      <c r="S157" s="201"/>
      <c r="T157" s="201"/>
      <c r="U157" s="58"/>
      <c r="V157" s="58"/>
      <c r="W157" s="20"/>
      <c r="X157" s="20"/>
      <c r="Y157" s="20"/>
      <c r="Z157" s="20"/>
      <c r="AA157" s="20"/>
      <c r="AB157" s="20"/>
      <c r="AC157" s="20"/>
      <c r="AD157" s="20"/>
      <c r="AE157" s="201"/>
      <c r="AF157" s="200"/>
      <c r="AG157" s="200"/>
      <c r="AH157" s="284"/>
      <c r="AI157" s="200"/>
      <c r="AJ157" s="200"/>
      <c r="AK157" s="200"/>
    </row>
    <row r="158" spans="1:37" x14ac:dyDescent="0.25">
      <c r="A158" s="281" t="s">
        <v>443</v>
      </c>
      <c r="B158" s="84">
        <f>B159-SUM(B153:B157)</f>
        <v>-166.43957681909041</v>
      </c>
      <c r="C158" s="84">
        <f t="shared" ref="C158:H158" si="174">C159-SUM(C153:C157)</f>
        <v>-123.90000000000009</v>
      </c>
      <c r="D158" s="84">
        <f t="shared" si="174"/>
        <v>-136.00000000000011</v>
      </c>
      <c r="E158" s="84">
        <f t="shared" si="174"/>
        <v>-121.50000000000007</v>
      </c>
      <c r="F158" s="84">
        <f t="shared" si="174"/>
        <v>-126.20000000000023</v>
      </c>
      <c r="G158" s="84">
        <f t="shared" si="174"/>
        <v>-115.6999999999999</v>
      </c>
      <c r="H158" s="84">
        <f t="shared" si="174"/>
        <v>-97.400000000000134</v>
      </c>
      <c r="I158" s="362">
        <f t="shared" ref="I158" si="175">I159-SUM(I153:I157)</f>
        <v>-139.50000000000011</v>
      </c>
      <c r="J158" s="201"/>
      <c r="K158" s="283"/>
      <c r="L158" s="283"/>
      <c r="M158" s="283"/>
      <c r="N158" s="283"/>
      <c r="O158" s="283"/>
      <c r="P158" s="283"/>
      <c r="Q158" s="283"/>
      <c r="R158" s="343"/>
      <c r="S158" s="201"/>
      <c r="T158" s="201"/>
      <c r="U158" s="58"/>
      <c r="V158" s="58"/>
      <c r="W158" s="20"/>
      <c r="X158" s="20"/>
      <c r="Y158" s="20"/>
      <c r="Z158" s="20"/>
      <c r="AA158" s="20"/>
      <c r="AB158" s="20"/>
      <c r="AC158" s="20"/>
      <c r="AD158" s="20"/>
      <c r="AE158" s="201"/>
      <c r="AF158" s="200"/>
      <c r="AG158" s="200"/>
      <c r="AH158" s="284"/>
      <c r="AI158" s="200"/>
      <c r="AJ158" s="200"/>
      <c r="AK158" s="200"/>
    </row>
    <row r="159" spans="1:37" ht="15.75" thickBot="1" x14ac:dyDescent="0.3">
      <c r="A159" s="285" t="s">
        <v>319</v>
      </c>
      <c r="B159" s="291">
        <f>B149</f>
        <v>77.900000000000219</v>
      </c>
      <c r="C159" s="291">
        <f t="shared" ref="C159:H159" si="176">C149</f>
        <v>101.19999999999993</v>
      </c>
      <c r="D159" s="291">
        <f t="shared" si="176"/>
        <v>102.9999999999999</v>
      </c>
      <c r="E159" s="291">
        <f t="shared" si="176"/>
        <v>127.09999999999989</v>
      </c>
      <c r="F159" s="291">
        <f t="shared" si="176"/>
        <v>115.30000000000005</v>
      </c>
      <c r="G159" s="291">
        <f t="shared" si="176"/>
        <v>78.299999999999983</v>
      </c>
      <c r="H159" s="291">
        <f t="shared" si="176"/>
        <v>101.79999999999991</v>
      </c>
      <c r="I159" s="292">
        <f t="shared" ref="I159" si="177">I149</f>
        <v>119.50000000000001</v>
      </c>
      <c r="J159" s="201"/>
      <c r="K159" s="283">
        <f t="shared" ref="K159:Q160" si="178">B159/$B$149</f>
        <v>1</v>
      </c>
      <c r="L159" s="283">
        <f t="shared" si="178"/>
        <v>1.2991014120667477</v>
      </c>
      <c r="M159" s="283">
        <f t="shared" si="178"/>
        <v>1.3222079589216895</v>
      </c>
      <c r="N159" s="283">
        <f t="shared" si="178"/>
        <v>1.631578947368415</v>
      </c>
      <c r="O159" s="283">
        <f t="shared" si="178"/>
        <v>1.4801026957637964</v>
      </c>
      <c r="P159" s="283">
        <f t="shared" si="178"/>
        <v>1.0051347881899841</v>
      </c>
      <c r="Q159" s="283">
        <f t="shared" si="178"/>
        <v>1.3068035943517282</v>
      </c>
      <c r="R159" s="343"/>
      <c r="S159" s="201"/>
      <c r="T159" s="201"/>
      <c r="U159" s="58"/>
      <c r="V159" s="58"/>
      <c r="W159" s="20"/>
      <c r="X159" s="20"/>
      <c r="Y159" s="20"/>
      <c r="Z159" s="20"/>
      <c r="AA159" s="20"/>
      <c r="AB159" s="20"/>
      <c r="AC159" s="20"/>
      <c r="AD159" s="20"/>
      <c r="AE159" s="201"/>
      <c r="AF159" s="200"/>
      <c r="AG159" s="200"/>
      <c r="AH159" s="284"/>
      <c r="AI159" s="200"/>
      <c r="AJ159" s="200"/>
      <c r="AK159" s="200"/>
    </row>
    <row r="160" spans="1:37" x14ac:dyDescent="0.25">
      <c r="A160" s="327" t="s">
        <v>135</v>
      </c>
      <c r="B160" s="61">
        <f t="shared" ref="B160:B165" si="179">C160+AG160+AH160-(AJ160+AK160)</f>
        <v>-112.10000000000001</v>
      </c>
      <c r="C160" s="29">
        <v>-105.3</v>
      </c>
      <c r="D160" s="29">
        <v>-125</v>
      </c>
      <c r="E160" s="29">
        <v>-69.8</v>
      </c>
      <c r="F160" s="29">
        <v>-37.200000000000003</v>
      </c>
      <c r="G160" s="29">
        <v>-109.7</v>
      </c>
      <c r="H160" s="29">
        <v>-67.5</v>
      </c>
      <c r="I160" s="336">
        <v>-49.9</v>
      </c>
      <c r="J160" s="57"/>
      <c r="K160" s="283">
        <f t="shared" si="178"/>
        <v>-1.4390243902438986</v>
      </c>
      <c r="L160" s="283">
        <f t="shared" si="178"/>
        <v>-1.3517329910141169</v>
      </c>
      <c r="M160" s="283">
        <f t="shared" si="178"/>
        <v>-1.604621309370984</v>
      </c>
      <c r="N160" s="283">
        <f t="shared" si="178"/>
        <v>-0.89602053915275737</v>
      </c>
      <c r="O160" s="283">
        <f t="shared" si="178"/>
        <v>-0.47753530166880487</v>
      </c>
      <c r="P160" s="283">
        <f t="shared" si="178"/>
        <v>-1.4082156611039756</v>
      </c>
      <c r="Q160" s="283">
        <f t="shared" si="178"/>
        <v>-0.86649550706033129</v>
      </c>
      <c r="R160" s="343"/>
      <c r="S160" s="57"/>
      <c r="T160" s="57"/>
      <c r="U160" s="58">
        <f>_xlfn.RRI(5.5,H160,B160)</f>
        <v>9.6616762210732787E-2</v>
      </c>
      <c r="V160" s="58">
        <f>_xlfn.RRI(5,H160,C160)</f>
        <v>9.3011973943858628E-2</v>
      </c>
      <c r="W160" s="58">
        <f t="shared" si="155"/>
        <v>0.25640737819807785</v>
      </c>
      <c r="X160" s="58">
        <f t="shared" ref="X160:AC160" si="180">(B160-C160)/C160</f>
        <v>6.457739791073136E-2</v>
      </c>
      <c r="Y160" s="58">
        <f t="shared" si="180"/>
        <v>-0.15760000000000002</v>
      </c>
      <c r="Z160" s="58">
        <f t="shared" si="180"/>
        <v>0.79083094555873934</v>
      </c>
      <c r="AA160" s="58">
        <f t="shared" si="180"/>
        <v>0.87634408602150515</v>
      </c>
      <c r="AB160" s="58">
        <f t="shared" si="180"/>
        <v>-0.66089334548769374</v>
      </c>
      <c r="AC160" s="58">
        <f t="shared" si="180"/>
        <v>0.62518518518518518</v>
      </c>
      <c r="AD160" s="58"/>
      <c r="AE160" s="57"/>
      <c r="AF160" s="61"/>
      <c r="AG160" s="8">
        <v>-32.200000000000003</v>
      </c>
      <c r="AH160" s="144">
        <v>-30.4</v>
      </c>
      <c r="AI160" s="135"/>
      <c r="AJ160" s="8">
        <v>-29.6</v>
      </c>
      <c r="AK160" s="8">
        <v>-26.2</v>
      </c>
    </row>
    <row r="161" spans="1:37" x14ac:dyDescent="0.25">
      <c r="A161" s="14" t="s">
        <v>136</v>
      </c>
      <c r="B161" s="61">
        <f t="shared" si="179"/>
        <v>0</v>
      </c>
      <c r="C161" s="8">
        <v>0</v>
      </c>
      <c r="D161" s="8">
        <v>0</v>
      </c>
      <c r="E161" s="8">
        <v>0</v>
      </c>
      <c r="F161" s="8">
        <v>0</v>
      </c>
      <c r="G161" s="8">
        <v>-264</v>
      </c>
      <c r="H161" s="8">
        <v>0</v>
      </c>
      <c r="I161" s="336">
        <v>0</v>
      </c>
      <c r="J161" s="57"/>
      <c r="K161" s="283"/>
      <c r="L161" s="283"/>
      <c r="M161" s="283"/>
      <c r="N161" s="283"/>
      <c r="O161" s="283"/>
      <c r="P161" s="283"/>
      <c r="Q161" s="283"/>
      <c r="R161" s="343"/>
      <c r="S161" s="57"/>
      <c r="T161" s="57"/>
      <c r="U161" s="58"/>
      <c r="V161" s="58"/>
      <c r="W161" s="58"/>
      <c r="X161" s="58"/>
      <c r="Y161" s="58"/>
      <c r="Z161" s="58"/>
      <c r="AA161" s="58"/>
      <c r="AB161" s="58"/>
      <c r="AC161" s="58"/>
      <c r="AD161" s="58"/>
      <c r="AE161" s="57"/>
      <c r="AF161" s="61"/>
      <c r="AG161" s="61">
        <v>0</v>
      </c>
      <c r="AH161" s="145">
        <v>0</v>
      </c>
      <c r="AI161" s="61"/>
      <c r="AJ161" s="61">
        <v>0</v>
      </c>
      <c r="AK161" s="61">
        <v>0</v>
      </c>
    </row>
    <row r="162" spans="1:37" x14ac:dyDescent="0.25">
      <c r="A162" s="14" t="s">
        <v>137</v>
      </c>
      <c r="B162" s="61">
        <f t="shared" si="179"/>
        <v>0.20000000000000007</v>
      </c>
      <c r="C162" s="8">
        <v>0.8</v>
      </c>
      <c r="D162" s="8">
        <v>6.1</v>
      </c>
      <c r="E162" s="8">
        <v>0.7</v>
      </c>
      <c r="F162" s="8">
        <v>3</v>
      </c>
      <c r="G162" s="8">
        <v>1.5</v>
      </c>
      <c r="H162" s="8">
        <v>0</v>
      </c>
      <c r="I162" s="336">
        <v>0</v>
      </c>
      <c r="J162" s="57"/>
      <c r="K162" s="283">
        <f t="shared" ref="K162:Q162" si="181">B162/$B$149</f>
        <v>2.5673940949935753E-3</v>
      </c>
      <c r="L162" s="283">
        <f t="shared" si="181"/>
        <v>1.0269576379974298E-2</v>
      </c>
      <c r="M162" s="283">
        <f t="shared" si="181"/>
        <v>7.8305519897304013E-2</v>
      </c>
      <c r="N162" s="283">
        <f t="shared" si="181"/>
        <v>8.9858793324775095E-3</v>
      </c>
      <c r="O162" s="283">
        <f t="shared" si="181"/>
        <v>3.8510911424903614E-2</v>
      </c>
      <c r="P162" s="283">
        <f t="shared" si="181"/>
        <v>1.9255455712451807E-2</v>
      </c>
      <c r="Q162" s="283">
        <f t="shared" si="181"/>
        <v>0</v>
      </c>
      <c r="R162" s="343"/>
      <c r="S162" s="57"/>
      <c r="T162" s="57"/>
      <c r="U162" s="58"/>
      <c r="V162" s="58"/>
      <c r="W162" s="58"/>
      <c r="X162" s="58">
        <f>(B162-C162)/C162</f>
        <v>-0.74999999999999989</v>
      </c>
      <c r="Y162" s="58">
        <f>(C162-D162)/D162</f>
        <v>-0.86885245901639352</v>
      </c>
      <c r="Z162" s="58">
        <f>(D162-E162)/E162</f>
        <v>7.7142857142857144</v>
      </c>
      <c r="AA162" s="58">
        <f>(E162-F162)/F162</f>
        <v>-0.76666666666666661</v>
      </c>
      <c r="AB162" s="58">
        <f>(F162-G162)/G162</f>
        <v>1</v>
      </c>
      <c r="AC162" s="58"/>
      <c r="AD162" s="58"/>
      <c r="AE162" s="57"/>
      <c r="AF162" s="61"/>
      <c r="AG162" s="8">
        <v>0.1</v>
      </c>
      <c r="AH162" s="144">
        <v>0</v>
      </c>
      <c r="AI162" s="135"/>
      <c r="AJ162" s="8">
        <v>0.3</v>
      </c>
      <c r="AK162" s="8">
        <v>0.4</v>
      </c>
    </row>
    <row r="163" spans="1:37" x14ac:dyDescent="0.25">
      <c r="A163" s="14" t="s">
        <v>138</v>
      </c>
      <c r="B163" s="61">
        <f t="shared" si="179"/>
        <v>0</v>
      </c>
      <c r="C163" s="8">
        <v>0</v>
      </c>
      <c r="D163" s="8">
        <v>0</v>
      </c>
      <c r="E163" s="8">
        <v>0</v>
      </c>
      <c r="F163" s="8">
        <v>0</v>
      </c>
      <c r="G163" s="8">
        <v>0</v>
      </c>
      <c r="H163" s="8">
        <v>9.5</v>
      </c>
      <c r="I163" s="336">
        <v>0</v>
      </c>
      <c r="J163" s="57"/>
      <c r="K163" s="283"/>
      <c r="L163" s="283"/>
      <c r="M163" s="283"/>
      <c r="N163" s="283"/>
      <c r="O163" s="283"/>
      <c r="P163" s="283"/>
      <c r="Q163" s="283"/>
      <c r="R163" s="343"/>
      <c r="S163" s="57"/>
      <c r="T163" s="57"/>
      <c r="U163" s="58"/>
      <c r="V163" s="58"/>
      <c r="W163" s="58"/>
      <c r="X163" s="58"/>
      <c r="Y163" s="58"/>
      <c r="Z163" s="58"/>
      <c r="AA163" s="58"/>
      <c r="AB163" s="58"/>
      <c r="AC163" s="58"/>
      <c r="AD163" s="58"/>
      <c r="AE163" s="57"/>
      <c r="AF163" s="61"/>
      <c r="AG163" s="61">
        <v>0</v>
      </c>
      <c r="AH163" s="145">
        <v>0</v>
      </c>
      <c r="AI163" s="61"/>
      <c r="AJ163" s="61">
        <v>0</v>
      </c>
      <c r="AK163" s="61">
        <v>0</v>
      </c>
    </row>
    <row r="164" spans="1:37" x14ac:dyDescent="0.25">
      <c r="A164" s="14" t="s">
        <v>139</v>
      </c>
      <c r="B164" s="61">
        <f t="shared" si="179"/>
        <v>2.3000000000000007</v>
      </c>
      <c r="C164" s="8">
        <v>4.4000000000000004</v>
      </c>
      <c r="D164" s="8">
        <v>29.4</v>
      </c>
      <c r="E164" s="8">
        <v>74.7</v>
      </c>
      <c r="F164" s="8">
        <v>0.4</v>
      </c>
      <c r="G164" s="8">
        <v>-4.2</v>
      </c>
      <c r="H164" s="8">
        <v>1.5</v>
      </c>
      <c r="I164" s="336">
        <v>-3.8</v>
      </c>
      <c r="J164" s="57"/>
      <c r="K164" s="283">
        <f t="shared" ref="K164:Q166" si="182">B164/$B$149</f>
        <v>2.9525032092426115E-2</v>
      </c>
      <c r="L164" s="283">
        <f t="shared" si="182"/>
        <v>5.648267008985864E-2</v>
      </c>
      <c r="M164" s="283">
        <f t="shared" si="182"/>
        <v>0.37740693196405539</v>
      </c>
      <c r="N164" s="283">
        <f t="shared" si="182"/>
        <v>0.95892169448010001</v>
      </c>
      <c r="O164" s="283">
        <f t="shared" si="182"/>
        <v>5.1347881899871488E-3</v>
      </c>
      <c r="P164" s="283">
        <f t="shared" si="182"/>
        <v>-5.3915275994865064E-2</v>
      </c>
      <c r="Q164" s="283">
        <f t="shared" si="182"/>
        <v>1.9255455712451807E-2</v>
      </c>
      <c r="R164" s="343"/>
      <c r="S164" s="57"/>
      <c r="T164" s="57"/>
      <c r="U164" s="58">
        <f>_xlfn.RRI(5.5,H164,B164)</f>
        <v>8.0816845416358252E-2</v>
      </c>
      <c r="V164" s="58">
        <f>_xlfn.RRI(5,H164,C164)</f>
        <v>0.2401444770294936</v>
      </c>
      <c r="W164" s="58">
        <f t="shared" si="155"/>
        <v>29.820120556437246</v>
      </c>
      <c r="X164" s="58">
        <f t="shared" ref="X164:AC164" si="183">(B164-C164)/C164</f>
        <v>-0.47727272727272713</v>
      </c>
      <c r="Y164" s="58">
        <f t="shared" si="183"/>
        <v>-0.85034013605442182</v>
      </c>
      <c r="Z164" s="58">
        <f t="shared" si="183"/>
        <v>-0.60642570281124497</v>
      </c>
      <c r="AA164" s="58">
        <f t="shared" si="183"/>
        <v>185.74999999999997</v>
      </c>
      <c r="AB164" s="58">
        <f t="shared" si="183"/>
        <v>-1.0952380952380953</v>
      </c>
      <c r="AC164" s="58">
        <f t="shared" si="183"/>
        <v>-3.8000000000000003</v>
      </c>
      <c r="AD164" s="58"/>
      <c r="AE164" s="57"/>
      <c r="AF164" s="61"/>
      <c r="AG164" s="8">
        <v>0</v>
      </c>
      <c r="AH164" s="144">
        <v>1.9</v>
      </c>
      <c r="AI164" s="135"/>
      <c r="AJ164" s="8">
        <v>0.2</v>
      </c>
      <c r="AK164" s="8">
        <v>3.8</v>
      </c>
    </row>
    <row r="165" spans="1:37" x14ac:dyDescent="0.25">
      <c r="A165" s="14" t="s">
        <v>140</v>
      </c>
      <c r="B165" s="66">
        <f t="shared" si="179"/>
        <v>-14.7</v>
      </c>
      <c r="C165" s="23">
        <v>-14.7</v>
      </c>
      <c r="D165" s="23">
        <v>0</v>
      </c>
      <c r="E165" s="23">
        <v>0</v>
      </c>
      <c r="F165" s="23">
        <v>0</v>
      </c>
      <c r="G165" s="23">
        <v>0</v>
      </c>
      <c r="H165" s="23">
        <v>0</v>
      </c>
      <c r="I165" s="341">
        <v>0</v>
      </c>
      <c r="J165" s="57"/>
      <c r="K165" s="293">
        <f t="shared" si="182"/>
        <v>-0.1887034659820277</v>
      </c>
      <c r="L165" s="293">
        <f t="shared" si="182"/>
        <v>-0.1887034659820277</v>
      </c>
      <c r="M165" s="293">
        <f t="shared" si="182"/>
        <v>0</v>
      </c>
      <c r="N165" s="293">
        <f t="shared" si="182"/>
        <v>0</v>
      </c>
      <c r="O165" s="293">
        <f t="shared" si="182"/>
        <v>0</v>
      </c>
      <c r="P165" s="293">
        <f t="shared" si="182"/>
        <v>0</v>
      </c>
      <c r="Q165" s="293">
        <f t="shared" si="182"/>
        <v>0</v>
      </c>
      <c r="R165" s="343"/>
      <c r="S165" s="57"/>
      <c r="T165" s="57"/>
      <c r="U165" s="59"/>
      <c r="V165" s="59"/>
      <c r="W165" s="59"/>
      <c r="X165" s="59"/>
      <c r="Y165" s="59"/>
      <c r="Z165" s="59"/>
      <c r="AA165" s="59"/>
      <c r="AB165" s="59"/>
      <c r="AC165" s="59"/>
      <c r="AD165" s="80"/>
      <c r="AE165" s="57"/>
      <c r="AF165" s="67"/>
      <c r="AG165" s="67">
        <v>0</v>
      </c>
      <c r="AH165" s="161">
        <v>0</v>
      </c>
      <c r="AI165" s="67"/>
      <c r="AJ165" s="67">
        <v>0</v>
      </c>
      <c r="AK165" s="67">
        <v>0</v>
      </c>
    </row>
    <row r="166" spans="1:37" x14ac:dyDescent="0.25">
      <c r="A166" s="6" t="s">
        <v>448</v>
      </c>
      <c r="B166" s="24">
        <f>SUM(B160:B165)</f>
        <v>-124.30000000000001</v>
      </c>
      <c r="C166" s="24">
        <f>SUM(C160:C165)</f>
        <v>-114.8</v>
      </c>
      <c r="D166" s="24">
        <f t="shared" ref="D166:I166" si="184">SUM(D160:D165)</f>
        <v>-89.5</v>
      </c>
      <c r="E166" s="24">
        <f t="shared" si="184"/>
        <v>5.6000000000000085</v>
      </c>
      <c r="F166" s="24">
        <f t="shared" si="184"/>
        <v>-33.800000000000004</v>
      </c>
      <c r="G166" s="24">
        <f t="shared" si="184"/>
        <v>-376.4</v>
      </c>
      <c r="H166" s="24">
        <f t="shared" si="184"/>
        <v>-56.5</v>
      </c>
      <c r="I166" s="24">
        <f t="shared" si="184"/>
        <v>-53.699999999999996</v>
      </c>
      <c r="J166" s="57"/>
      <c r="K166" s="283">
        <f t="shared" si="182"/>
        <v>-1.5956354300385065</v>
      </c>
      <c r="L166" s="283">
        <f t="shared" si="182"/>
        <v>-1.4736842105263117</v>
      </c>
      <c r="M166" s="283">
        <f t="shared" si="182"/>
        <v>-1.1489088575096245</v>
      </c>
      <c r="N166" s="283">
        <f t="shared" si="182"/>
        <v>7.1887034659820187E-2</v>
      </c>
      <c r="O166" s="283">
        <f t="shared" si="182"/>
        <v>-0.43388960205391414</v>
      </c>
      <c r="P166" s="283">
        <f t="shared" si="182"/>
        <v>-4.8318356867779064</v>
      </c>
      <c r="Q166" s="283">
        <f t="shared" si="182"/>
        <v>-0.72528883183568471</v>
      </c>
      <c r="R166" s="343"/>
      <c r="S166" s="57"/>
      <c r="T166" s="57"/>
      <c r="U166" s="58">
        <f>_xlfn.RRI(5.5,H166,B166)</f>
        <v>0.15414046837008022</v>
      </c>
      <c r="V166" s="58">
        <f>_xlfn.RRI(5,H166,C166)</f>
        <v>0.15233482776686635</v>
      </c>
      <c r="W166" s="20">
        <f t="shared" si="155"/>
        <v>-2.1717740272055299</v>
      </c>
      <c r="X166" s="20">
        <f t="shared" ref="X166:AC166" si="185">(B166-C166)/C166</f>
        <v>8.2752613240418244E-2</v>
      </c>
      <c r="Y166" s="20">
        <f t="shared" si="185"/>
        <v>0.28268156424581004</v>
      </c>
      <c r="Z166" s="20">
        <f t="shared" si="185"/>
        <v>-16.982142857142833</v>
      </c>
      <c r="AA166" s="20">
        <f t="shared" si="185"/>
        <v>-1.1656804733727812</v>
      </c>
      <c r="AB166" s="20">
        <f t="shared" si="185"/>
        <v>-0.91020191285866092</v>
      </c>
      <c r="AC166" s="20">
        <f t="shared" si="185"/>
        <v>5.6619469026548668</v>
      </c>
      <c r="AD166" s="20"/>
      <c r="AE166" s="57"/>
      <c r="AF166" s="61"/>
      <c r="AG166" s="56">
        <f>SUM(AG160:AG165)</f>
        <v>-32.1</v>
      </c>
      <c r="AH166" s="147">
        <f t="shared" ref="AH166:AK166" si="186">SUM(AH160:AH165)</f>
        <v>-28.5</v>
      </c>
      <c r="AI166" s="56"/>
      <c r="AJ166" s="56">
        <f t="shared" si="186"/>
        <v>-29.1</v>
      </c>
      <c r="AK166" s="56">
        <f t="shared" si="186"/>
        <v>-22</v>
      </c>
    </row>
    <row r="167" spans="1:37" x14ac:dyDescent="0.25">
      <c r="A167" s="14" t="s">
        <v>142</v>
      </c>
      <c r="B167" s="61">
        <f t="shared" ref="B167:B176" si="187">C167+AG167+AH167-(AJ167+AK167)</f>
        <v>0</v>
      </c>
      <c r="C167" s="8">
        <v>0</v>
      </c>
      <c r="D167" s="8">
        <v>0</v>
      </c>
      <c r="E167" s="8">
        <v>-57.3</v>
      </c>
      <c r="F167" s="8">
        <v>-61.1</v>
      </c>
      <c r="G167" s="8">
        <v>0</v>
      </c>
      <c r="H167" s="8">
        <v>0</v>
      </c>
      <c r="I167" s="336"/>
      <c r="J167" s="57"/>
      <c r="K167" s="283"/>
      <c r="L167" s="283"/>
      <c r="M167" s="283"/>
      <c r="N167" s="283"/>
      <c r="O167" s="283"/>
      <c r="P167" s="283"/>
      <c r="Q167" s="283"/>
      <c r="R167" s="343"/>
      <c r="S167" s="57"/>
      <c r="T167" s="57"/>
      <c r="U167" s="58"/>
      <c r="V167" s="58"/>
      <c r="W167" s="58"/>
      <c r="X167" s="58"/>
      <c r="Y167" s="58"/>
      <c r="Z167" s="58"/>
      <c r="AA167" s="58"/>
      <c r="AB167" s="58"/>
      <c r="AC167" s="58"/>
      <c r="AD167" s="58"/>
      <c r="AE167" s="57"/>
      <c r="AF167" s="61"/>
      <c r="AG167" s="61">
        <v>0</v>
      </c>
      <c r="AH167" s="145">
        <v>0</v>
      </c>
      <c r="AI167" s="61"/>
      <c r="AJ167" s="61">
        <v>0</v>
      </c>
      <c r="AK167" s="61">
        <v>0</v>
      </c>
    </row>
    <row r="168" spans="1:37" x14ac:dyDescent="0.25">
      <c r="A168" s="14" t="s">
        <v>143</v>
      </c>
      <c r="B168" s="61">
        <f t="shared" si="187"/>
        <v>186.39999999999998</v>
      </c>
      <c r="C168" s="8">
        <v>38.299999999999997</v>
      </c>
      <c r="D168" s="8">
        <v>15.2</v>
      </c>
      <c r="E168" s="8">
        <v>0</v>
      </c>
      <c r="F168" s="8">
        <v>0</v>
      </c>
      <c r="G168" s="8">
        <v>234.9</v>
      </c>
      <c r="H168" s="8">
        <v>705.4</v>
      </c>
      <c r="I168" s="336">
        <v>595.70000000000005</v>
      </c>
      <c r="J168" s="57"/>
      <c r="K168" s="283"/>
      <c r="L168" s="283"/>
      <c r="M168" s="283"/>
      <c r="N168" s="283"/>
      <c r="O168" s="283"/>
      <c r="P168" s="283"/>
      <c r="Q168" s="283"/>
      <c r="R168" s="343"/>
      <c r="S168" s="57"/>
      <c r="T168" s="57"/>
      <c r="U168" s="58"/>
      <c r="V168" s="58"/>
      <c r="W168" s="58"/>
      <c r="X168" s="58"/>
      <c r="Y168" s="58"/>
      <c r="Z168" s="58"/>
      <c r="AA168" s="58"/>
      <c r="AB168" s="58"/>
      <c r="AC168" s="58"/>
      <c r="AD168" s="58"/>
      <c r="AE168" s="57"/>
      <c r="AF168" s="61"/>
      <c r="AG168" s="8">
        <v>139.6</v>
      </c>
      <c r="AH168" s="144">
        <v>63.5</v>
      </c>
      <c r="AI168" s="135"/>
      <c r="AJ168" s="8">
        <v>7.6</v>
      </c>
      <c r="AK168" s="8">
        <v>47.4</v>
      </c>
    </row>
    <row r="169" spans="1:37" x14ac:dyDescent="0.25">
      <c r="A169" s="14" t="s">
        <v>144</v>
      </c>
      <c r="B169" s="61">
        <f t="shared" si="187"/>
        <v>0</v>
      </c>
      <c r="C169" s="8">
        <v>0</v>
      </c>
      <c r="D169" s="8">
        <v>0</v>
      </c>
      <c r="E169" s="8">
        <v>0</v>
      </c>
      <c r="F169" s="8">
        <v>0</v>
      </c>
      <c r="G169" s="8">
        <v>0</v>
      </c>
      <c r="H169" s="8">
        <v>-651.1</v>
      </c>
      <c r="I169" s="336">
        <v>-625.4</v>
      </c>
      <c r="J169" s="57"/>
      <c r="K169" s="283"/>
      <c r="L169" s="283"/>
      <c r="M169" s="283"/>
      <c r="N169" s="283"/>
      <c r="O169" s="283"/>
      <c r="P169" s="283"/>
      <c r="Q169" s="283"/>
      <c r="R169" s="343"/>
      <c r="S169" s="57"/>
      <c r="T169" s="57"/>
      <c r="U169" s="58"/>
      <c r="V169" s="58"/>
      <c r="W169" s="58"/>
      <c r="X169" s="58"/>
      <c r="Y169" s="58"/>
      <c r="Z169" s="58"/>
      <c r="AA169" s="58"/>
      <c r="AB169" s="58"/>
      <c r="AC169" s="58"/>
      <c r="AD169" s="58"/>
      <c r="AE169" s="57"/>
      <c r="AF169" s="61"/>
      <c r="AG169" s="8">
        <v>0</v>
      </c>
      <c r="AH169" s="144">
        <v>0</v>
      </c>
      <c r="AI169" s="135"/>
      <c r="AJ169" s="8">
        <v>0</v>
      </c>
      <c r="AK169" s="8">
        <v>0</v>
      </c>
    </row>
    <row r="170" spans="1:37" x14ac:dyDescent="0.25">
      <c r="A170" s="14" t="s">
        <v>145</v>
      </c>
      <c r="B170" s="61">
        <f t="shared" si="187"/>
        <v>388</v>
      </c>
      <c r="C170" s="190">
        <v>0</v>
      </c>
      <c r="D170" s="190">
        <v>0</v>
      </c>
      <c r="E170" s="190">
        <v>0</v>
      </c>
      <c r="F170" s="190">
        <v>0</v>
      </c>
      <c r="G170" s="190">
        <v>100</v>
      </c>
      <c r="H170" s="190">
        <v>500</v>
      </c>
      <c r="I170" s="336">
        <v>0</v>
      </c>
      <c r="J170" s="57"/>
      <c r="K170" s="283"/>
      <c r="L170" s="283"/>
      <c r="M170" s="283"/>
      <c r="N170" s="283"/>
      <c r="O170" s="283"/>
      <c r="P170" s="283"/>
      <c r="Q170" s="283"/>
      <c r="R170" s="343"/>
      <c r="S170" s="57"/>
      <c r="T170" s="57"/>
      <c r="U170" s="58"/>
      <c r="V170" s="58"/>
      <c r="W170" s="58"/>
      <c r="X170" s="58"/>
      <c r="Y170" s="58"/>
      <c r="Z170" s="58"/>
      <c r="AA170" s="58"/>
      <c r="AB170" s="58"/>
      <c r="AC170" s="58"/>
      <c r="AD170" s="58"/>
      <c r="AE170" s="57"/>
      <c r="AF170" s="61"/>
      <c r="AG170" s="8">
        <v>388</v>
      </c>
      <c r="AH170" s="144">
        <v>0</v>
      </c>
      <c r="AI170" s="135"/>
      <c r="AJ170" s="8">
        <v>0</v>
      </c>
      <c r="AK170" s="8">
        <v>0</v>
      </c>
    </row>
    <row r="171" spans="1:37" x14ac:dyDescent="0.25">
      <c r="A171" s="188" t="s">
        <v>146</v>
      </c>
      <c r="B171" s="61">
        <f t="shared" si="187"/>
        <v>-501</v>
      </c>
      <c r="C171" s="113">
        <v>-2</v>
      </c>
      <c r="D171" s="113">
        <v>-10.1</v>
      </c>
      <c r="E171" s="113">
        <v>-70.7</v>
      </c>
      <c r="F171" s="113">
        <v>-29.7</v>
      </c>
      <c r="G171" s="113">
        <v>-20.3</v>
      </c>
      <c r="H171" s="113">
        <v>-546.70000000000005</v>
      </c>
      <c r="I171" s="336">
        <v>-31.7</v>
      </c>
      <c r="J171" s="57"/>
      <c r="K171" s="283">
        <f t="shared" ref="K171:Q174" si="188">B171/$B$149</f>
        <v>-6.4313222079589032</v>
      </c>
      <c r="L171" s="283">
        <f t="shared" si="188"/>
        <v>-2.5673940949935744E-2</v>
      </c>
      <c r="M171" s="283">
        <f t="shared" si="188"/>
        <v>-0.12965340179717549</v>
      </c>
      <c r="N171" s="283">
        <f t="shared" si="188"/>
        <v>-0.90757381258022851</v>
      </c>
      <c r="O171" s="283">
        <f t="shared" si="188"/>
        <v>-0.38125802310654577</v>
      </c>
      <c r="P171" s="283">
        <f t="shared" si="188"/>
        <v>-0.2605905006418478</v>
      </c>
      <c r="Q171" s="283">
        <f t="shared" si="188"/>
        <v>-7.0179717586649355</v>
      </c>
      <c r="R171" s="343"/>
      <c r="S171" s="57"/>
      <c r="T171" s="57"/>
      <c r="U171" s="58">
        <f>_xlfn.RRI(5.5,H171,B171)</f>
        <v>-1.5746364432463134E-2</v>
      </c>
      <c r="V171" s="58">
        <f>_xlfn.RRI(5,H171,C171)</f>
        <v>-0.67442115035885153</v>
      </c>
      <c r="W171" s="58">
        <f t="shared" si="155"/>
        <v>41.453589065783859</v>
      </c>
      <c r="X171" s="58">
        <f t="shared" ref="X171:AC171" si="189">(B171-C171)/C171</f>
        <v>249.5</v>
      </c>
      <c r="Y171" s="58">
        <f t="shared" si="189"/>
        <v>-0.80198019801980203</v>
      </c>
      <c r="Z171" s="58">
        <f t="shared" si="189"/>
        <v>-0.8571428571428571</v>
      </c>
      <c r="AA171" s="58">
        <f t="shared" si="189"/>
        <v>1.3804713804713804</v>
      </c>
      <c r="AB171" s="58">
        <f t="shared" si="189"/>
        <v>0.46305418719211816</v>
      </c>
      <c r="AC171" s="58">
        <f t="shared" si="189"/>
        <v>-0.96286811779769532</v>
      </c>
      <c r="AD171" s="58"/>
      <c r="AE171" s="57"/>
      <c r="AF171" s="61"/>
      <c r="AG171" s="8">
        <v>-501</v>
      </c>
      <c r="AH171" s="144">
        <v>0</v>
      </c>
      <c r="AI171" s="135"/>
      <c r="AJ171" s="8">
        <v>0</v>
      </c>
      <c r="AK171" s="8">
        <v>-2</v>
      </c>
    </row>
    <row r="172" spans="1:37" x14ac:dyDescent="0.25">
      <c r="A172" s="14" t="s">
        <v>147</v>
      </c>
      <c r="B172" s="61">
        <f t="shared" si="187"/>
        <v>2.2000000000000002</v>
      </c>
      <c r="C172" s="29">
        <v>1.1000000000000001</v>
      </c>
      <c r="D172" s="29">
        <v>2.4</v>
      </c>
      <c r="E172" s="29">
        <v>1.1000000000000001</v>
      </c>
      <c r="F172" s="29">
        <v>4</v>
      </c>
      <c r="G172" s="29">
        <v>2.9</v>
      </c>
      <c r="H172" s="29">
        <v>2.7</v>
      </c>
      <c r="I172" s="336">
        <v>0.4</v>
      </c>
      <c r="J172" s="57"/>
      <c r="K172" s="283">
        <f t="shared" si="188"/>
        <v>2.824133504492932E-2</v>
      </c>
      <c r="L172" s="283">
        <f t="shared" si="188"/>
        <v>1.412066752246466E-2</v>
      </c>
      <c r="M172" s="283">
        <f t="shared" si="188"/>
        <v>3.0808729139922889E-2</v>
      </c>
      <c r="N172" s="283">
        <f t="shared" si="188"/>
        <v>1.412066752246466E-2</v>
      </c>
      <c r="O172" s="283">
        <f t="shared" si="188"/>
        <v>5.1347881899871488E-2</v>
      </c>
      <c r="P172" s="283">
        <f t="shared" si="188"/>
        <v>3.722721437740683E-2</v>
      </c>
      <c r="Q172" s="283">
        <f t="shared" si="188"/>
        <v>3.4659820282413253E-2</v>
      </c>
      <c r="R172" s="343"/>
      <c r="S172" s="57"/>
      <c r="T172" s="57"/>
      <c r="U172" s="58">
        <f>_xlfn.RRI(5.5,H172,B172)</f>
        <v>-3.6550636978585738E-2</v>
      </c>
      <c r="V172" s="58">
        <f>_xlfn.RRI(5,H172,C172)</f>
        <v>-0.16438585262196659</v>
      </c>
      <c r="W172" s="58"/>
      <c r="X172" s="58"/>
      <c r="Y172" s="58"/>
      <c r="Z172" s="58">
        <f t="shared" ref="Z172:AC174" si="190">(D172-E172)/E172</f>
        <v>1.1818181818181817</v>
      </c>
      <c r="AA172" s="58">
        <f t="shared" si="190"/>
        <v>-0.72499999999999998</v>
      </c>
      <c r="AB172" s="58">
        <f t="shared" si="190"/>
        <v>0.37931034482758624</v>
      </c>
      <c r="AC172" s="58">
        <f t="shared" si="190"/>
        <v>7.4074074074073973E-2</v>
      </c>
      <c r="AD172" s="58"/>
      <c r="AE172" s="57"/>
      <c r="AF172" s="61"/>
      <c r="AG172" s="8">
        <v>0.6</v>
      </c>
      <c r="AH172" s="144">
        <v>1.2</v>
      </c>
      <c r="AI172" s="135"/>
      <c r="AJ172" s="8">
        <v>0.4</v>
      </c>
      <c r="AK172" s="8">
        <v>0.3</v>
      </c>
    </row>
    <row r="173" spans="1:37" x14ac:dyDescent="0.25">
      <c r="A173" s="14" t="s">
        <v>148</v>
      </c>
      <c r="B173" s="61">
        <f t="shared" si="187"/>
        <v>-11.000000000000004</v>
      </c>
      <c r="C173" s="8">
        <v>-23.6</v>
      </c>
      <c r="D173" s="8">
        <v>-11.5</v>
      </c>
      <c r="E173" s="8">
        <v>-1.6</v>
      </c>
      <c r="F173" s="8">
        <v>-0.9</v>
      </c>
      <c r="G173" s="8">
        <v>-31.8</v>
      </c>
      <c r="H173" s="8">
        <v>-5.2</v>
      </c>
      <c r="I173" s="336">
        <v>-0.3</v>
      </c>
      <c r="J173" s="57"/>
      <c r="K173" s="283">
        <f t="shared" si="188"/>
        <v>-0.14120667522464664</v>
      </c>
      <c r="L173" s="283">
        <f t="shared" si="188"/>
        <v>-0.30295250320924177</v>
      </c>
      <c r="M173" s="283">
        <f t="shared" si="188"/>
        <v>-0.14762516046213053</v>
      </c>
      <c r="N173" s="283">
        <f t="shared" si="188"/>
        <v>-2.0539152759948595E-2</v>
      </c>
      <c r="O173" s="283">
        <f t="shared" si="188"/>
        <v>-1.1553273427471084E-2</v>
      </c>
      <c r="P173" s="283">
        <f t="shared" si="188"/>
        <v>-0.40821566110397833</v>
      </c>
      <c r="Q173" s="283">
        <f t="shared" si="188"/>
        <v>-6.6752246469832938E-2</v>
      </c>
      <c r="R173" s="343"/>
      <c r="S173" s="57"/>
      <c r="T173" s="57"/>
      <c r="U173" s="58">
        <f>_xlfn.RRI(5.5,H173,B173)</f>
        <v>0.14593952334231264</v>
      </c>
      <c r="V173" s="58">
        <f>_xlfn.RRI(5,H173,C173)</f>
        <v>0.35326151701018493</v>
      </c>
      <c r="W173" s="58">
        <f t="shared" si="155"/>
        <v>1.9378733146522631</v>
      </c>
      <c r="X173" s="58">
        <f>(B173-C173)/C173</f>
        <v>-0.53389830508474567</v>
      </c>
      <c r="Y173" s="58">
        <f>(C173-D173)/D173</f>
        <v>1.0521739130434784</v>
      </c>
      <c r="Z173" s="58">
        <f t="shared" si="190"/>
        <v>6.1875</v>
      </c>
      <c r="AA173" s="58">
        <f t="shared" si="190"/>
        <v>0.77777777777777779</v>
      </c>
      <c r="AB173" s="58">
        <f t="shared" si="190"/>
        <v>-0.97169811320754718</v>
      </c>
      <c r="AC173" s="58">
        <f t="shared" si="190"/>
        <v>5.1153846153846159</v>
      </c>
      <c r="AD173" s="58"/>
      <c r="AE173" s="57"/>
      <c r="AF173" s="61"/>
      <c r="AG173" s="8">
        <v>-0.1</v>
      </c>
      <c r="AH173" s="144">
        <v>-5.8</v>
      </c>
      <c r="AI173" s="135"/>
      <c r="AJ173" s="8">
        <v>-7.4</v>
      </c>
      <c r="AK173" s="8">
        <v>-11.1</v>
      </c>
    </row>
    <row r="174" spans="1:37" x14ac:dyDescent="0.25">
      <c r="A174" s="14" t="s">
        <v>149</v>
      </c>
      <c r="B174" s="61">
        <f t="shared" si="187"/>
        <v>-5.0999999999999996</v>
      </c>
      <c r="C174" s="8">
        <v>-4.8</v>
      </c>
      <c r="D174" s="8">
        <v>0</v>
      </c>
      <c r="E174" s="8">
        <v>-0.2</v>
      </c>
      <c r="F174" s="8">
        <v>-1</v>
      </c>
      <c r="G174" s="8">
        <v>-2.9</v>
      </c>
      <c r="H174" s="8">
        <v>-11</v>
      </c>
      <c r="I174" s="336">
        <v>0</v>
      </c>
      <c r="J174" s="57"/>
      <c r="K174" s="283">
        <f t="shared" si="188"/>
        <v>-6.5468549422336139E-2</v>
      </c>
      <c r="L174" s="283">
        <f t="shared" si="188"/>
        <v>-6.1617458279845778E-2</v>
      </c>
      <c r="M174" s="283">
        <f t="shared" si="188"/>
        <v>0</v>
      </c>
      <c r="N174" s="283">
        <f t="shared" si="188"/>
        <v>-2.5673940949935744E-3</v>
      </c>
      <c r="O174" s="283">
        <f t="shared" si="188"/>
        <v>-1.2836970474967872E-2</v>
      </c>
      <c r="P174" s="283">
        <f t="shared" si="188"/>
        <v>-3.722721437740683E-2</v>
      </c>
      <c r="Q174" s="283">
        <f t="shared" si="188"/>
        <v>-0.14120667522464658</v>
      </c>
      <c r="R174" s="343"/>
      <c r="S174" s="57"/>
      <c r="T174" s="57"/>
      <c r="U174" s="58">
        <f>_xlfn.RRI(5.5,H174,B174)</f>
        <v>-0.13042909879639941</v>
      </c>
      <c r="V174" s="58">
        <f>_xlfn.RRI(5,H174,C174)</f>
        <v>-0.15283167306600776</v>
      </c>
      <c r="W174" s="58"/>
      <c r="X174" s="58">
        <f>(B174-C174)/C174</f>
        <v>6.2499999999999965E-2</v>
      </c>
      <c r="Y174" s="58"/>
      <c r="Z174" s="58">
        <f t="shared" si="190"/>
        <v>-1</v>
      </c>
      <c r="AA174" s="58">
        <f t="shared" si="190"/>
        <v>-0.8</v>
      </c>
      <c r="AB174" s="58">
        <f t="shared" si="190"/>
        <v>-0.65517241379310343</v>
      </c>
      <c r="AC174" s="58">
        <f t="shared" si="190"/>
        <v>-0.73636363636363633</v>
      </c>
      <c r="AD174" s="58"/>
      <c r="AE174" s="57"/>
      <c r="AF174" s="61"/>
      <c r="AG174" s="8">
        <v>-4.0999999999999996</v>
      </c>
      <c r="AH174" s="144">
        <v>-0.8</v>
      </c>
      <c r="AI174" s="135"/>
      <c r="AJ174" s="8">
        <v>-4.5</v>
      </c>
      <c r="AK174" s="8">
        <v>-0.1</v>
      </c>
    </row>
    <row r="175" spans="1:37" ht="15.75" customHeight="1" x14ac:dyDescent="0.25">
      <c r="A175" s="14" t="s">
        <v>150</v>
      </c>
      <c r="B175" s="61">
        <f t="shared" si="187"/>
        <v>0</v>
      </c>
      <c r="C175" s="8">
        <v>0</v>
      </c>
      <c r="D175" s="8">
        <v>0</v>
      </c>
      <c r="E175" s="8">
        <v>0</v>
      </c>
      <c r="F175" s="8">
        <v>0</v>
      </c>
      <c r="G175" s="8">
        <v>0</v>
      </c>
      <c r="H175" s="8">
        <v>0</v>
      </c>
      <c r="I175" s="336">
        <v>-1.4</v>
      </c>
      <c r="J175" s="57"/>
      <c r="K175" s="283"/>
      <c r="L175" s="283"/>
      <c r="M175" s="283"/>
      <c r="N175" s="283"/>
      <c r="O175" s="283"/>
      <c r="P175" s="283"/>
      <c r="Q175" s="283"/>
      <c r="R175" s="343"/>
      <c r="S175" s="57"/>
      <c r="T175" s="57"/>
      <c r="U175" s="58"/>
      <c r="V175" s="58"/>
      <c r="W175" s="58"/>
      <c r="X175" s="58"/>
      <c r="Y175" s="58"/>
      <c r="Z175" s="58"/>
      <c r="AA175" s="58"/>
      <c r="AB175" s="58"/>
      <c r="AC175" s="58"/>
      <c r="AD175" s="58"/>
      <c r="AE175" s="57"/>
      <c r="AF175" s="61"/>
      <c r="AG175" s="61">
        <v>0</v>
      </c>
      <c r="AH175" s="145">
        <v>0</v>
      </c>
      <c r="AI175" s="61"/>
      <c r="AJ175" s="61">
        <v>0</v>
      </c>
      <c r="AK175" s="61">
        <v>0</v>
      </c>
    </row>
    <row r="176" spans="1:37" x14ac:dyDescent="0.25">
      <c r="A176" s="14" t="s">
        <v>151</v>
      </c>
      <c r="B176" s="66">
        <f t="shared" si="187"/>
        <v>-4.5999999999999996</v>
      </c>
      <c r="C176" s="23">
        <v>-4.2</v>
      </c>
      <c r="D176" s="23">
        <v>0</v>
      </c>
      <c r="E176" s="23">
        <v>0</v>
      </c>
      <c r="F176" s="23">
        <v>0</v>
      </c>
      <c r="G176" s="23">
        <v>0</v>
      </c>
      <c r="H176" s="23">
        <v>0</v>
      </c>
      <c r="I176" s="225">
        <v>0</v>
      </c>
      <c r="J176" s="57"/>
      <c r="K176" s="293"/>
      <c r="L176" s="293"/>
      <c r="M176" s="293"/>
      <c r="N176" s="293"/>
      <c r="O176" s="293"/>
      <c r="P176" s="293"/>
      <c r="Q176" s="293"/>
      <c r="R176" s="343"/>
      <c r="S176" s="57"/>
      <c r="T176" s="57"/>
      <c r="U176" s="59"/>
      <c r="V176" s="59"/>
      <c r="W176" s="59"/>
      <c r="X176" s="59"/>
      <c r="Y176" s="59"/>
      <c r="Z176" s="59"/>
      <c r="AA176" s="59"/>
      <c r="AB176" s="59"/>
      <c r="AC176" s="59"/>
      <c r="AD176" s="80"/>
      <c r="AE176" s="57"/>
      <c r="AF176" s="121"/>
      <c r="AG176" s="23">
        <v>-1.2</v>
      </c>
      <c r="AH176" s="146">
        <v>-1.3</v>
      </c>
      <c r="AI176" s="136"/>
      <c r="AJ176" s="23">
        <v>-1</v>
      </c>
      <c r="AK176" s="23">
        <v>-1.1000000000000001</v>
      </c>
    </row>
    <row r="177" spans="1:37" x14ac:dyDescent="0.25">
      <c r="A177" s="6" t="s">
        <v>449</v>
      </c>
      <c r="B177" s="24">
        <f>SUM(B167:B176)</f>
        <v>54.899999999999977</v>
      </c>
      <c r="C177" s="24">
        <f>SUM(C167:C176)</f>
        <v>4.7999999999999963</v>
      </c>
      <c r="D177" s="24">
        <f t="shared" ref="D177:H177" si="191">SUM(D167:D176)</f>
        <v>-4</v>
      </c>
      <c r="E177" s="24">
        <f t="shared" si="191"/>
        <v>-128.69999999999999</v>
      </c>
      <c r="F177" s="24">
        <f t="shared" si="191"/>
        <v>-88.7</v>
      </c>
      <c r="G177" s="24">
        <f t="shared" si="191"/>
        <v>282.79999999999995</v>
      </c>
      <c r="H177" s="24">
        <f t="shared" si="191"/>
        <v>-5.9000000000000918</v>
      </c>
      <c r="I177" s="24">
        <f>SUM(I167:I176)</f>
        <v>-62.699999999999932</v>
      </c>
      <c r="J177" s="69"/>
      <c r="K177" s="283">
        <f t="shared" ref="K177:Q179" si="192">B177/$B$149</f>
        <v>0.70474967907573582</v>
      </c>
      <c r="L177" s="283">
        <f t="shared" si="192"/>
        <v>6.1617458279845737E-2</v>
      </c>
      <c r="M177" s="283">
        <f t="shared" si="192"/>
        <v>-5.1347881899871488E-2</v>
      </c>
      <c r="N177" s="283">
        <f t="shared" si="192"/>
        <v>-1.6521181001283649</v>
      </c>
      <c r="O177" s="283">
        <f t="shared" si="192"/>
        <v>-1.1386392811296502</v>
      </c>
      <c r="P177" s="283">
        <f t="shared" si="192"/>
        <v>3.6302952503209136</v>
      </c>
      <c r="Q177" s="283">
        <f t="shared" si="192"/>
        <v>-7.5738125802311623E-2</v>
      </c>
      <c r="R177" s="283"/>
      <c r="S177" s="69"/>
      <c r="T177" s="201"/>
      <c r="U177" s="58"/>
      <c r="V177" s="58"/>
      <c r="W177" s="20"/>
      <c r="X177" s="20"/>
      <c r="Y177" s="20"/>
      <c r="Z177" s="20"/>
      <c r="AA177" s="20"/>
      <c r="AB177" s="20"/>
      <c r="AC177" s="20"/>
      <c r="AD177" s="20"/>
      <c r="AE177" s="69"/>
      <c r="AF177" s="24"/>
      <c r="AG177" s="24">
        <f>SUM(AG167:AG176)</f>
        <v>21.800000000000022</v>
      </c>
      <c r="AH177" s="157">
        <f>SUM(AH167:AH176)</f>
        <v>56.800000000000011</v>
      </c>
      <c r="AI177" s="138"/>
      <c r="AJ177" s="24">
        <f>SUM(AJ167:AJ176)</f>
        <v>-4.9000000000000004</v>
      </c>
      <c r="AK177" s="24">
        <f>SUM(AK167:AK176)</f>
        <v>33.399999999999991</v>
      </c>
    </row>
    <row r="178" spans="1:37" x14ac:dyDescent="0.25">
      <c r="A178" s="14" t="s">
        <v>153</v>
      </c>
      <c r="B178" s="66">
        <f>C178+AG178+AH178-(AJ178+AK178)</f>
        <v>-1.7999999999999998</v>
      </c>
      <c r="C178" s="23">
        <v>-4.5</v>
      </c>
      <c r="D178" s="23">
        <v>-2.5</v>
      </c>
      <c r="E178" s="23">
        <v>1.5</v>
      </c>
      <c r="F178" s="23">
        <v>-0.4</v>
      </c>
      <c r="G178" s="23">
        <v>-4.4000000000000004</v>
      </c>
      <c r="H178" s="23">
        <v>0.1</v>
      </c>
      <c r="I178" s="341">
        <v>-4.0999999999999996</v>
      </c>
      <c r="J178" s="57"/>
      <c r="K178" s="293">
        <f t="shared" si="192"/>
        <v>-2.3106546854942168E-2</v>
      </c>
      <c r="L178" s="293">
        <f t="shared" si="192"/>
        <v>-5.7766367137355425E-2</v>
      </c>
      <c r="M178" s="293">
        <f t="shared" si="192"/>
        <v>-3.2092426187419677E-2</v>
      </c>
      <c r="N178" s="293">
        <f t="shared" si="192"/>
        <v>1.9255455712451807E-2</v>
      </c>
      <c r="O178" s="293">
        <f t="shared" si="192"/>
        <v>-5.1347881899871488E-3</v>
      </c>
      <c r="P178" s="293">
        <f t="shared" si="192"/>
        <v>-5.648267008985864E-2</v>
      </c>
      <c r="Q178" s="293">
        <f t="shared" si="192"/>
        <v>1.2836970474967872E-3</v>
      </c>
      <c r="R178" s="343"/>
      <c r="S178" s="57"/>
      <c r="T178" s="57"/>
      <c r="U178" s="59"/>
      <c r="V178" s="59"/>
      <c r="W178" s="59"/>
      <c r="X178" s="59"/>
      <c r="Y178" s="59"/>
      <c r="Z178" s="59"/>
      <c r="AA178" s="59"/>
      <c r="AB178" s="59"/>
      <c r="AC178" s="59"/>
      <c r="AD178" s="80"/>
      <c r="AE178" s="57"/>
      <c r="AF178" s="67"/>
      <c r="AG178" s="23">
        <v>-1.1000000000000001</v>
      </c>
      <c r="AH178" s="146">
        <v>0.1</v>
      </c>
      <c r="AI178" s="136"/>
      <c r="AJ178" s="23">
        <v>-4</v>
      </c>
      <c r="AK178" s="23">
        <v>0.3</v>
      </c>
    </row>
    <row r="179" spans="1:37" x14ac:dyDescent="0.25">
      <c r="A179" s="6" t="s">
        <v>156</v>
      </c>
      <c r="B179" s="81">
        <f>SUM(B149,B166,B177:B178)</f>
        <v>6.7000000000001849</v>
      </c>
      <c r="C179" s="81">
        <f>SUM(C149,C166,C177:C178)</f>
        <v>-13.300000000000068</v>
      </c>
      <c r="D179" s="81">
        <f t="shared" ref="D179:I179" si="193">SUM(D149,D166,D177:D178)</f>
        <v>6.9999999999999005</v>
      </c>
      <c r="E179" s="81">
        <f t="shared" si="193"/>
        <v>5.4999999999999147</v>
      </c>
      <c r="F179" s="81">
        <f t="shared" si="193"/>
        <v>-7.5999999999999464</v>
      </c>
      <c r="G179" s="81">
        <f t="shared" si="193"/>
        <v>-19.700000000000067</v>
      </c>
      <c r="H179" s="81">
        <f t="shared" si="193"/>
        <v>39.499999999999822</v>
      </c>
      <c r="I179" s="81">
        <f t="shared" si="193"/>
        <v>-0.99999999999992006</v>
      </c>
      <c r="J179" s="69"/>
      <c r="K179" s="283">
        <f t="shared" si="192"/>
        <v>8.6007702182287107E-2</v>
      </c>
      <c r="L179" s="283">
        <f t="shared" si="192"/>
        <v>-0.17073170731707357</v>
      </c>
      <c r="M179" s="283">
        <f t="shared" si="192"/>
        <v>8.9858793324773825E-2</v>
      </c>
      <c r="N179" s="283">
        <f t="shared" si="192"/>
        <v>7.0603337612322195E-2</v>
      </c>
      <c r="O179" s="283">
        <f t="shared" si="192"/>
        <v>-9.756097560975513E-2</v>
      </c>
      <c r="P179" s="283">
        <f t="shared" si="192"/>
        <v>-0.25288831835686792</v>
      </c>
      <c r="Q179" s="283">
        <f t="shared" si="192"/>
        <v>0.50706033376122861</v>
      </c>
      <c r="R179" s="283"/>
      <c r="S179" s="69"/>
      <c r="T179" s="201"/>
      <c r="U179" s="58"/>
      <c r="V179" s="58"/>
      <c r="W179" s="20"/>
      <c r="X179" s="20"/>
      <c r="Y179" s="20"/>
      <c r="Z179" s="20"/>
      <c r="AA179" s="20"/>
      <c r="AB179" s="20"/>
      <c r="AC179" s="20"/>
      <c r="AD179" s="20"/>
      <c r="AE179" s="69"/>
      <c r="AF179" s="24"/>
      <c r="AG179" s="24" t="e">
        <f>SUM(#REF!,AG166,AG177:AG178)</f>
        <v>#REF!</v>
      </c>
      <c r="AH179" s="157" t="e">
        <f>SUM(#REF!,AH166,AH177:AH178)</f>
        <v>#REF!</v>
      </c>
      <c r="AI179" s="138"/>
      <c r="AJ179" s="24" t="e">
        <f>SUM(#REF!,AJ166,AJ177:AJ178)</f>
        <v>#REF!</v>
      </c>
      <c r="AK179" s="24" t="e">
        <f>SUM(#REF!,AK166,AK177:AK178)</f>
        <v>#REF!</v>
      </c>
    </row>
    <row r="180" spans="1:37" x14ac:dyDescent="0.25">
      <c r="A180" s="14" t="s">
        <v>160</v>
      </c>
      <c r="B180" s="66">
        <f>C180+AG180+AH180-(AJ180+AK180)</f>
        <v>0</v>
      </c>
      <c r="C180" s="84">
        <v>0</v>
      </c>
      <c r="D180" s="84">
        <v>0</v>
      </c>
      <c r="E180" s="125">
        <v>0.7</v>
      </c>
      <c r="F180" s="125">
        <v>2.5</v>
      </c>
      <c r="G180" s="125">
        <v>6.2</v>
      </c>
      <c r="H180" s="84">
        <v>0</v>
      </c>
      <c r="I180" s="84">
        <v>0</v>
      </c>
      <c r="J180" s="57"/>
      <c r="K180" s="293"/>
      <c r="L180" s="293"/>
      <c r="M180" s="293"/>
      <c r="N180" s="293"/>
      <c r="O180" s="293"/>
      <c r="P180" s="293"/>
      <c r="Q180" s="293"/>
      <c r="R180" s="343"/>
      <c r="S180" s="57"/>
      <c r="T180" s="57"/>
      <c r="U180" s="59"/>
      <c r="V180" s="59"/>
      <c r="W180" s="59"/>
      <c r="X180" s="59"/>
      <c r="Y180" s="59"/>
      <c r="Z180" s="59"/>
      <c r="AA180" s="59"/>
      <c r="AB180" s="59"/>
      <c r="AC180" s="59"/>
      <c r="AD180" s="80"/>
      <c r="AE180" s="57"/>
      <c r="AF180" s="67"/>
      <c r="AG180" s="71">
        <v>0</v>
      </c>
      <c r="AH180" s="162">
        <v>0</v>
      </c>
      <c r="AI180" s="71"/>
      <c r="AJ180" s="71">
        <v>0</v>
      </c>
      <c r="AK180" s="71">
        <v>0</v>
      </c>
    </row>
    <row r="181" spans="1:37" x14ac:dyDescent="0.25">
      <c r="A181" s="85" t="s">
        <v>164</v>
      </c>
      <c r="B181" s="56">
        <f>B179+B180</f>
        <v>6.7000000000001849</v>
      </c>
      <c r="C181" s="56">
        <f>C179+C180</f>
        <v>-13.300000000000068</v>
      </c>
      <c r="D181" s="56">
        <f t="shared" ref="D181" si="194">D179+D180</f>
        <v>6.9999999999999005</v>
      </c>
      <c r="E181" s="56">
        <f>E179+E180</f>
        <v>6.1999999999999149</v>
      </c>
      <c r="F181" s="56">
        <f>F179+F180</f>
        <v>-5.0999999999999464</v>
      </c>
      <c r="G181" s="56">
        <f>G179+G180</f>
        <v>-13.500000000000068</v>
      </c>
      <c r="H181" s="56">
        <f>H179+H180</f>
        <v>39.499999999999822</v>
      </c>
      <c r="I181" s="56">
        <f>I179+I180</f>
        <v>-0.99999999999992006</v>
      </c>
      <c r="J181" s="57"/>
      <c r="K181" s="283">
        <f t="shared" ref="K181:Q183" si="195">B181/$B$149</f>
        <v>8.6007702182287107E-2</v>
      </c>
      <c r="L181" s="283">
        <f t="shared" si="195"/>
        <v>-0.17073170731707357</v>
      </c>
      <c r="M181" s="283">
        <f t="shared" si="195"/>
        <v>8.9858793324773825E-2</v>
      </c>
      <c r="N181" s="283">
        <f t="shared" si="195"/>
        <v>7.9589216944799715E-2</v>
      </c>
      <c r="O181" s="283">
        <f t="shared" si="195"/>
        <v>-6.5468549422335459E-2</v>
      </c>
      <c r="P181" s="283">
        <f t="shared" si="195"/>
        <v>-0.17329910141206714</v>
      </c>
      <c r="Q181" s="283">
        <f t="shared" si="195"/>
        <v>0.50706033376122861</v>
      </c>
      <c r="R181" s="343"/>
      <c r="S181" s="57"/>
      <c r="T181" s="57"/>
      <c r="U181" s="58"/>
      <c r="V181" s="58"/>
      <c r="W181" s="80"/>
      <c r="X181" s="80"/>
      <c r="Y181" s="80"/>
      <c r="Z181" s="80"/>
      <c r="AA181" s="80"/>
      <c r="AB181" s="80"/>
      <c r="AC181" s="80"/>
      <c r="AD181" s="80"/>
      <c r="AE181" s="57"/>
      <c r="AF181" s="61"/>
      <c r="AG181" s="83" t="e">
        <f>SUM(AG179:AG180)</f>
        <v>#REF!</v>
      </c>
      <c r="AH181" s="163" t="e">
        <f t="shared" ref="AH181:AK181" si="196">SUM(AH179:AH180)</f>
        <v>#REF!</v>
      </c>
      <c r="AI181" s="83"/>
      <c r="AJ181" s="83" t="e">
        <f t="shared" si="196"/>
        <v>#REF!</v>
      </c>
      <c r="AK181" s="83" t="e">
        <f t="shared" si="196"/>
        <v>#REF!</v>
      </c>
    </row>
    <row r="182" spans="1:37" x14ac:dyDescent="0.25">
      <c r="A182" s="14" t="s">
        <v>154</v>
      </c>
      <c r="B182" s="66">
        <f>C183</f>
        <v>32.19999999999964</v>
      </c>
      <c r="C182" s="126">
        <f>D183</f>
        <v>45.499999999999709</v>
      </c>
      <c r="D182" s="126">
        <f t="shared" ref="D182" si="197">E183</f>
        <v>38.499999999999808</v>
      </c>
      <c r="E182" s="66">
        <f>F183</f>
        <v>32.299999999999891</v>
      </c>
      <c r="F182" s="67">
        <f>G183</f>
        <v>37.399999999999835</v>
      </c>
      <c r="G182" s="131">
        <f>H183-SUM(E180:G180)</f>
        <v>50.899999999999906</v>
      </c>
      <c r="H182" s="126">
        <f>I183</f>
        <v>20.800000000000082</v>
      </c>
      <c r="I182" s="336">
        <v>21.8</v>
      </c>
      <c r="J182" s="57"/>
      <c r="K182" s="293">
        <f t="shared" si="195"/>
        <v>0.41335044929396086</v>
      </c>
      <c r="L182" s="293">
        <f t="shared" si="195"/>
        <v>0.58408215661103446</v>
      </c>
      <c r="M182" s="293">
        <f t="shared" si="195"/>
        <v>0.4942233632862606</v>
      </c>
      <c r="N182" s="293">
        <f t="shared" si="195"/>
        <v>0.41463414634146084</v>
      </c>
      <c r="O182" s="293">
        <f t="shared" si="195"/>
        <v>0.48010269576379627</v>
      </c>
      <c r="P182" s="293">
        <f t="shared" si="195"/>
        <v>0.65340179717586344</v>
      </c>
      <c r="Q182" s="293">
        <f t="shared" si="195"/>
        <v>0.26700898587933281</v>
      </c>
      <c r="R182" s="343"/>
      <c r="S182" s="57"/>
      <c r="T182" s="57"/>
      <c r="U182" s="18">
        <f>_xlfn.RRI(5.5,H182,B182)</f>
        <v>8.2698995747423343E-2</v>
      </c>
      <c r="V182" s="18">
        <f>_xlfn.RRI(5,H182,C182)</f>
        <v>0.16947141871400784</v>
      </c>
      <c r="W182" s="18">
        <f t="shared" si="155"/>
        <v>0.18783112815935712</v>
      </c>
      <c r="X182" s="18">
        <f t="shared" ref="X182:AC183" si="198">(B182-C182)/C182</f>
        <v>-0.29230769230769565</v>
      </c>
      <c r="Y182" s="18">
        <f t="shared" si="198"/>
        <v>0.18181818181818013</v>
      </c>
      <c r="Z182" s="18">
        <f t="shared" si="198"/>
        <v>0.19195046439628294</v>
      </c>
      <c r="AA182" s="18">
        <f t="shared" si="198"/>
        <v>-0.13636363636363549</v>
      </c>
      <c r="AB182" s="18">
        <f t="shared" si="198"/>
        <v>-0.26522593320235943</v>
      </c>
      <c r="AC182" s="18">
        <f t="shared" si="198"/>
        <v>1.4471153846153704</v>
      </c>
      <c r="AD182" s="32"/>
      <c r="AE182" s="57"/>
      <c r="AF182" s="67"/>
      <c r="AG182" s="127" t="e">
        <f>AH183</f>
        <v>#REF!</v>
      </c>
      <c r="AH182" s="164">
        <v>33.299999999999997</v>
      </c>
      <c r="AI182" s="127"/>
      <c r="AJ182" s="127" t="e">
        <f>AK183</f>
        <v>#REF!</v>
      </c>
      <c r="AK182" s="127">
        <v>45.5</v>
      </c>
    </row>
    <row r="183" spans="1:37" ht="15.75" thickBot="1" x14ac:dyDescent="0.3">
      <c r="A183" s="6" t="s">
        <v>155</v>
      </c>
      <c r="B183" s="101">
        <f t="shared" ref="B183:F183" si="199">SUM(B181:B182)</f>
        <v>38.899999999999828</v>
      </c>
      <c r="C183" s="101">
        <f t="shared" si="199"/>
        <v>32.19999999999964</v>
      </c>
      <c r="D183" s="101">
        <f t="shared" si="199"/>
        <v>45.499999999999709</v>
      </c>
      <c r="E183" s="101">
        <f t="shared" si="199"/>
        <v>38.499999999999808</v>
      </c>
      <c r="F183" s="101">
        <f t="shared" si="199"/>
        <v>32.299999999999891</v>
      </c>
      <c r="G183" s="101">
        <f>SUM(G181:G182)</f>
        <v>37.399999999999835</v>
      </c>
      <c r="H183" s="101">
        <f t="shared" ref="H183:I183" si="200">SUM(H181:H182)</f>
        <v>60.299999999999905</v>
      </c>
      <c r="I183" s="350">
        <f t="shared" si="200"/>
        <v>20.800000000000082</v>
      </c>
      <c r="J183" s="69"/>
      <c r="K183" s="75">
        <f t="shared" si="195"/>
        <v>0.49935815147624801</v>
      </c>
      <c r="L183" s="75">
        <f t="shared" si="195"/>
        <v>0.41335044929396086</v>
      </c>
      <c r="M183" s="75">
        <f t="shared" si="195"/>
        <v>0.58408215661103446</v>
      </c>
      <c r="N183" s="75">
        <f t="shared" si="195"/>
        <v>0.4942233632862606</v>
      </c>
      <c r="O183" s="75">
        <f t="shared" si="195"/>
        <v>0.41463414634146084</v>
      </c>
      <c r="P183" s="75">
        <f t="shared" si="195"/>
        <v>0.48010269576379627</v>
      </c>
      <c r="Q183" s="75">
        <f t="shared" si="195"/>
        <v>0.77406931964056147</v>
      </c>
      <c r="R183" s="283"/>
      <c r="S183" s="69"/>
      <c r="T183" s="342"/>
      <c r="U183" s="99">
        <f>_xlfn.RRI(5.5,H183,B183)</f>
        <v>-7.6604637824937094E-2</v>
      </c>
      <c r="V183" s="19">
        <f>_xlfn.RRI(5,H183,C183)</f>
        <v>-0.11792053462481578</v>
      </c>
      <c r="W183" s="19">
        <f t="shared" si="155"/>
        <v>-3.7765995970732096E-2</v>
      </c>
      <c r="X183" s="19">
        <f t="shared" si="198"/>
        <v>0.20807453416149882</v>
      </c>
      <c r="Y183" s="19">
        <f t="shared" si="198"/>
        <v>-0.29230769230769565</v>
      </c>
      <c r="Z183" s="19">
        <f t="shared" si="198"/>
        <v>0.18181818181818013</v>
      </c>
      <c r="AA183" s="19">
        <f t="shared" si="198"/>
        <v>0.19195046439628294</v>
      </c>
      <c r="AB183" s="19">
        <f t="shared" si="198"/>
        <v>-0.13636363636363549</v>
      </c>
      <c r="AC183" s="100">
        <f t="shared" si="198"/>
        <v>-0.37976782752902333</v>
      </c>
      <c r="AD183" s="344"/>
      <c r="AE183" s="69"/>
      <c r="AF183" s="26"/>
      <c r="AG183" s="122" t="e">
        <f>AG179+AG182</f>
        <v>#REF!</v>
      </c>
      <c r="AH183" s="165" t="e">
        <f>SUM(AH181:AH182)</f>
        <v>#REF!</v>
      </c>
      <c r="AI183" s="141"/>
      <c r="AJ183" s="122" t="e">
        <f>AJ179+AJ182</f>
        <v>#REF!</v>
      </c>
      <c r="AK183" s="122" t="e">
        <f>AK179+AK182</f>
        <v>#REF!</v>
      </c>
    </row>
    <row r="184" spans="1:37" ht="15.75" thickTop="1" x14ac:dyDescent="0.25">
      <c r="B184" s="61"/>
      <c r="C184" s="57"/>
      <c r="D184" s="57"/>
      <c r="E184" s="57"/>
      <c r="F184" s="57"/>
      <c r="G184" s="57"/>
      <c r="H184" s="57"/>
      <c r="I184" s="57"/>
      <c r="J184" s="79"/>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61"/>
      <c r="AH184" s="61"/>
      <c r="AI184" s="61"/>
      <c r="AJ184" s="61"/>
      <c r="AK184" s="61"/>
    </row>
    <row r="185" spans="1:37" x14ac:dyDescent="0.25">
      <c r="A185" s="14" t="s">
        <v>157</v>
      </c>
      <c r="B185" s="61">
        <f>B153*P187</f>
        <v>-47.269821452458181</v>
      </c>
      <c r="C185" s="86">
        <v>-41.3</v>
      </c>
      <c r="D185" s="86">
        <v>-38.1</v>
      </c>
      <c r="E185" s="86">
        <v>-50.1</v>
      </c>
      <c r="F185" s="86">
        <v>-60.9</v>
      </c>
      <c r="G185" s="86">
        <v>-49.8</v>
      </c>
      <c r="H185" s="86">
        <v>-37.6</v>
      </c>
      <c r="I185" s="336">
        <v>-42.7</v>
      </c>
      <c r="J185" s="57"/>
      <c r="K185" s="58">
        <f>B154/B153</f>
        <v>-0.14540086574118177</v>
      </c>
      <c r="L185" s="58">
        <f t="shared" ref="L185:R185" si="201">C154/C153</f>
        <v>-0.13621372031662266</v>
      </c>
      <c r="M185" s="58">
        <f t="shared" si="201"/>
        <v>-0.11981132075471698</v>
      </c>
      <c r="N185" s="58">
        <f t="shared" si="201"/>
        <v>-0.150767378874511</v>
      </c>
      <c r="O185" s="58">
        <f t="shared" si="201"/>
        <v>-0.18007096392667046</v>
      </c>
      <c r="P185" s="58">
        <f t="shared" si="201"/>
        <v>-0.16242661448140905</v>
      </c>
      <c r="Q185" s="58">
        <f t="shared" si="201"/>
        <v>-0.12824010914051839</v>
      </c>
      <c r="R185" s="58">
        <f t="shared" si="201"/>
        <v>-0.1402759526938239</v>
      </c>
      <c r="S185" s="57"/>
      <c r="T185" s="57"/>
      <c r="U185" s="57"/>
      <c r="V185" s="57"/>
      <c r="W185" s="57"/>
      <c r="X185" s="57"/>
      <c r="Y185" s="57"/>
      <c r="Z185" s="57"/>
      <c r="AA185" s="57"/>
      <c r="AB185" s="57"/>
      <c r="AC185" s="57"/>
      <c r="AD185" s="57"/>
      <c r="AE185" s="57"/>
      <c r="AF185" s="57"/>
      <c r="AG185" s="61"/>
      <c r="AH185" s="61"/>
      <c r="AI185" s="61"/>
      <c r="AJ185" s="61"/>
      <c r="AK185" s="61"/>
    </row>
    <row r="186" spans="1:37" x14ac:dyDescent="0.25">
      <c r="A186" s="14" t="s">
        <v>101</v>
      </c>
      <c r="B186" s="61">
        <f>B153*P188</f>
        <v>-19.090601728451141</v>
      </c>
      <c r="C186" s="86">
        <v>-20.7</v>
      </c>
      <c r="D186" s="86">
        <v>-23.4</v>
      </c>
      <c r="E186" s="86">
        <v>-13.4</v>
      </c>
      <c r="F186" s="86">
        <v>-16.8</v>
      </c>
      <c r="G186" s="86">
        <v>-25.9</v>
      </c>
      <c r="H186" s="86">
        <v>-16.600000000000001</v>
      </c>
      <c r="I186" s="336">
        <v>-11.6</v>
      </c>
      <c r="J186" s="57"/>
      <c r="K186" s="58">
        <f>B155/B153</f>
        <v>-5.8722244627656552E-2</v>
      </c>
      <c r="L186" s="58">
        <f t="shared" ref="L186:R186" si="202">C155/C153</f>
        <v>-6.8271767810026376E-2</v>
      </c>
      <c r="M186" s="58">
        <f t="shared" si="202"/>
        <v>-7.3584905660377356E-2</v>
      </c>
      <c r="N186" s="58">
        <f t="shared" si="202"/>
        <v>-4.0325007523322305E-2</v>
      </c>
      <c r="O186" s="58">
        <f t="shared" si="202"/>
        <v>-4.9674748669426338E-2</v>
      </c>
      <c r="P186" s="58">
        <f t="shared" si="202"/>
        <v>-8.4474885844748882E-2</v>
      </c>
      <c r="Q186" s="58">
        <f t="shared" si="202"/>
        <v>-5.6616643929058658E-2</v>
      </c>
      <c r="R186" s="58">
        <f t="shared" si="202"/>
        <v>-3.8107752956635994E-2</v>
      </c>
      <c r="S186" s="57"/>
      <c r="T186" s="57"/>
      <c r="U186" s="57"/>
      <c r="V186" s="57"/>
      <c r="W186" s="57"/>
      <c r="X186" s="57"/>
      <c r="Y186" s="57"/>
      <c r="Z186" s="57"/>
      <c r="AA186" s="57"/>
      <c r="AB186" s="57"/>
      <c r="AC186" s="57"/>
      <c r="AD186" s="57"/>
      <c r="AE186" s="57"/>
      <c r="AF186" s="57"/>
      <c r="AG186" s="61"/>
      <c r="AH186" s="61"/>
      <c r="AI186" s="61"/>
      <c r="AJ186" s="61"/>
      <c r="AK186" s="61"/>
    </row>
    <row r="187" spans="1:37" x14ac:dyDescent="0.25">
      <c r="A187" s="14" t="s">
        <v>158</v>
      </c>
      <c r="B187" s="79">
        <f>C187+AG187+AH187-(AJ187+AK187)</f>
        <v>5</v>
      </c>
      <c r="C187" s="55">
        <v>4.2</v>
      </c>
      <c r="D187" s="55">
        <v>0</v>
      </c>
      <c r="E187" s="55">
        <v>0</v>
      </c>
      <c r="F187" s="55">
        <v>0</v>
      </c>
      <c r="G187" s="55">
        <v>0</v>
      </c>
      <c r="H187" s="55">
        <v>0</v>
      </c>
      <c r="I187" s="55">
        <v>0</v>
      </c>
      <c r="J187" s="57"/>
      <c r="K187" s="57" t="s">
        <v>544</v>
      </c>
      <c r="L187" s="57"/>
      <c r="M187" s="57"/>
      <c r="N187" s="57"/>
      <c r="O187" s="57"/>
      <c r="P187" s="62">
        <f>AVERAGE(L185:R185)</f>
        <v>-0.14540086574118177</v>
      </c>
      <c r="Q187" s="57"/>
      <c r="R187" s="57"/>
      <c r="S187" s="57"/>
      <c r="T187" s="57"/>
      <c r="U187" s="57"/>
      <c r="V187" s="57"/>
      <c r="W187" s="57"/>
      <c r="X187" s="57"/>
      <c r="Y187" s="57"/>
      <c r="Z187" s="57"/>
      <c r="AA187" s="57"/>
      <c r="AB187" s="57"/>
      <c r="AC187" s="57"/>
      <c r="AD187" s="57"/>
      <c r="AE187" s="57"/>
      <c r="AF187" s="57"/>
      <c r="AG187" s="116">
        <v>1.4</v>
      </c>
      <c r="AH187" s="116">
        <v>1.5</v>
      </c>
      <c r="AI187" s="123"/>
      <c r="AJ187" s="116">
        <v>1.1000000000000001</v>
      </c>
      <c r="AK187" s="116">
        <v>1</v>
      </c>
    </row>
    <row r="188" spans="1:37" x14ac:dyDescent="0.25">
      <c r="A188" s="228" t="s">
        <v>442</v>
      </c>
      <c r="B188" s="79">
        <f>C188+AG188+AH188-(AJ188+AK188)</f>
        <v>28.700000000000003</v>
      </c>
      <c r="C188" s="229">
        <v>29.3</v>
      </c>
      <c r="D188" s="229">
        <v>30.5</v>
      </c>
      <c r="E188" s="229">
        <v>31.5</v>
      </c>
      <c r="F188" s="229">
        <v>31.1</v>
      </c>
      <c r="G188" s="229">
        <v>49.4</v>
      </c>
      <c r="H188" s="229">
        <v>50.4</v>
      </c>
      <c r="I188" s="229"/>
      <c r="J188" s="57"/>
      <c r="K188" s="57" t="s">
        <v>545</v>
      </c>
      <c r="L188" s="57"/>
      <c r="M188" s="57"/>
      <c r="N188" s="57"/>
      <c r="O188" s="57"/>
      <c r="P188" s="62">
        <f>AVERAGE(L186:R186)</f>
        <v>-5.8722244627656559E-2</v>
      </c>
      <c r="Q188" s="57"/>
      <c r="R188" s="57"/>
      <c r="S188" s="57"/>
      <c r="T188" s="57"/>
      <c r="U188" s="57"/>
      <c r="V188" s="57"/>
      <c r="W188" s="57"/>
      <c r="X188" s="57"/>
      <c r="Y188" s="57"/>
      <c r="Z188" s="57"/>
      <c r="AA188" s="57"/>
      <c r="AB188" s="57"/>
      <c r="AC188" s="57"/>
      <c r="AD188" s="57"/>
      <c r="AE188" s="57"/>
      <c r="AF188" s="57"/>
      <c r="AG188" s="230">
        <v>14.4</v>
      </c>
      <c r="AH188" s="230">
        <v>7</v>
      </c>
      <c r="AI188" s="123"/>
      <c r="AJ188" s="230">
        <v>14.6</v>
      </c>
      <c r="AK188" s="230">
        <v>7.4</v>
      </c>
    </row>
    <row r="189" spans="1:37" x14ac:dyDescent="0.25">
      <c r="A189" s="228"/>
      <c r="B189" s="61"/>
      <c r="C189" s="229"/>
      <c r="D189" s="229"/>
      <c r="E189" s="229"/>
      <c r="F189" s="229"/>
      <c r="G189" s="229"/>
      <c r="H189" s="229"/>
      <c r="I189" s="229"/>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230"/>
      <c r="AH189" s="230"/>
      <c r="AI189" s="123"/>
      <c r="AJ189" s="230"/>
      <c r="AK189" s="230"/>
    </row>
    <row r="190" spans="1:37" s="1" customFormat="1" x14ac:dyDescent="0.25">
      <c r="A190" s="1" t="s">
        <v>111</v>
      </c>
      <c r="B190" s="1" t="s">
        <v>318</v>
      </c>
    </row>
    <row r="191" spans="1:37" s="1" customFormat="1" x14ac:dyDescent="0.25">
      <c r="A191" s="1" t="s">
        <v>328</v>
      </c>
    </row>
    <row r="192" spans="1:37" s="1" customFormat="1" x14ac:dyDescent="0.25">
      <c r="A192" s="1" t="s">
        <v>3</v>
      </c>
      <c r="H192" s="2"/>
      <c r="I192" s="2"/>
      <c r="Q192" s="2"/>
      <c r="R192" s="2"/>
      <c r="T192" s="1" t="s">
        <v>536</v>
      </c>
      <c r="U192" s="1" t="s">
        <v>263</v>
      </c>
      <c r="V192" s="1" t="s">
        <v>4</v>
      </c>
      <c r="W192" s="1" t="s">
        <v>5</v>
      </c>
      <c r="X192" s="22" t="s">
        <v>75</v>
      </c>
      <c r="Y192" s="1" t="s">
        <v>6</v>
      </c>
      <c r="Z192" s="1" t="s">
        <v>7</v>
      </c>
      <c r="AA192" s="1" t="s">
        <v>8</v>
      </c>
      <c r="AB192" s="1" t="s">
        <v>9</v>
      </c>
      <c r="AC192" s="1" t="s">
        <v>10</v>
      </c>
      <c r="AD192" s="1" t="s">
        <v>537</v>
      </c>
      <c r="AE192" s="236"/>
      <c r="AF192" s="259"/>
      <c r="AG192" s="259"/>
      <c r="AH192" s="259"/>
      <c r="AI192" s="259"/>
      <c r="AJ192" s="259"/>
      <c r="AK192" s="259"/>
    </row>
    <row r="193" spans="1:37" s="1" customFormat="1" ht="15.75" thickBot="1" x14ac:dyDescent="0.3">
      <c r="A193" s="2" t="s">
        <v>11</v>
      </c>
      <c r="B193" s="17" t="s">
        <v>72</v>
      </c>
      <c r="C193" s="3">
        <v>2022</v>
      </c>
      <c r="D193" s="3">
        <v>2021</v>
      </c>
      <c r="E193" s="3">
        <v>2020</v>
      </c>
      <c r="F193" s="3">
        <v>2019</v>
      </c>
      <c r="G193" s="3">
        <v>2018</v>
      </c>
      <c r="H193" s="3">
        <v>2017</v>
      </c>
      <c r="I193" s="3">
        <v>2016</v>
      </c>
      <c r="K193" s="17" t="s">
        <v>72</v>
      </c>
      <c r="L193" s="3">
        <v>2022</v>
      </c>
      <c r="M193" s="3">
        <v>2021</v>
      </c>
      <c r="N193" s="3">
        <v>2020</v>
      </c>
      <c r="O193" s="3">
        <v>2019</v>
      </c>
      <c r="P193" s="3">
        <v>2018</v>
      </c>
      <c r="Q193" s="3">
        <v>2017</v>
      </c>
      <c r="R193" s="3">
        <v>2016</v>
      </c>
      <c r="T193" s="4" t="s">
        <v>12</v>
      </c>
      <c r="U193" s="4" t="s">
        <v>12</v>
      </c>
      <c r="V193" s="4" t="s">
        <v>12</v>
      </c>
      <c r="W193" s="4" t="s">
        <v>13</v>
      </c>
      <c r="X193" s="21" t="s">
        <v>72</v>
      </c>
      <c r="Y193" s="3">
        <v>2022</v>
      </c>
      <c r="Z193" s="3">
        <v>2021</v>
      </c>
      <c r="AA193" s="3">
        <v>2020</v>
      </c>
      <c r="AB193" s="3">
        <v>2019</v>
      </c>
      <c r="AC193" s="3">
        <v>2018</v>
      </c>
      <c r="AD193" s="3">
        <v>2017</v>
      </c>
      <c r="AE193" s="7"/>
      <c r="AF193" s="260"/>
      <c r="AG193" s="260"/>
      <c r="AH193" s="260"/>
      <c r="AI193" s="260"/>
      <c r="AJ193" s="260"/>
      <c r="AK193" s="260"/>
    </row>
    <row r="194" spans="1:37" x14ac:dyDescent="0.25">
      <c r="A194" s="195" t="s">
        <v>329</v>
      </c>
      <c r="B194" s="233">
        <f t="shared" ref="B194:J194" si="203">B55</f>
        <v>2109.3000000000002</v>
      </c>
      <c r="C194" s="233">
        <f t="shared" si="203"/>
        <v>1980.5</v>
      </c>
      <c r="D194" s="233">
        <f t="shared" si="203"/>
        <v>1678.6</v>
      </c>
      <c r="E194" s="233">
        <f t="shared" si="203"/>
        <v>1669.1</v>
      </c>
      <c r="F194" s="233">
        <f t="shared" si="203"/>
        <v>1637</v>
      </c>
      <c r="G194" s="233">
        <f t="shared" si="203"/>
        <v>1562.7</v>
      </c>
      <c r="H194" s="233">
        <f t="shared" si="203"/>
        <v>1475.5</v>
      </c>
      <c r="I194" s="233">
        <f t="shared" si="203"/>
        <v>1416.2</v>
      </c>
      <c r="J194" s="61">
        <f t="shared" si="203"/>
        <v>0</v>
      </c>
      <c r="K194" s="61"/>
      <c r="L194" s="61"/>
      <c r="M194" s="61"/>
      <c r="N194" s="61"/>
      <c r="O194" s="61"/>
      <c r="P194" s="61"/>
      <c r="Q194" s="61"/>
      <c r="R194" s="61"/>
      <c r="S194" s="61"/>
      <c r="T194" s="61"/>
      <c r="U194" s="61"/>
      <c r="V194" s="61"/>
      <c r="W194" s="61"/>
      <c r="X194" s="61"/>
      <c r="Y194" s="61"/>
      <c r="Z194" s="61"/>
      <c r="AA194" s="61"/>
      <c r="AB194" s="61"/>
      <c r="AC194" s="61"/>
      <c r="AD194" s="61"/>
      <c r="AE194" s="61">
        <f>AE55</f>
        <v>0</v>
      </c>
      <c r="AF194" s="61"/>
      <c r="AG194" s="61"/>
      <c r="AH194" s="61"/>
      <c r="AI194" s="61"/>
      <c r="AJ194" s="61"/>
      <c r="AK194" s="61"/>
    </row>
    <row r="195" spans="1:37" x14ac:dyDescent="0.25">
      <c r="A195" s="228" t="s">
        <v>330</v>
      </c>
      <c r="B195" s="59">
        <f>B196/B194</f>
        <v>7.5712321623287435E-2</v>
      </c>
      <c r="C195" s="59">
        <f t="shared" ref="C195:H195" si="204">C196/C194</f>
        <v>7.3920727089118871E-2</v>
      </c>
      <c r="D195" s="59">
        <f t="shared" si="204"/>
        <v>8.8049565113785241E-2</v>
      </c>
      <c r="E195" s="59">
        <f t="shared" si="204"/>
        <v>8.6094302318614771E-2</v>
      </c>
      <c r="F195" s="59">
        <f t="shared" si="204"/>
        <v>6.1881490531460019E-2</v>
      </c>
      <c r="G195" s="59">
        <f t="shared" si="204"/>
        <v>6.0792218596019701E-2</v>
      </c>
      <c r="H195" s="59">
        <f t="shared" si="204"/>
        <v>6.6553710606573974E-2</v>
      </c>
      <c r="I195" s="59">
        <f t="shared" ref="I195" si="205">I196/I194</f>
        <v>6.9058042649343315E-2</v>
      </c>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x14ac:dyDescent="0.25">
      <c r="A196" s="195" t="s">
        <v>331</v>
      </c>
      <c r="B196" s="234">
        <f t="shared" ref="B196:J196" si="206">B142</f>
        <v>159.70000000000019</v>
      </c>
      <c r="C196" s="234">
        <f t="shared" si="206"/>
        <v>146.39999999999992</v>
      </c>
      <c r="D196" s="234">
        <f t="shared" si="206"/>
        <v>147.7999999999999</v>
      </c>
      <c r="E196" s="234">
        <f t="shared" si="206"/>
        <v>143.6999999999999</v>
      </c>
      <c r="F196" s="234">
        <f t="shared" si="206"/>
        <v>101.30000000000005</v>
      </c>
      <c r="G196" s="234">
        <f t="shared" si="206"/>
        <v>94.999999999999986</v>
      </c>
      <c r="H196" s="234">
        <f t="shared" si="206"/>
        <v>98.199999999999903</v>
      </c>
      <c r="I196" s="234">
        <f t="shared" ref="I196" si="207">I142</f>
        <v>97.8</v>
      </c>
      <c r="J196" s="56">
        <f t="shared" si="206"/>
        <v>0</v>
      </c>
      <c r="K196" s="56"/>
      <c r="L196" s="56"/>
      <c r="M196" s="56"/>
      <c r="N196" s="56"/>
      <c r="O196" s="56"/>
      <c r="P196" s="56"/>
      <c r="Q196" s="56"/>
      <c r="R196" s="56"/>
      <c r="S196" s="56"/>
      <c r="T196" s="56"/>
      <c r="U196" s="56"/>
      <c r="V196" s="56"/>
      <c r="W196" s="56"/>
      <c r="X196" s="56"/>
      <c r="Y196" s="56"/>
      <c r="Z196" s="56"/>
      <c r="AA196" s="56"/>
      <c r="AB196" s="56"/>
      <c r="AC196" s="56"/>
      <c r="AD196" s="56"/>
      <c r="AE196" s="56">
        <f>AE142</f>
        <v>0</v>
      </c>
      <c r="AF196" s="56"/>
      <c r="AG196" s="56"/>
      <c r="AH196" s="56"/>
      <c r="AI196" s="56"/>
      <c r="AJ196" s="56"/>
      <c r="AK196" s="56"/>
    </row>
    <row r="197" spans="1:37" x14ac:dyDescent="0.25">
      <c r="A197" s="228" t="s">
        <v>326</v>
      </c>
      <c r="B197" s="67">
        <f>B198-B196</f>
        <v>-81.799999999999969</v>
      </c>
      <c r="C197" s="67">
        <f t="shared" ref="C197:H197" si="208">C198-C196</f>
        <v>-45.199999999999989</v>
      </c>
      <c r="D197" s="67">
        <f t="shared" si="208"/>
        <v>-44.8</v>
      </c>
      <c r="E197" s="67">
        <f t="shared" si="208"/>
        <v>-16.600000000000009</v>
      </c>
      <c r="F197" s="67">
        <f t="shared" si="208"/>
        <v>14</v>
      </c>
      <c r="G197" s="67">
        <f t="shared" si="208"/>
        <v>-16.700000000000003</v>
      </c>
      <c r="H197" s="67">
        <f t="shared" si="208"/>
        <v>3.6000000000000085</v>
      </c>
      <c r="I197" s="67">
        <f t="shared" ref="I197" si="209">I198-I196</f>
        <v>21.700000000000017</v>
      </c>
      <c r="J197" s="61"/>
      <c r="K197" s="61"/>
      <c r="L197" s="61"/>
      <c r="M197" s="61"/>
      <c r="N197" s="61"/>
      <c r="O197" s="61"/>
      <c r="P197" s="61"/>
      <c r="Q197" s="61"/>
      <c r="R197" s="61"/>
      <c r="S197" s="61"/>
      <c r="T197" s="61"/>
      <c r="U197" s="61"/>
      <c r="V197" s="61"/>
      <c r="W197" s="61"/>
      <c r="X197" s="61"/>
      <c r="Y197" s="61"/>
      <c r="Z197" s="61"/>
      <c r="AA197" s="61"/>
      <c r="AB197" s="61"/>
      <c r="AC197" s="61"/>
      <c r="AD197" s="61"/>
      <c r="AE197" s="61" t="e">
        <f t="shared" ref="AE197" si="210">AE198-AE196</f>
        <v>#REF!</v>
      </c>
      <c r="AF197" s="61"/>
      <c r="AG197" s="61"/>
      <c r="AH197" s="61"/>
      <c r="AI197" s="61"/>
      <c r="AJ197" s="61"/>
      <c r="AK197" s="61"/>
    </row>
    <row r="198" spans="1:37" x14ac:dyDescent="0.25">
      <c r="A198" s="195" t="s">
        <v>319</v>
      </c>
      <c r="B198" s="56">
        <f>B159</f>
        <v>77.900000000000219</v>
      </c>
      <c r="C198" s="56">
        <f t="shared" ref="C198:H198" si="211">C159</f>
        <v>101.19999999999993</v>
      </c>
      <c r="D198" s="56">
        <f t="shared" si="211"/>
        <v>102.9999999999999</v>
      </c>
      <c r="E198" s="56">
        <f t="shared" si="211"/>
        <v>127.09999999999989</v>
      </c>
      <c r="F198" s="56">
        <f t="shared" si="211"/>
        <v>115.30000000000005</v>
      </c>
      <c r="G198" s="56">
        <f t="shared" si="211"/>
        <v>78.299999999999983</v>
      </c>
      <c r="H198" s="56">
        <f t="shared" si="211"/>
        <v>101.79999999999991</v>
      </c>
      <c r="I198" s="56">
        <f t="shared" ref="I198" si="212">I159</f>
        <v>119.50000000000001</v>
      </c>
      <c r="J198" s="56"/>
      <c r="K198" s="56"/>
      <c r="L198" s="56"/>
      <c r="M198" s="56"/>
      <c r="N198" s="56"/>
      <c r="O198" s="56"/>
      <c r="P198" s="56"/>
      <c r="Q198" s="56"/>
      <c r="R198" s="56"/>
      <c r="S198" s="56"/>
      <c r="T198" s="56"/>
      <c r="U198" s="56"/>
      <c r="V198" s="56"/>
      <c r="W198" s="56"/>
      <c r="X198" s="56"/>
      <c r="Y198" s="56"/>
      <c r="Z198" s="56"/>
      <c r="AA198" s="56"/>
      <c r="AB198" s="56"/>
      <c r="AC198" s="56"/>
      <c r="AD198" s="56"/>
      <c r="AE198" s="56" t="e">
        <f>#REF!</f>
        <v>#REF!</v>
      </c>
      <c r="AF198" s="56"/>
      <c r="AG198" s="56"/>
      <c r="AH198" s="56"/>
      <c r="AI198" s="56"/>
      <c r="AJ198" s="56"/>
      <c r="AK198" s="56"/>
    </row>
    <row r="199" spans="1:37" x14ac:dyDescent="0.25">
      <c r="A199" s="228" t="s">
        <v>135</v>
      </c>
      <c r="B199" s="67">
        <f>B160</f>
        <v>-112.10000000000001</v>
      </c>
      <c r="C199" s="67">
        <f t="shared" ref="C199:H199" si="213">C160</f>
        <v>-105.3</v>
      </c>
      <c r="D199" s="67">
        <f t="shared" si="213"/>
        <v>-125</v>
      </c>
      <c r="E199" s="67">
        <f t="shared" si="213"/>
        <v>-69.8</v>
      </c>
      <c r="F199" s="67">
        <f t="shared" si="213"/>
        <v>-37.200000000000003</v>
      </c>
      <c r="G199" s="67">
        <f t="shared" si="213"/>
        <v>-109.7</v>
      </c>
      <c r="H199" s="67">
        <f t="shared" si="213"/>
        <v>-67.5</v>
      </c>
      <c r="I199" s="67">
        <f t="shared" ref="I199" si="214">I160</f>
        <v>-49.9</v>
      </c>
      <c r="J199" s="61"/>
      <c r="K199" s="61"/>
      <c r="L199" s="61"/>
      <c r="M199" s="61"/>
      <c r="N199" s="61"/>
      <c r="O199" s="61"/>
      <c r="P199" s="61"/>
      <c r="Q199" s="61"/>
      <c r="R199" s="61"/>
      <c r="S199" s="61"/>
      <c r="T199" s="61"/>
      <c r="U199" s="61"/>
      <c r="V199" s="61"/>
      <c r="W199" s="61"/>
      <c r="X199" s="61"/>
      <c r="Y199" s="61"/>
      <c r="Z199" s="61"/>
      <c r="AA199" s="61"/>
      <c r="AB199" s="61"/>
      <c r="AC199" s="61"/>
      <c r="AD199" s="61"/>
      <c r="AE199" s="61">
        <f>AE160</f>
        <v>0</v>
      </c>
      <c r="AF199" s="61"/>
      <c r="AG199" s="61"/>
      <c r="AH199" s="61"/>
      <c r="AI199" s="61"/>
      <c r="AJ199" s="61"/>
      <c r="AK199" s="61"/>
    </row>
    <row r="200" spans="1:37" x14ac:dyDescent="0.25">
      <c r="A200" s="195" t="s">
        <v>332</v>
      </c>
      <c r="B200" s="56">
        <f>SUM(B198:B199)</f>
        <v>-34.19999999999979</v>
      </c>
      <c r="C200" s="56">
        <f t="shared" ref="C200:H200" si="215">SUM(C198:C199)</f>
        <v>-4.1000000000000654</v>
      </c>
      <c r="D200" s="56">
        <f t="shared" si="215"/>
        <v>-22.000000000000099</v>
      </c>
      <c r="E200" s="56">
        <f t="shared" si="215"/>
        <v>57.299999999999898</v>
      </c>
      <c r="F200" s="56">
        <f t="shared" si="215"/>
        <v>78.100000000000051</v>
      </c>
      <c r="G200" s="56">
        <f t="shared" si="215"/>
        <v>-31.40000000000002</v>
      </c>
      <c r="H200" s="56">
        <f t="shared" si="215"/>
        <v>34.299999999999912</v>
      </c>
      <c r="I200" s="56">
        <f t="shared" ref="I200" si="216">SUM(I198:I199)</f>
        <v>69.600000000000023</v>
      </c>
      <c r="J200" s="56"/>
      <c r="K200" s="56"/>
      <c r="L200" s="56"/>
      <c r="M200" s="56"/>
      <c r="N200" s="56"/>
      <c r="O200" s="56"/>
      <c r="P200" s="56"/>
      <c r="Q200" s="56"/>
      <c r="R200" s="56"/>
      <c r="S200" s="56"/>
      <c r="T200" s="56"/>
      <c r="U200" s="56"/>
      <c r="V200" s="56"/>
      <c r="W200" s="56"/>
      <c r="X200" s="56"/>
      <c r="Y200" s="56"/>
      <c r="Z200" s="56"/>
      <c r="AA200" s="56"/>
      <c r="AB200" s="56"/>
      <c r="AC200" s="56"/>
      <c r="AD200" s="56"/>
      <c r="AE200" s="56" t="e">
        <f t="shared" ref="AE200" si="217">SUM(AE198:AE199)</f>
        <v>#REF!</v>
      </c>
      <c r="AF200" s="56"/>
      <c r="AG200" s="56"/>
      <c r="AH200" s="56"/>
      <c r="AI200" s="56"/>
      <c r="AJ200" s="56"/>
      <c r="AK200" s="56"/>
    </row>
    <row r="201" spans="1:37" x14ac:dyDescent="0.25">
      <c r="A201" s="228" t="s">
        <v>140</v>
      </c>
      <c r="B201" s="61">
        <f t="shared" ref="B201:H201" si="218">B165</f>
        <v>-14.7</v>
      </c>
      <c r="C201" s="61">
        <f t="shared" si="218"/>
        <v>-14.7</v>
      </c>
      <c r="D201" s="61">
        <f t="shared" si="218"/>
        <v>0</v>
      </c>
      <c r="E201" s="61">
        <f t="shared" si="218"/>
        <v>0</v>
      </c>
      <c r="F201" s="61">
        <f t="shared" si="218"/>
        <v>0</v>
      </c>
      <c r="G201" s="61">
        <f t="shared" si="218"/>
        <v>0</v>
      </c>
      <c r="H201" s="61">
        <f t="shared" si="218"/>
        <v>0</v>
      </c>
      <c r="I201" s="61">
        <f t="shared" ref="I201" si="219">I165</f>
        <v>0</v>
      </c>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230"/>
      <c r="AH201" s="230"/>
      <c r="AI201" s="261"/>
      <c r="AJ201" s="230"/>
      <c r="AK201" s="230"/>
    </row>
    <row r="202" spans="1:37" x14ac:dyDescent="0.25">
      <c r="A202" s="228" t="s">
        <v>333</v>
      </c>
      <c r="B202" s="61">
        <f>SUM(B170:B171)</f>
        <v>-113</v>
      </c>
      <c r="C202" s="61">
        <f t="shared" ref="C202:H202" si="220">SUM(C170:C171)</f>
        <v>-2</v>
      </c>
      <c r="D202" s="61">
        <f t="shared" si="220"/>
        <v>-10.1</v>
      </c>
      <c r="E202" s="61">
        <f t="shared" si="220"/>
        <v>-70.7</v>
      </c>
      <c r="F202" s="61">
        <f t="shared" si="220"/>
        <v>-29.7</v>
      </c>
      <c r="G202" s="61">
        <f t="shared" si="220"/>
        <v>79.7</v>
      </c>
      <c r="H202" s="61">
        <f t="shared" si="220"/>
        <v>-46.700000000000045</v>
      </c>
      <c r="I202" s="61">
        <f t="shared" ref="I202" si="221">SUM(I170:I171)</f>
        <v>-31.7</v>
      </c>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230"/>
      <c r="AH202" s="230"/>
      <c r="AI202" s="261"/>
      <c r="AJ202" s="230"/>
      <c r="AK202" s="230"/>
    </row>
    <row r="203" spans="1:37" x14ac:dyDescent="0.25">
      <c r="A203" s="14" t="s">
        <v>136</v>
      </c>
      <c r="B203" s="61">
        <f t="shared" ref="B203:H203" si="222">B161</f>
        <v>0</v>
      </c>
      <c r="C203" s="61">
        <f t="shared" si="222"/>
        <v>0</v>
      </c>
      <c r="D203" s="61">
        <f t="shared" si="222"/>
        <v>0</v>
      </c>
      <c r="E203" s="61">
        <f t="shared" si="222"/>
        <v>0</v>
      </c>
      <c r="F203" s="61">
        <f t="shared" si="222"/>
        <v>0</v>
      </c>
      <c r="G203" s="61">
        <f t="shared" si="222"/>
        <v>-264</v>
      </c>
      <c r="H203" s="61">
        <f t="shared" si="222"/>
        <v>0</v>
      </c>
      <c r="I203" s="61">
        <f t="shared" ref="I203" si="223">I161</f>
        <v>0</v>
      </c>
      <c r="J203" s="57"/>
      <c r="K203" s="82"/>
      <c r="L203" s="82"/>
      <c r="M203" s="82"/>
      <c r="N203" s="82"/>
      <c r="O203" s="82"/>
      <c r="P203" s="82"/>
      <c r="Q203" s="82"/>
      <c r="R203" s="82"/>
      <c r="S203" s="57"/>
      <c r="T203" s="57"/>
      <c r="U203" s="80"/>
      <c r="V203" s="80"/>
      <c r="W203" s="80"/>
      <c r="X203" s="80"/>
      <c r="Y203" s="80"/>
      <c r="Z203" s="80"/>
      <c r="AA203" s="80"/>
      <c r="AB203" s="80"/>
      <c r="AC203" s="80"/>
      <c r="AD203" s="80"/>
      <c r="AE203" s="57"/>
      <c r="AF203" s="61"/>
      <c r="AG203" s="61">
        <v>0</v>
      </c>
      <c r="AH203" s="61">
        <v>0</v>
      </c>
      <c r="AI203" s="61"/>
      <c r="AJ203" s="61">
        <v>0</v>
      </c>
      <c r="AK203" s="61">
        <v>0</v>
      </c>
    </row>
    <row r="204" spans="1:37" x14ac:dyDescent="0.25">
      <c r="A204" s="228" t="str">
        <f t="shared" ref="A204:H204" si="224">A164</f>
        <v>Cash provided by sale of assets</v>
      </c>
      <c r="B204" s="61">
        <f t="shared" si="224"/>
        <v>2.3000000000000007</v>
      </c>
      <c r="C204" s="61">
        <f t="shared" si="224"/>
        <v>4.4000000000000004</v>
      </c>
      <c r="D204" s="61">
        <f t="shared" si="224"/>
        <v>29.4</v>
      </c>
      <c r="E204" s="61">
        <f t="shared" si="224"/>
        <v>74.7</v>
      </c>
      <c r="F204" s="61">
        <f t="shared" si="224"/>
        <v>0.4</v>
      </c>
      <c r="G204" s="61">
        <f t="shared" si="224"/>
        <v>-4.2</v>
      </c>
      <c r="H204" s="61">
        <f t="shared" si="224"/>
        <v>1.5</v>
      </c>
      <c r="I204" s="61">
        <f t="shared" ref="I204" si="225">I164</f>
        <v>-3.8</v>
      </c>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230"/>
      <c r="AH204" s="230"/>
      <c r="AI204" s="123"/>
      <c r="AJ204" s="230"/>
      <c r="AK204" s="230"/>
    </row>
    <row r="205" spans="1:37" x14ac:dyDescent="0.25">
      <c r="A205" s="228" t="s">
        <v>336</v>
      </c>
      <c r="B205" s="61">
        <f>B176</f>
        <v>-4.5999999999999996</v>
      </c>
      <c r="C205" s="61">
        <f t="shared" ref="C205:H205" si="226">C176</f>
        <v>-4.2</v>
      </c>
      <c r="D205" s="61">
        <f t="shared" si="226"/>
        <v>0</v>
      </c>
      <c r="E205" s="61">
        <f t="shared" si="226"/>
        <v>0</v>
      </c>
      <c r="F205" s="61">
        <f t="shared" si="226"/>
        <v>0</v>
      </c>
      <c r="G205" s="61">
        <f t="shared" si="226"/>
        <v>0</v>
      </c>
      <c r="H205" s="61">
        <f t="shared" si="226"/>
        <v>0</v>
      </c>
      <c r="I205" s="61">
        <f t="shared" ref="I205" si="227">I176</f>
        <v>0</v>
      </c>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230"/>
      <c r="AH205" s="230"/>
      <c r="AI205" s="123"/>
      <c r="AJ205" s="230"/>
      <c r="AK205" s="230"/>
    </row>
    <row r="206" spans="1:37" x14ac:dyDescent="0.25">
      <c r="A206" s="228" t="s">
        <v>337</v>
      </c>
      <c r="B206" s="61">
        <f t="shared" ref="B206:H206" si="228">B162</f>
        <v>0.20000000000000007</v>
      </c>
      <c r="C206" s="61">
        <f t="shared" si="228"/>
        <v>0.8</v>
      </c>
      <c r="D206" s="61">
        <f t="shared" si="228"/>
        <v>6.1</v>
      </c>
      <c r="E206" s="61">
        <f t="shared" si="228"/>
        <v>0.7</v>
      </c>
      <c r="F206" s="61">
        <f t="shared" si="228"/>
        <v>3</v>
      </c>
      <c r="G206" s="61">
        <f t="shared" si="228"/>
        <v>1.5</v>
      </c>
      <c r="H206" s="61">
        <f t="shared" si="228"/>
        <v>0</v>
      </c>
      <c r="I206" s="61">
        <f t="shared" ref="I206" si="229">I162</f>
        <v>0</v>
      </c>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230"/>
      <c r="AH206" s="230"/>
      <c r="AI206" s="123"/>
      <c r="AJ206" s="230"/>
      <c r="AK206" s="230"/>
    </row>
    <row r="207" spans="1:37" x14ac:dyDescent="0.25">
      <c r="A207" s="228" t="s">
        <v>335</v>
      </c>
      <c r="B207" s="67">
        <f>B208-SUM(B200:B206)</f>
        <v>170.7</v>
      </c>
      <c r="C207" s="67">
        <f t="shared" ref="C207:H207" si="230">C208-SUM(C200:C206)</f>
        <v>6.4999999999999929</v>
      </c>
      <c r="D207" s="67">
        <f t="shared" si="230"/>
        <v>3.6000000000000032</v>
      </c>
      <c r="E207" s="67">
        <f t="shared" si="230"/>
        <v>-56.499999999999986</v>
      </c>
      <c r="F207" s="67">
        <f t="shared" si="230"/>
        <v>-59.399999999999991</v>
      </c>
      <c r="G207" s="67">
        <f t="shared" si="230"/>
        <v>198.69999999999993</v>
      </c>
      <c r="H207" s="67">
        <f t="shared" si="230"/>
        <v>50.399999999999956</v>
      </c>
      <c r="I207" s="67">
        <f t="shared" ref="I207" si="231">I208-SUM(I200:I206)</f>
        <v>-35.099999999999945</v>
      </c>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230"/>
      <c r="AH207" s="230"/>
      <c r="AI207" s="123"/>
      <c r="AJ207" s="230"/>
      <c r="AK207" s="230"/>
    </row>
    <row r="208" spans="1:37" ht="15.75" thickBot="1" x14ac:dyDescent="0.3">
      <c r="A208" s="195" t="s">
        <v>334</v>
      </c>
      <c r="B208" s="117">
        <f>B179</f>
        <v>6.7000000000001849</v>
      </c>
      <c r="C208" s="117">
        <f t="shared" ref="C208:H208" si="232">C179</f>
        <v>-13.300000000000068</v>
      </c>
      <c r="D208" s="117">
        <f t="shared" si="232"/>
        <v>6.9999999999999005</v>
      </c>
      <c r="E208" s="117">
        <f t="shared" si="232"/>
        <v>5.4999999999999147</v>
      </c>
      <c r="F208" s="117">
        <f t="shared" si="232"/>
        <v>-7.5999999999999464</v>
      </c>
      <c r="G208" s="117">
        <f t="shared" si="232"/>
        <v>-19.700000000000067</v>
      </c>
      <c r="H208" s="117">
        <f t="shared" si="232"/>
        <v>39.499999999999822</v>
      </c>
      <c r="I208" s="117">
        <f t="shared" ref="I208" si="233">I179</f>
        <v>-0.99999999999992006</v>
      </c>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230"/>
      <c r="AH208" s="230"/>
      <c r="AI208" s="123"/>
      <c r="AJ208" s="230"/>
      <c r="AK208" s="230"/>
    </row>
    <row r="209" spans="1:37" ht="15.75" thickTop="1" x14ac:dyDescent="0.25">
      <c r="A209" s="195"/>
      <c r="B209" s="56"/>
      <c r="C209" s="56"/>
      <c r="D209" s="56"/>
      <c r="E209" s="56"/>
      <c r="F209" s="56"/>
      <c r="G209" s="56"/>
      <c r="H209" s="56"/>
      <c r="I209" s="56"/>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230"/>
      <c r="AH209" s="230"/>
      <c r="AI209" s="123"/>
      <c r="AJ209" s="230"/>
      <c r="AK209" s="230"/>
    </row>
    <row r="210" spans="1:37" x14ac:dyDescent="0.25">
      <c r="A210" s="228" t="s">
        <v>162</v>
      </c>
      <c r="B210" s="235">
        <f>B196</f>
        <v>159.70000000000019</v>
      </c>
      <c r="C210" s="235">
        <f t="shared" ref="C210:H210" si="234">C196</f>
        <v>146.39999999999992</v>
      </c>
      <c r="D210" s="235">
        <f t="shared" si="234"/>
        <v>147.7999999999999</v>
      </c>
      <c r="E210" s="235">
        <f t="shared" si="234"/>
        <v>143.6999999999999</v>
      </c>
      <c r="F210" s="235">
        <f t="shared" si="234"/>
        <v>101.30000000000005</v>
      </c>
      <c r="G210" s="235">
        <f t="shared" si="234"/>
        <v>94.999999999999986</v>
      </c>
      <c r="H210" s="235">
        <f t="shared" si="234"/>
        <v>98.199999999999903</v>
      </c>
      <c r="I210" s="235">
        <f t="shared" ref="I210" si="235">I196</f>
        <v>97.8</v>
      </c>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230"/>
      <c r="AH210" s="230"/>
      <c r="AI210" s="123"/>
      <c r="AJ210" s="230"/>
      <c r="AK210" s="230"/>
    </row>
    <row r="211" spans="1:37" x14ac:dyDescent="0.25">
      <c r="A211" s="228" t="s">
        <v>332</v>
      </c>
      <c r="B211" s="132">
        <f>B200</f>
        <v>-34.19999999999979</v>
      </c>
      <c r="C211" s="132">
        <f t="shared" ref="C211:H211" si="236">C200</f>
        <v>-4.1000000000000654</v>
      </c>
      <c r="D211" s="132">
        <f t="shared" si="236"/>
        <v>-22.000000000000099</v>
      </c>
      <c r="E211" s="132">
        <f t="shared" si="236"/>
        <v>57.299999999999898</v>
      </c>
      <c r="F211" s="132">
        <f t="shared" si="236"/>
        <v>78.100000000000051</v>
      </c>
      <c r="G211" s="132">
        <f t="shared" si="236"/>
        <v>-31.40000000000002</v>
      </c>
      <c r="H211" s="132">
        <f t="shared" si="236"/>
        <v>34.299999999999912</v>
      </c>
      <c r="I211" s="132">
        <f t="shared" ref="I211" si="237">I200</f>
        <v>69.600000000000023</v>
      </c>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230"/>
      <c r="AH211" s="230"/>
      <c r="AI211" s="123"/>
      <c r="AJ211" s="230"/>
      <c r="AK211" s="230"/>
    </row>
    <row r="212" spans="1:37" x14ac:dyDescent="0.25">
      <c r="A212" s="228" t="s">
        <v>338</v>
      </c>
      <c r="B212" s="132">
        <f>B211+(B185*0.75)</f>
        <v>-69.652366089343417</v>
      </c>
      <c r="C212" s="132">
        <f t="shared" ref="C212:H212" si="238">C211+(C185*0.75)</f>
        <v>-35.07500000000006</v>
      </c>
      <c r="D212" s="132">
        <f t="shared" si="238"/>
        <v>-50.575000000000102</v>
      </c>
      <c r="E212" s="132">
        <f t="shared" si="238"/>
        <v>19.724999999999895</v>
      </c>
      <c r="F212" s="132">
        <f t="shared" si="238"/>
        <v>32.425000000000054</v>
      </c>
      <c r="G212" s="132">
        <f t="shared" si="238"/>
        <v>-68.750000000000014</v>
      </c>
      <c r="H212" s="132">
        <f t="shared" si="238"/>
        <v>6.0999999999999091</v>
      </c>
      <c r="I212" s="132">
        <f t="shared" ref="I212" si="239">I211+(I185*0.75)</f>
        <v>37.575000000000017</v>
      </c>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230"/>
      <c r="AH212" s="230"/>
      <c r="AI212" s="123"/>
      <c r="AJ212" s="230"/>
      <c r="AK212" s="230"/>
    </row>
    <row r="213" spans="1:37" x14ac:dyDescent="0.25">
      <c r="A213" s="228" t="s">
        <v>339</v>
      </c>
      <c r="B213" s="235">
        <f>B212+B202</f>
        <v>-182.65236608934342</v>
      </c>
      <c r="C213" s="235">
        <f>C212+C202</f>
        <v>-37.07500000000006</v>
      </c>
      <c r="D213" s="235">
        <f t="shared" ref="D213:H213" si="240">D212+D202</f>
        <v>-60.675000000000104</v>
      </c>
      <c r="E213" s="235">
        <f t="shared" si="240"/>
        <v>-50.975000000000108</v>
      </c>
      <c r="F213" s="235">
        <f t="shared" si="240"/>
        <v>2.7250000000000547</v>
      </c>
      <c r="G213" s="235">
        <f>G212+G202</f>
        <v>10.949999999999989</v>
      </c>
      <c r="H213" s="235">
        <f t="shared" si="240"/>
        <v>-40.600000000000136</v>
      </c>
      <c r="I213" s="235">
        <f t="shared" ref="I213" si="241">I212+I202</f>
        <v>5.8750000000000178</v>
      </c>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230"/>
      <c r="AH213" s="230"/>
      <c r="AI213" s="123"/>
      <c r="AJ213" s="230"/>
      <c r="AK213" s="230"/>
    </row>
    <row r="214" spans="1:37" x14ac:dyDescent="0.25">
      <c r="A214" s="228"/>
      <c r="B214" s="56"/>
      <c r="C214" s="56"/>
      <c r="D214" s="56"/>
      <c r="E214" s="56"/>
      <c r="F214" s="56"/>
      <c r="G214" s="56"/>
      <c r="H214" s="56"/>
      <c r="I214" s="56"/>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230"/>
      <c r="AH214" s="230"/>
      <c r="AI214" s="123"/>
      <c r="AJ214" s="230"/>
      <c r="AK214" s="230"/>
    </row>
    <row r="215" spans="1:37" x14ac:dyDescent="0.25">
      <c r="A215" s="228" t="s">
        <v>340</v>
      </c>
      <c r="B215" s="231">
        <f t="shared" ref="B215:H215" si="242">-B160/B126</f>
        <v>1.9701230228471003</v>
      </c>
      <c r="C215" s="231">
        <f t="shared" si="242"/>
        <v>1.8770053475935828</v>
      </c>
      <c r="D215" s="231">
        <f t="shared" si="242"/>
        <v>2.1663778162911611</v>
      </c>
      <c r="E215" s="231">
        <f t="shared" si="242"/>
        <v>1.2902033271719038</v>
      </c>
      <c r="F215" s="231">
        <f t="shared" si="242"/>
        <v>0.67513611615245017</v>
      </c>
      <c r="G215" s="231">
        <f t="shared" si="242"/>
        <v>2.159448818897638</v>
      </c>
      <c r="H215" s="231">
        <f t="shared" si="242"/>
        <v>1.3554216867469879</v>
      </c>
      <c r="I215" s="231">
        <f t="shared" ref="I215" si="243">-I160/I126</f>
        <v>0.94328922495274103</v>
      </c>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230"/>
      <c r="AH215" s="230"/>
      <c r="AI215" s="123"/>
      <c r="AJ215" s="230"/>
      <c r="AK215" s="230"/>
    </row>
    <row r="216" spans="1:37" x14ac:dyDescent="0.25">
      <c r="A216" s="228" t="s">
        <v>341</v>
      </c>
      <c r="B216" s="132">
        <f t="shared" ref="B216:I216" si="244">B15/B126</f>
        <v>20.688927943760987</v>
      </c>
      <c r="C216" s="132">
        <f t="shared" si="244"/>
        <v>18.171122994652407</v>
      </c>
      <c r="D216" s="132">
        <f t="shared" si="244"/>
        <v>16.079722703639511</v>
      </c>
      <c r="E216" s="132">
        <f t="shared" si="244"/>
        <v>16.706099815157117</v>
      </c>
      <c r="F216" s="132">
        <f t="shared" si="244"/>
        <v>16.226860254083483</v>
      </c>
      <c r="G216" s="132">
        <f t="shared" si="244"/>
        <v>17.391732283464567</v>
      </c>
      <c r="H216" s="132">
        <f t="shared" si="244"/>
        <v>16.819277108433738</v>
      </c>
      <c r="I216" s="132">
        <f t="shared" si="244"/>
        <v>14.956521739130435</v>
      </c>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230"/>
      <c r="AH216" s="230"/>
      <c r="AI216" s="123"/>
      <c r="AJ216" s="230"/>
      <c r="AK216" s="230"/>
    </row>
    <row r="217" spans="1:37" x14ac:dyDescent="0.25">
      <c r="A217" s="228" t="s">
        <v>342</v>
      </c>
      <c r="B217" s="133">
        <f t="shared" ref="B217:I217" si="245">-B16/B126</f>
        <v>8.3919156414762792</v>
      </c>
      <c r="C217" s="133">
        <f t="shared" si="245"/>
        <v>8.237076648841354</v>
      </c>
      <c r="D217" s="133">
        <f t="shared" si="245"/>
        <v>7.6031195840554586</v>
      </c>
      <c r="E217" s="133">
        <f t="shared" si="245"/>
        <v>9.1441774491682057</v>
      </c>
      <c r="F217" s="133">
        <f t="shared" si="245"/>
        <v>8.6878402903811249</v>
      </c>
      <c r="G217" s="133">
        <f t="shared" si="245"/>
        <v>9.1653543307086629</v>
      </c>
      <c r="H217" s="133">
        <f t="shared" si="245"/>
        <v>10.232931726907632</v>
      </c>
      <c r="I217" s="133">
        <f t="shared" si="245"/>
        <v>9.6483931947069941</v>
      </c>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230"/>
      <c r="AH217" s="230"/>
      <c r="AI217" s="123"/>
      <c r="AJ217" s="230"/>
      <c r="AK217" s="230"/>
    </row>
    <row r="218" spans="1:37" x14ac:dyDescent="0.25">
      <c r="A218" s="228" t="s">
        <v>343</v>
      </c>
      <c r="B218" s="56">
        <f>B216-B217</f>
        <v>12.297012302284708</v>
      </c>
      <c r="C218" s="56">
        <f t="shared" ref="C218:H218" si="246">C216-C217</f>
        <v>9.9340463458110531</v>
      </c>
      <c r="D218" s="56">
        <f t="shared" si="246"/>
        <v>8.4766031195840519</v>
      </c>
      <c r="E218" s="56">
        <f t="shared" si="246"/>
        <v>7.5619223659889112</v>
      </c>
      <c r="F218" s="56">
        <f t="shared" si="246"/>
        <v>7.5390199637023585</v>
      </c>
      <c r="G218" s="56">
        <f t="shared" si="246"/>
        <v>8.2263779527559038</v>
      </c>
      <c r="H218" s="56">
        <f t="shared" si="246"/>
        <v>6.5863453815261064</v>
      </c>
      <c r="I218" s="56">
        <f t="shared" ref="I218" si="247">I216-I217</f>
        <v>5.3081285444234414</v>
      </c>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230"/>
      <c r="AH218" s="230"/>
      <c r="AI218" s="123"/>
      <c r="AJ218" s="230"/>
      <c r="AK218" s="230"/>
    </row>
    <row r="219" spans="1:37" x14ac:dyDescent="0.25">
      <c r="A219" s="228" t="s">
        <v>344</v>
      </c>
      <c r="B219" s="232">
        <f>B217/B216</f>
        <v>0.40562351342167874</v>
      </c>
      <c r="C219" s="232">
        <f t="shared" ref="C219:H219" si="248">C217/C216</f>
        <v>0.45330586619580138</v>
      </c>
      <c r="D219" s="232">
        <f t="shared" si="248"/>
        <v>0.47283897391679247</v>
      </c>
      <c r="E219" s="232">
        <f t="shared" si="248"/>
        <v>0.54735560964815211</v>
      </c>
      <c r="F219" s="232">
        <f t="shared" si="248"/>
        <v>0.53539872497483509</v>
      </c>
      <c r="G219" s="232">
        <f t="shared" si="248"/>
        <v>0.52699490662139226</v>
      </c>
      <c r="H219" s="232">
        <f t="shared" si="248"/>
        <v>0.60840496657115561</v>
      </c>
      <c r="I219" s="232">
        <f t="shared" ref="I219" si="249">I217/I216</f>
        <v>0.6450960566228513</v>
      </c>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230"/>
      <c r="AH219" s="230"/>
      <c r="AI219" s="123"/>
      <c r="AJ219" s="230"/>
      <c r="AK219" s="230"/>
    </row>
    <row r="220" spans="1:37" ht="15.75" thickBot="1" x14ac:dyDescent="0.3">
      <c r="A220" s="228" t="s">
        <v>345</v>
      </c>
      <c r="B220" s="106">
        <v>0</v>
      </c>
      <c r="C220" s="106">
        <v>0</v>
      </c>
      <c r="D220" s="106">
        <v>0</v>
      </c>
      <c r="E220" s="106">
        <v>0</v>
      </c>
      <c r="F220" s="106">
        <v>0</v>
      </c>
      <c r="G220" s="106">
        <v>0</v>
      </c>
      <c r="H220" s="106">
        <v>0</v>
      </c>
      <c r="I220" s="106">
        <v>0</v>
      </c>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230"/>
      <c r="AH220" s="230"/>
      <c r="AI220" s="123"/>
      <c r="AJ220" s="230"/>
      <c r="AK220" s="230"/>
    </row>
    <row r="221" spans="1:37" ht="15.75" thickTop="1" x14ac:dyDescent="0.25">
      <c r="A221" s="228"/>
      <c r="B221" s="56"/>
      <c r="C221" s="56"/>
      <c r="D221" s="56"/>
      <c r="E221" s="56"/>
      <c r="F221" s="56"/>
      <c r="G221" s="56"/>
      <c r="H221" s="56"/>
      <c r="I221" s="56"/>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230"/>
      <c r="AH221" s="230"/>
      <c r="AI221" s="123"/>
      <c r="AJ221" s="230"/>
      <c r="AK221" s="230"/>
    </row>
    <row r="222" spans="1:37" x14ac:dyDescent="0.25">
      <c r="A222" s="324" t="s">
        <v>517</v>
      </c>
      <c r="B222" s="56"/>
      <c r="C222" s="56"/>
      <c r="D222" s="56"/>
      <c r="E222" s="56"/>
      <c r="F222" s="56"/>
      <c r="G222" s="56"/>
      <c r="H222" s="56"/>
      <c r="I222" s="56"/>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230"/>
      <c r="AH222" s="230"/>
      <c r="AI222" s="123"/>
      <c r="AJ222" s="230"/>
      <c r="AK222" s="230"/>
    </row>
    <row r="223" spans="1:37" x14ac:dyDescent="0.25">
      <c r="A223" s="325" t="s">
        <v>436</v>
      </c>
      <c r="B223" s="132">
        <f t="shared" ref="B223:H223" si="250">B72</f>
        <v>82.300000000000182</v>
      </c>
      <c r="C223" s="132">
        <f t="shared" si="250"/>
        <v>62.099999999999909</v>
      </c>
      <c r="D223" s="132">
        <f t="shared" si="250"/>
        <v>84.899999999999878</v>
      </c>
      <c r="E223" s="132">
        <f t="shared" si="250"/>
        <v>120.99999999999986</v>
      </c>
      <c r="F223" s="132">
        <f t="shared" si="250"/>
        <v>67.400000000000048</v>
      </c>
      <c r="G223" s="132">
        <f t="shared" si="250"/>
        <v>29.199999999999974</v>
      </c>
      <c r="H223" s="132">
        <f t="shared" si="250"/>
        <v>30.499999999999911</v>
      </c>
      <c r="I223" s="132"/>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230"/>
      <c r="AH223" s="230"/>
      <c r="AI223" s="123"/>
      <c r="AJ223" s="230"/>
      <c r="AK223" s="230"/>
    </row>
    <row r="224" spans="1:37" x14ac:dyDescent="0.25">
      <c r="A224" s="228" t="s">
        <v>521</v>
      </c>
      <c r="B224" s="326">
        <f t="shared" ref="B224:H224" si="251">(((B8+B9+B10)-(C8+C9+C10))-((B25+B26)-(C25+C26)))*-1</f>
        <v>-90.799999999999841</v>
      </c>
      <c r="C224" s="326">
        <f t="shared" si="251"/>
        <v>20.199999999999932</v>
      </c>
      <c r="D224" s="326">
        <f t="shared" si="251"/>
        <v>-55.000000000000057</v>
      </c>
      <c r="E224" s="326">
        <f t="shared" si="251"/>
        <v>-42.599999999999966</v>
      </c>
      <c r="F224" s="326">
        <f t="shared" si="251"/>
        <v>-10</v>
      </c>
      <c r="G224" s="326">
        <f t="shared" si="251"/>
        <v>-36.000000000000057</v>
      </c>
      <c r="H224" s="326">
        <f t="shared" si="251"/>
        <v>-9.7999999999999545</v>
      </c>
      <c r="I224" s="132"/>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230"/>
      <c r="AH224" s="230"/>
      <c r="AI224" s="123"/>
      <c r="AJ224" s="230"/>
      <c r="AK224" s="230"/>
    </row>
    <row r="225" spans="1:37" x14ac:dyDescent="0.25">
      <c r="A225" s="228" t="s">
        <v>522</v>
      </c>
      <c r="B225" s="132">
        <f t="shared" ref="B225:H225" si="252">B160+B164</f>
        <v>-109.80000000000001</v>
      </c>
      <c r="C225" s="132">
        <f t="shared" si="252"/>
        <v>-100.89999999999999</v>
      </c>
      <c r="D225" s="132">
        <f t="shared" si="252"/>
        <v>-95.6</v>
      </c>
      <c r="E225" s="132">
        <f t="shared" si="252"/>
        <v>4.9000000000000057</v>
      </c>
      <c r="F225" s="132">
        <f t="shared" si="252"/>
        <v>-36.800000000000004</v>
      </c>
      <c r="G225" s="132">
        <f t="shared" si="252"/>
        <v>-113.9</v>
      </c>
      <c r="H225" s="132">
        <f t="shared" si="252"/>
        <v>-66</v>
      </c>
      <c r="I225" s="132"/>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230"/>
      <c r="AH225" s="230"/>
      <c r="AI225" s="123"/>
      <c r="AJ225" s="230"/>
      <c r="AK225" s="230"/>
    </row>
    <row r="226" spans="1:37" x14ac:dyDescent="0.25">
      <c r="A226" s="228" t="s">
        <v>518</v>
      </c>
      <c r="B226" s="132">
        <f t="shared" ref="B226:H226" si="253">B84*(1-0.22)</f>
        <v>45.396000000000001</v>
      </c>
      <c r="C226" s="132">
        <f t="shared" si="253"/>
        <v>34.943999999999996</v>
      </c>
      <c r="D226" s="132">
        <f t="shared" si="253"/>
        <v>31.59</v>
      </c>
      <c r="E226" s="132">
        <f t="shared" si="253"/>
        <v>38.142000000000003</v>
      </c>
      <c r="F226" s="132">
        <f t="shared" si="253"/>
        <v>48.126000000000005</v>
      </c>
      <c r="G226" s="132">
        <f t="shared" si="253"/>
        <v>42.198</v>
      </c>
      <c r="H226" s="132">
        <f t="shared" si="253"/>
        <v>33.15</v>
      </c>
      <c r="I226" s="132"/>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230"/>
      <c r="AH226" s="230"/>
      <c r="AI226" s="123"/>
      <c r="AJ226" s="230"/>
      <c r="AK226" s="230"/>
    </row>
    <row r="227" spans="1:37" x14ac:dyDescent="0.25">
      <c r="A227" s="228" t="s">
        <v>519</v>
      </c>
      <c r="B227" s="133">
        <f t="shared" ref="B227:H227" si="254">B58</f>
        <v>56.9</v>
      </c>
      <c r="C227" s="133">
        <f t="shared" si="254"/>
        <v>56.1</v>
      </c>
      <c r="D227" s="133">
        <f t="shared" si="254"/>
        <v>57.7</v>
      </c>
      <c r="E227" s="133">
        <f t="shared" si="254"/>
        <v>54.1</v>
      </c>
      <c r="F227" s="133">
        <f t="shared" si="254"/>
        <v>51.4</v>
      </c>
      <c r="G227" s="133">
        <f t="shared" si="254"/>
        <v>46.9</v>
      </c>
      <c r="H227" s="133">
        <f t="shared" si="254"/>
        <v>49.8</v>
      </c>
      <c r="I227" s="132"/>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230"/>
      <c r="AH227" s="230"/>
      <c r="AI227" s="123"/>
      <c r="AJ227" s="230"/>
      <c r="AK227" s="230"/>
    </row>
    <row r="228" spans="1:37" x14ac:dyDescent="0.25">
      <c r="A228" s="195" t="s">
        <v>520</v>
      </c>
      <c r="B228" s="56">
        <f t="shared" ref="B228:F228" si="255">SUM(B223:B227)</f>
        <v>-16.003999999999671</v>
      </c>
      <c r="C228" s="56">
        <f t="shared" si="255"/>
        <v>72.443999999999846</v>
      </c>
      <c r="D228" s="56">
        <f t="shared" si="255"/>
        <v>23.589999999999833</v>
      </c>
      <c r="E228" s="56">
        <f t="shared" si="255"/>
        <v>175.54199999999989</v>
      </c>
      <c r="F228" s="56">
        <f t="shared" si="255"/>
        <v>120.12600000000006</v>
      </c>
      <c r="G228" s="56">
        <f>SUM(G223:G227)</f>
        <v>-31.602000000000096</v>
      </c>
      <c r="H228" s="56">
        <f>SUM(H223:H227)</f>
        <v>37.649999999999956</v>
      </c>
      <c r="I228" s="132"/>
      <c r="J228" s="57"/>
      <c r="K228" s="61"/>
      <c r="L228" s="57"/>
      <c r="M228" s="57"/>
      <c r="N228" s="57"/>
      <c r="O228" s="57"/>
      <c r="P228" s="57"/>
      <c r="Q228" s="57"/>
      <c r="R228" s="57"/>
      <c r="S228" s="57"/>
      <c r="T228" s="57"/>
      <c r="U228" s="57"/>
      <c r="V228" s="57"/>
      <c r="W228" s="57"/>
      <c r="X228" s="57"/>
      <c r="Y228" s="57"/>
      <c r="Z228" s="57"/>
      <c r="AA228" s="57"/>
      <c r="AB228" s="57"/>
      <c r="AC228" s="57"/>
      <c r="AD228" s="57"/>
      <c r="AE228" s="57"/>
      <c r="AF228" s="57"/>
      <c r="AG228" s="230"/>
      <c r="AH228" s="230"/>
      <c r="AI228" s="123"/>
      <c r="AJ228" s="230"/>
      <c r="AK228" s="230"/>
    </row>
    <row r="229" spans="1:37" x14ac:dyDescent="0.25">
      <c r="A229" s="329" t="s">
        <v>528</v>
      </c>
      <c r="B229" s="328">
        <f>B223+B227+B225+B231</f>
        <v>-83.599999999999824</v>
      </c>
      <c r="C229" s="328">
        <f t="shared" ref="C229:H229" si="256">C223+C227+C225+C231</f>
        <v>15.299999999999912</v>
      </c>
      <c r="D229" s="328">
        <f t="shared" si="256"/>
        <v>36.899999999999885</v>
      </c>
      <c r="E229" s="328">
        <f t="shared" si="256"/>
        <v>109.29999999999986</v>
      </c>
      <c r="F229" s="328">
        <f t="shared" si="256"/>
        <v>52.300000000000026</v>
      </c>
      <c r="G229" s="328">
        <f t="shared" si="256"/>
        <v>41.899999999999963</v>
      </c>
      <c r="H229" s="328">
        <f t="shared" si="256"/>
        <v>-32.400000000000134</v>
      </c>
      <c r="I229" s="56"/>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230"/>
      <c r="AH229" s="230"/>
      <c r="AI229" s="123"/>
      <c r="AJ229" s="230"/>
      <c r="AK229" s="230"/>
    </row>
    <row r="230" spans="1:37" x14ac:dyDescent="0.25">
      <c r="A230" s="228"/>
      <c r="B230" s="56"/>
      <c r="C230" s="56"/>
      <c r="D230" s="56"/>
      <c r="E230" s="56"/>
      <c r="F230" s="56"/>
      <c r="G230" s="56"/>
      <c r="H230" s="56"/>
      <c r="I230" s="56"/>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230"/>
      <c r="AH230" s="230"/>
      <c r="AI230" s="123"/>
      <c r="AJ230" s="230"/>
      <c r="AK230" s="230"/>
    </row>
    <row r="231" spans="1:37" x14ac:dyDescent="0.25">
      <c r="A231" s="228" t="s">
        <v>526</v>
      </c>
      <c r="B231" s="132">
        <f>SUM(B170:B171)</f>
        <v>-113</v>
      </c>
      <c r="C231" s="132">
        <f t="shared" ref="C231:F231" si="257">SUM(C170:C171)</f>
        <v>-2</v>
      </c>
      <c r="D231" s="132">
        <f t="shared" si="257"/>
        <v>-10.1</v>
      </c>
      <c r="E231" s="132">
        <f t="shared" si="257"/>
        <v>-70.7</v>
      </c>
      <c r="F231" s="132">
        <f t="shared" si="257"/>
        <v>-29.7</v>
      </c>
      <c r="G231" s="132">
        <f>SUM(G170:G171)</f>
        <v>79.7</v>
      </c>
      <c r="H231" s="132">
        <f>SUM(H170:H171)</f>
        <v>-46.700000000000045</v>
      </c>
      <c r="I231" s="56"/>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230"/>
      <c r="AH231" s="230"/>
      <c r="AI231" s="123"/>
      <c r="AJ231" s="230"/>
      <c r="AK231" s="230"/>
    </row>
    <row r="232" spans="1:37" x14ac:dyDescent="0.25">
      <c r="A232" s="228" t="s">
        <v>523</v>
      </c>
      <c r="B232" s="133">
        <f t="shared" ref="B232:H232" si="258">B149</f>
        <v>77.900000000000219</v>
      </c>
      <c r="C232" s="133">
        <f t="shared" si="258"/>
        <v>101.19999999999993</v>
      </c>
      <c r="D232" s="133">
        <f t="shared" si="258"/>
        <v>102.9999999999999</v>
      </c>
      <c r="E232" s="133">
        <f t="shared" si="258"/>
        <v>127.09999999999989</v>
      </c>
      <c r="F232" s="133">
        <f t="shared" si="258"/>
        <v>115.30000000000005</v>
      </c>
      <c r="G232" s="133">
        <f t="shared" si="258"/>
        <v>78.299999999999983</v>
      </c>
      <c r="H232" s="133">
        <f t="shared" si="258"/>
        <v>101.79999999999991</v>
      </c>
      <c r="I232" s="56"/>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230"/>
      <c r="AH232" s="230"/>
      <c r="AI232" s="123"/>
      <c r="AJ232" s="230"/>
      <c r="AK232" s="230"/>
    </row>
    <row r="233" spans="1:37" x14ac:dyDescent="0.25">
      <c r="A233" s="195" t="s">
        <v>524</v>
      </c>
      <c r="B233" s="56">
        <f>B232+B226+B225</f>
        <v>13.496000000000208</v>
      </c>
      <c r="C233" s="56">
        <f t="shared" ref="C233:H233" si="259">C232+C226+C225</f>
        <v>35.243999999999929</v>
      </c>
      <c r="D233" s="56">
        <f t="shared" si="259"/>
        <v>38.989999999999895</v>
      </c>
      <c r="E233" s="56">
        <f t="shared" si="259"/>
        <v>170.14199999999991</v>
      </c>
      <c r="F233" s="56">
        <f t="shared" si="259"/>
        <v>126.62600000000003</v>
      </c>
      <c r="G233" s="56">
        <f t="shared" si="259"/>
        <v>6.5979999999999848</v>
      </c>
      <c r="H233" s="56">
        <f t="shared" si="259"/>
        <v>68.949999999999903</v>
      </c>
      <c r="I233" s="56"/>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230"/>
      <c r="AH233" s="230"/>
      <c r="AI233" s="123"/>
      <c r="AJ233" s="230"/>
      <c r="AK233" s="230"/>
    </row>
    <row r="234" spans="1:37" x14ac:dyDescent="0.25">
      <c r="A234" s="195" t="s">
        <v>525</v>
      </c>
      <c r="B234" s="56">
        <f>B232+B225+B231</f>
        <v>-144.89999999999981</v>
      </c>
      <c r="C234" s="56">
        <f t="shared" ref="C234:H234" si="260">C232+C225+C231</f>
        <v>-1.7000000000000597</v>
      </c>
      <c r="D234" s="56">
        <f t="shared" si="260"/>
        <v>-2.7000000000000934</v>
      </c>
      <c r="E234" s="56">
        <f t="shared" si="260"/>
        <v>61.299999999999883</v>
      </c>
      <c r="F234" s="56">
        <f t="shared" si="260"/>
        <v>48.800000000000054</v>
      </c>
      <c r="G234" s="56">
        <f t="shared" si="260"/>
        <v>44.09999999999998</v>
      </c>
      <c r="H234" s="56">
        <f t="shared" si="260"/>
        <v>-10.900000000000134</v>
      </c>
      <c r="I234" s="56"/>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230"/>
      <c r="AH234" s="230"/>
      <c r="AI234" s="123"/>
      <c r="AJ234" s="230"/>
      <c r="AK234" s="230"/>
    </row>
    <row r="235" spans="1:37" x14ac:dyDescent="0.25">
      <c r="A235" s="228"/>
      <c r="B235" s="56"/>
      <c r="C235" s="56"/>
      <c r="D235" s="56"/>
      <c r="E235" s="56"/>
      <c r="F235" s="56"/>
      <c r="G235" s="56"/>
      <c r="H235" s="56"/>
      <c r="I235" s="56"/>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230"/>
      <c r="AH235" s="230"/>
      <c r="AI235" s="123"/>
      <c r="AJ235" s="230"/>
      <c r="AK235" s="230"/>
    </row>
    <row r="236" spans="1:37" x14ac:dyDescent="0.25">
      <c r="A236" s="228" t="s">
        <v>535</v>
      </c>
      <c r="B236" s="132">
        <f t="shared" ref="B236:H236" si="261">B85*(1-B116)</f>
        <v>124.09066934819202</v>
      </c>
      <c r="C236" s="132">
        <f t="shared" si="261"/>
        <v>99.683999999999941</v>
      </c>
      <c r="D236" s="132">
        <f t="shared" si="261"/>
        <v>116.29799999999992</v>
      </c>
      <c r="E236" s="132">
        <f t="shared" si="261"/>
        <v>143.75399999999991</v>
      </c>
      <c r="F236" s="132">
        <f t="shared" si="261"/>
        <v>113.17800000000004</v>
      </c>
      <c r="G236" s="132">
        <f t="shared" si="261"/>
        <v>80.651999999999987</v>
      </c>
      <c r="H236" s="132">
        <f t="shared" si="261"/>
        <v>68.795999999999935</v>
      </c>
      <c r="I236" s="56"/>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230"/>
      <c r="AH236" s="230"/>
      <c r="AI236" s="123"/>
      <c r="AJ236" s="230"/>
      <c r="AK236" s="230"/>
    </row>
    <row r="237" spans="1:37" x14ac:dyDescent="0.25">
      <c r="A237" s="228" t="s">
        <v>527</v>
      </c>
      <c r="B237" s="133">
        <f>B126</f>
        <v>56.9</v>
      </c>
      <c r="C237" s="133">
        <f t="shared" ref="C237:H237" si="262">C126</f>
        <v>56.1</v>
      </c>
      <c r="D237" s="133">
        <f t="shared" si="262"/>
        <v>57.7</v>
      </c>
      <c r="E237" s="133">
        <f t="shared" si="262"/>
        <v>54.1</v>
      </c>
      <c r="F237" s="133">
        <f t="shared" si="262"/>
        <v>55.1</v>
      </c>
      <c r="G237" s="133">
        <f t="shared" si="262"/>
        <v>50.8</v>
      </c>
      <c r="H237" s="133">
        <f t="shared" si="262"/>
        <v>49.8</v>
      </c>
      <c r="I237" s="56"/>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230"/>
      <c r="AH237" s="230"/>
      <c r="AI237" s="123"/>
      <c r="AJ237" s="230"/>
      <c r="AK237" s="230"/>
    </row>
    <row r="238" spans="1:37" x14ac:dyDescent="0.25">
      <c r="A238" s="195" t="s">
        <v>530</v>
      </c>
      <c r="B238" s="56">
        <f>SUM(B236:B237,B224:B225)</f>
        <v>-19.609330651807824</v>
      </c>
      <c r="C238" s="56">
        <f t="shared" ref="C238:H238" si="263">SUM(C236:C237,C224:C225)</f>
        <v>75.083999999999875</v>
      </c>
      <c r="D238" s="56">
        <f t="shared" si="263"/>
        <v>23.397999999999882</v>
      </c>
      <c r="E238" s="56">
        <f t="shared" si="263"/>
        <v>160.15399999999994</v>
      </c>
      <c r="F238" s="56">
        <f t="shared" si="263"/>
        <v>121.47800000000004</v>
      </c>
      <c r="G238" s="56">
        <f t="shared" si="263"/>
        <v>-18.448000000000064</v>
      </c>
      <c r="H238" s="56">
        <f t="shared" si="263"/>
        <v>42.795999999999978</v>
      </c>
      <c r="I238" s="56"/>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230"/>
      <c r="AH238" s="230"/>
      <c r="AI238" s="123"/>
      <c r="AJ238" s="230"/>
      <c r="AK238" s="230"/>
    </row>
    <row r="239" spans="1:37" x14ac:dyDescent="0.25">
      <c r="A239" s="195" t="s">
        <v>531</v>
      </c>
      <c r="B239" s="56">
        <f>B236+B237+B224+B231+B225</f>
        <v>-132.60933065180782</v>
      </c>
      <c r="C239" s="56">
        <f t="shared" ref="C239:H239" si="264">C236+C237+C224+C231+C225</f>
        <v>73.083999999999875</v>
      </c>
      <c r="D239" s="56">
        <f t="shared" si="264"/>
        <v>13.297999999999888</v>
      </c>
      <c r="E239" s="56">
        <f t="shared" si="264"/>
        <v>89.453999999999937</v>
      </c>
      <c r="F239" s="56">
        <f t="shared" si="264"/>
        <v>91.778000000000048</v>
      </c>
      <c r="G239" s="56">
        <f t="shared" si="264"/>
        <v>61.251999999999924</v>
      </c>
      <c r="H239" s="56">
        <f t="shared" si="264"/>
        <v>-3.9040000000000674</v>
      </c>
      <c r="I239" s="56"/>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230"/>
      <c r="AH239" s="230"/>
      <c r="AI239" s="123"/>
      <c r="AJ239" s="230"/>
      <c r="AK239" s="230"/>
    </row>
    <row r="240" spans="1:37" x14ac:dyDescent="0.25">
      <c r="A240" s="228"/>
      <c r="B240" s="56"/>
      <c r="C240" s="56"/>
      <c r="D240" s="56"/>
      <c r="E240" s="56"/>
      <c r="F240" s="56"/>
      <c r="G240" s="56"/>
      <c r="H240" s="56"/>
      <c r="I240" s="56"/>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230"/>
      <c r="AH240" s="230"/>
      <c r="AI240" s="123"/>
      <c r="AJ240" s="230"/>
      <c r="AK240" s="230"/>
    </row>
    <row r="241" spans="1:37" x14ac:dyDescent="0.25">
      <c r="A241" s="228" t="s">
        <v>426</v>
      </c>
      <c r="B241" s="132">
        <f t="shared" ref="B241:H241" si="265">B87*B116</f>
        <v>47.517932380259289</v>
      </c>
      <c r="C241" s="132">
        <f t="shared" si="265"/>
        <v>40.457999999999984</v>
      </c>
      <c r="D241" s="132">
        <f t="shared" si="265"/>
        <v>45.495999999999981</v>
      </c>
      <c r="E241" s="132">
        <f t="shared" si="265"/>
        <v>52.447999999999972</v>
      </c>
      <c r="F241" s="132">
        <f t="shared" si="265"/>
        <v>44.044000000000011</v>
      </c>
      <c r="G241" s="132">
        <f t="shared" si="265"/>
        <v>33.923999999999999</v>
      </c>
      <c r="H241" s="132">
        <f t="shared" si="265"/>
        <v>30.359999999999982</v>
      </c>
      <c r="I241" s="56"/>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230"/>
      <c r="AH241" s="230"/>
      <c r="AI241" s="123"/>
      <c r="AJ241" s="230"/>
      <c r="AK241" s="230"/>
    </row>
    <row r="242" spans="1:37" x14ac:dyDescent="0.25">
      <c r="A242" s="228" t="s">
        <v>534</v>
      </c>
      <c r="B242" s="133">
        <f>B126*B116</f>
        <v>12.517999999999999</v>
      </c>
      <c r="C242" s="133">
        <f t="shared" ref="C242:H242" si="266">C126*C116</f>
        <v>12.342000000000001</v>
      </c>
      <c r="D242" s="133">
        <f t="shared" si="266"/>
        <v>12.694000000000001</v>
      </c>
      <c r="E242" s="133">
        <f t="shared" si="266"/>
        <v>11.902000000000001</v>
      </c>
      <c r="F242" s="133">
        <f t="shared" si="266"/>
        <v>12.122</v>
      </c>
      <c r="G242" s="133">
        <f t="shared" si="266"/>
        <v>11.176</v>
      </c>
      <c r="H242" s="133">
        <f t="shared" si="266"/>
        <v>10.956</v>
      </c>
      <c r="I242" s="56"/>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230"/>
      <c r="AH242" s="230"/>
      <c r="AI242" s="123"/>
      <c r="AJ242" s="230"/>
      <c r="AK242" s="230"/>
    </row>
    <row r="243" spans="1:37" x14ac:dyDescent="0.25">
      <c r="A243" s="329" t="s">
        <v>533</v>
      </c>
      <c r="B243" s="328">
        <f>B241+B242+B224+B225</f>
        <v>-140.56406761974057</v>
      </c>
      <c r="C243" s="328">
        <f t="shared" ref="C243:H243" si="267">C241+C242+C224+C225</f>
        <v>-27.900000000000077</v>
      </c>
      <c r="D243" s="328">
        <f t="shared" si="267"/>
        <v>-92.410000000000068</v>
      </c>
      <c r="E243" s="328">
        <f t="shared" si="267"/>
        <v>26.650000000000006</v>
      </c>
      <c r="F243" s="328">
        <f t="shared" si="267"/>
        <v>9.3660000000000068</v>
      </c>
      <c r="G243" s="328">
        <f t="shared" si="267"/>
        <v>-104.80000000000007</v>
      </c>
      <c r="H243" s="328">
        <f t="shared" si="267"/>
        <v>-34.483999999999973</v>
      </c>
      <c r="I243" s="56"/>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230"/>
      <c r="AH243" s="230"/>
      <c r="AI243" s="123"/>
      <c r="AJ243" s="230"/>
      <c r="AK243" s="230"/>
    </row>
    <row r="244" spans="1:37" x14ac:dyDescent="0.25">
      <c r="A244" s="195" t="s">
        <v>532</v>
      </c>
      <c r="B244" s="56">
        <f>B236+B224+B225+B231</f>
        <v>-189.50933065180783</v>
      </c>
      <c r="C244" s="56">
        <f t="shared" ref="C244:H244" si="268">C236+C224+C225+C231</f>
        <v>16.983999999999881</v>
      </c>
      <c r="D244" s="56">
        <f t="shared" si="268"/>
        <v>-44.402000000000136</v>
      </c>
      <c r="E244" s="56">
        <f t="shared" si="268"/>
        <v>35.353999999999942</v>
      </c>
      <c r="F244" s="56">
        <f t="shared" si="268"/>
        <v>36.67800000000004</v>
      </c>
      <c r="G244" s="56">
        <f t="shared" si="268"/>
        <v>10.451999999999927</v>
      </c>
      <c r="H244" s="56">
        <f t="shared" si="268"/>
        <v>-53.704000000000065</v>
      </c>
      <c r="I244" s="56"/>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230"/>
      <c r="AH244" s="230"/>
      <c r="AI244" s="123"/>
      <c r="AJ244" s="230"/>
      <c r="AK244" s="230"/>
    </row>
    <row r="245" spans="1:37" x14ac:dyDescent="0.25">
      <c r="A245" s="228"/>
      <c r="B245" s="56"/>
      <c r="C245" s="56"/>
      <c r="D245" s="56"/>
      <c r="E245" s="56"/>
      <c r="F245" s="56"/>
      <c r="G245" s="56"/>
      <c r="H245" s="56"/>
      <c r="I245" s="56"/>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230"/>
      <c r="AH245" s="230"/>
      <c r="AI245" s="123"/>
      <c r="AJ245" s="230"/>
      <c r="AK245" s="230"/>
    </row>
    <row r="246" spans="1:37" s="1" customFormat="1" x14ac:dyDescent="0.25">
      <c r="A246" s="1" t="s">
        <v>111</v>
      </c>
      <c r="B246" s="1" t="s">
        <v>318</v>
      </c>
      <c r="K246" s="236"/>
      <c r="L246" s="236"/>
      <c r="M246" s="236"/>
      <c r="N246" s="236"/>
      <c r="O246" s="236"/>
      <c r="P246" s="236"/>
      <c r="Q246" s="236"/>
      <c r="R246" s="236"/>
      <c r="S246" s="236"/>
      <c r="T246" s="236"/>
      <c r="U246" s="236"/>
      <c r="V246" s="236"/>
      <c r="W246" s="236"/>
      <c r="X246" s="236"/>
      <c r="Y246" s="236"/>
      <c r="Z246" s="236"/>
      <c r="AA246" s="236"/>
    </row>
    <row r="247" spans="1:37" s="1" customFormat="1" x14ac:dyDescent="0.25">
      <c r="A247" s="1" t="s">
        <v>346</v>
      </c>
      <c r="K247" s="236"/>
      <c r="L247" s="236"/>
      <c r="M247" s="236"/>
      <c r="N247" s="236"/>
      <c r="O247" s="236"/>
      <c r="P247" s="236"/>
      <c r="Q247" s="236"/>
      <c r="R247" s="236"/>
      <c r="S247" s="236"/>
      <c r="T247" s="236"/>
      <c r="U247" s="236"/>
      <c r="V247" s="236"/>
      <c r="W247" s="236"/>
      <c r="X247" s="236"/>
      <c r="Y247" s="236"/>
      <c r="Z247" s="236"/>
      <c r="AA247" s="236"/>
    </row>
    <row r="248" spans="1:37" s="1" customFormat="1" x14ac:dyDescent="0.25">
      <c r="A248" s="1" t="s">
        <v>3</v>
      </c>
      <c r="H248" s="2"/>
      <c r="I248" s="2"/>
      <c r="K248" s="236"/>
      <c r="L248" s="236"/>
      <c r="M248" s="236"/>
      <c r="N248" s="236"/>
      <c r="O248" s="236"/>
      <c r="P248" s="237"/>
      <c r="Q248" s="237"/>
      <c r="R248" s="237"/>
      <c r="S248" s="236"/>
      <c r="T248" s="236"/>
      <c r="U248" s="236"/>
      <c r="V248" s="236"/>
      <c r="W248" s="236"/>
      <c r="X248" s="236"/>
      <c r="Y248" s="236"/>
      <c r="Z248" s="236"/>
      <c r="AA248" s="236"/>
    </row>
    <row r="249" spans="1:37" s="1" customFormat="1" ht="15.75" thickBot="1" x14ac:dyDescent="0.3">
      <c r="A249" s="2" t="s">
        <v>11</v>
      </c>
      <c r="B249" s="17" t="s">
        <v>72</v>
      </c>
      <c r="C249" s="3">
        <v>2022</v>
      </c>
      <c r="D249" s="3">
        <v>2021</v>
      </c>
      <c r="E249" s="3">
        <v>2020</v>
      </c>
      <c r="F249" s="3">
        <v>2019</v>
      </c>
      <c r="G249" s="3">
        <v>2018</v>
      </c>
      <c r="H249" s="3">
        <v>2017</v>
      </c>
      <c r="I249" s="3">
        <v>2016</v>
      </c>
      <c r="K249" s="7"/>
      <c r="L249" s="7"/>
      <c r="M249" s="7"/>
      <c r="N249" s="7"/>
      <c r="O249" s="7"/>
      <c r="P249" s="7"/>
      <c r="Q249" s="7"/>
      <c r="R249" s="7"/>
      <c r="S249" s="236"/>
      <c r="T249" s="236"/>
      <c r="U249" s="236"/>
      <c r="V249" s="236"/>
      <c r="W249" s="7"/>
      <c r="X249" s="7"/>
      <c r="Y249" s="7"/>
      <c r="Z249" s="7"/>
      <c r="AA249" s="7"/>
    </row>
    <row r="250" spans="1:37" s="238" customFormat="1" x14ac:dyDescent="0.25">
      <c r="A250" s="252" t="s">
        <v>347</v>
      </c>
      <c r="B250" s="235">
        <f t="shared" ref="B250:I250" si="269">B11-B28</f>
        <v>404.2999999999999</v>
      </c>
      <c r="C250" s="235">
        <f t="shared" si="269"/>
        <v>312.80000000000007</v>
      </c>
      <c r="D250" s="235">
        <f t="shared" si="269"/>
        <v>342.40000000000003</v>
      </c>
      <c r="E250" s="235">
        <f t="shared" si="269"/>
        <v>272.39999999999998</v>
      </c>
      <c r="F250" s="235">
        <f t="shared" si="269"/>
        <v>223.3</v>
      </c>
      <c r="G250" s="235">
        <f t="shared" si="269"/>
        <v>241.59999999999991</v>
      </c>
      <c r="H250" s="235">
        <f t="shared" si="269"/>
        <v>225.5</v>
      </c>
      <c r="I250" s="235">
        <f t="shared" si="269"/>
        <v>144.99999999999994</v>
      </c>
    </row>
    <row r="251" spans="1:37" s="238" customFormat="1" x14ac:dyDescent="0.25">
      <c r="A251" s="252" t="s">
        <v>348</v>
      </c>
      <c r="B251" s="235">
        <f t="shared" ref="B251:I251" si="270">(B11-B7-B6)-(B28-B27)</f>
        <v>390.79999999999995</v>
      </c>
      <c r="C251" s="235">
        <f t="shared" si="270"/>
        <v>300.00000000000011</v>
      </c>
      <c r="D251" s="235">
        <f t="shared" si="270"/>
        <v>320.20000000000005</v>
      </c>
      <c r="E251" s="235">
        <f t="shared" si="270"/>
        <v>265.2</v>
      </c>
      <c r="F251" s="235">
        <f t="shared" si="270"/>
        <v>222.60000000000002</v>
      </c>
      <c r="G251" s="235">
        <f t="shared" si="270"/>
        <v>212.59999999999991</v>
      </c>
      <c r="H251" s="235">
        <f t="shared" si="270"/>
        <v>176.59999999999997</v>
      </c>
      <c r="I251" s="235">
        <f t="shared" si="270"/>
        <v>166.79999999999993</v>
      </c>
    </row>
    <row r="252" spans="1:37" s="238" customFormat="1" x14ac:dyDescent="0.25">
      <c r="A252" s="252" t="s">
        <v>349</v>
      </c>
      <c r="B252" s="239">
        <f t="shared" ref="B252:I252" si="271">B11/B28</f>
        <v>2.2214501510574012</v>
      </c>
      <c r="C252" s="239">
        <f t="shared" si="271"/>
        <v>1.9654320987654323</v>
      </c>
      <c r="D252" s="239">
        <f t="shared" si="271"/>
        <v>2.1984599229961499</v>
      </c>
      <c r="E252" s="239">
        <f t="shared" si="271"/>
        <v>1.9325573433755561</v>
      </c>
      <c r="F252" s="239">
        <f t="shared" si="271"/>
        <v>1.7538825118163404</v>
      </c>
      <c r="G252" s="239">
        <f t="shared" si="271"/>
        <v>1.8088382992969529</v>
      </c>
      <c r="H252" s="239">
        <f t="shared" si="271"/>
        <v>1.8019203413940257</v>
      </c>
      <c r="I252" s="239">
        <f t="shared" si="271"/>
        <v>1.4947117024906174</v>
      </c>
    </row>
    <row r="253" spans="1:37" s="238" customFormat="1" x14ac:dyDescent="0.25">
      <c r="A253" s="252" t="s">
        <v>350</v>
      </c>
      <c r="B253" s="239">
        <f t="shared" ref="B253:I253" si="272">(B6+B7+B8)/B28</f>
        <v>0.90906344410876128</v>
      </c>
      <c r="C253" s="239">
        <f t="shared" si="272"/>
        <v>0.76851851851851849</v>
      </c>
      <c r="D253" s="239">
        <f t="shared" si="272"/>
        <v>0.79908995449772491</v>
      </c>
      <c r="E253" s="239">
        <f t="shared" si="272"/>
        <v>0.73125641903457717</v>
      </c>
      <c r="F253" s="239">
        <f t="shared" si="272"/>
        <v>0.66475354490209326</v>
      </c>
      <c r="G253" s="239">
        <f t="shared" si="272"/>
        <v>0.77100770003347818</v>
      </c>
      <c r="H253" s="239">
        <f t="shared" si="272"/>
        <v>0.78058321479374115</v>
      </c>
      <c r="I253" s="239">
        <f t="shared" si="272"/>
        <v>0.53770044353462976</v>
      </c>
    </row>
    <row r="254" spans="1:37" s="238" customFormat="1" x14ac:dyDescent="0.25">
      <c r="A254" s="252" t="s">
        <v>351</v>
      </c>
      <c r="B254" s="239">
        <f t="shared" ref="B254:I254" si="273">(B6+B7)/B28</f>
        <v>0.11570996978851961</v>
      </c>
      <c r="C254" s="239">
        <f t="shared" si="273"/>
        <v>0.10277777777777777</v>
      </c>
      <c r="D254" s="239">
        <f t="shared" si="273"/>
        <v>0.15925796289814492</v>
      </c>
      <c r="E254" s="239">
        <f t="shared" si="273"/>
        <v>0.13180417665183156</v>
      </c>
      <c r="F254" s="239">
        <f t="shared" si="273"/>
        <v>0.11141120864280891</v>
      </c>
      <c r="G254" s="239">
        <f t="shared" si="273"/>
        <v>0.13592233009708737</v>
      </c>
      <c r="H254" s="239">
        <f t="shared" si="273"/>
        <v>0.21443812233285917</v>
      </c>
      <c r="I254" s="239">
        <f t="shared" si="273"/>
        <v>7.0965540771067898E-2</v>
      </c>
    </row>
    <row r="255" spans="1:37" s="238" customFormat="1" x14ac:dyDescent="0.25">
      <c r="A255" s="256" t="s">
        <v>352</v>
      </c>
      <c r="B255" s="239"/>
      <c r="C255" s="239"/>
      <c r="D255" s="239"/>
      <c r="E255" s="239"/>
      <c r="F255" s="239"/>
      <c r="G255" s="239"/>
    </row>
    <row r="256" spans="1:37" s="238" customFormat="1" x14ac:dyDescent="0.25">
      <c r="A256" s="252" t="s">
        <v>353</v>
      </c>
      <c r="B256" s="239">
        <f t="shared" ref="B256:H257" si="274">B55/AVERAGE(B8:C8)</f>
        <v>8.8199874555718178</v>
      </c>
      <c r="C256" s="239">
        <f t="shared" si="274"/>
        <v>9.939774153074028</v>
      </c>
      <c r="D256" s="239">
        <f t="shared" si="274"/>
        <v>9.3802738195026549</v>
      </c>
      <c r="E256" s="239">
        <f t="shared" si="274"/>
        <v>9.8471976401179937</v>
      </c>
      <c r="F256" s="239">
        <f t="shared" si="274"/>
        <v>9.2590497737556561</v>
      </c>
      <c r="G256" s="239">
        <f t="shared" si="274"/>
        <v>8.9578675838349113</v>
      </c>
      <c r="H256" s="239">
        <f t="shared" si="274"/>
        <v>9.9695945945945947</v>
      </c>
      <c r="I256" s="239"/>
    </row>
    <row r="257" spans="1:9" s="238" customFormat="1" x14ac:dyDescent="0.25">
      <c r="A257" s="252" t="s">
        <v>354</v>
      </c>
      <c r="B257" s="239">
        <f t="shared" si="274"/>
        <v>4.2610849640822392</v>
      </c>
      <c r="C257" s="239">
        <f t="shared" si="274"/>
        <v>4.886930545182973</v>
      </c>
      <c r="D257" s="239">
        <f t="shared" si="274"/>
        <v>4.411089238845145</v>
      </c>
      <c r="E257" s="239">
        <f t="shared" si="274"/>
        <v>4.3997310472348303</v>
      </c>
      <c r="F257" s="239">
        <f t="shared" si="274"/>
        <v>4.4751627269612886</v>
      </c>
      <c r="G257" s="239">
        <f t="shared" si="274"/>
        <v>4.834739263803681</v>
      </c>
      <c r="H257" s="239">
        <f t="shared" si="274"/>
        <v>4.9544673539518911</v>
      </c>
      <c r="I257" s="239"/>
    </row>
    <row r="258" spans="1:9" s="238" customFormat="1" x14ac:dyDescent="0.25">
      <c r="A258" s="252" t="s">
        <v>355</v>
      </c>
      <c r="B258" s="239">
        <f t="shared" ref="B258:H258" si="275">B271/AVERAGE(B25:C25)</f>
        <v>7.8912797281993203</v>
      </c>
      <c r="C258" s="239">
        <f t="shared" si="275"/>
        <v>8.8462958080674934</v>
      </c>
      <c r="D258" s="239">
        <f t="shared" si="275"/>
        <v>8.3975460122699381</v>
      </c>
      <c r="E258" s="239">
        <f t="shared" si="275"/>
        <v>8.0246913580246915</v>
      </c>
      <c r="F258" s="239">
        <f t="shared" si="275"/>
        <v>7.6122154998559486</v>
      </c>
      <c r="G258" s="239">
        <f t="shared" si="275"/>
        <v>8.0175493575681607</v>
      </c>
      <c r="H258" s="239">
        <f t="shared" si="275"/>
        <v>8.0580216707444947</v>
      </c>
      <c r="I258" s="239"/>
    </row>
    <row r="259" spans="1:9" s="238" customFormat="1" x14ac:dyDescent="0.25">
      <c r="A259" s="256" t="s">
        <v>356</v>
      </c>
      <c r="B259" s="239"/>
      <c r="C259" s="239"/>
      <c r="D259" s="239"/>
      <c r="E259" s="239"/>
      <c r="F259" s="239"/>
      <c r="G259" s="239"/>
      <c r="H259" s="239"/>
    </row>
    <row r="260" spans="1:9" s="238" customFormat="1" x14ac:dyDescent="0.25">
      <c r="A260" s="252" t="s">
        <v>357</v>
      </c>
      <c r="B260" s="239">
        <f>360/B256</f>
        <v>40.816384582562932</v>
      </c>
      <c r="C260" s="239">
        <f t="shared" ref="C260:G260" si="276">360/C256</f>
        <v>36.218126735672811</v>
      </c>
      <c r="D260" s="239">
        <f t="shared" si="276"/>
        <v>38.378410580245443</v>
      </c>
      <c r="E260" s="239">
        <f t="shared" si="276"/>
        <v>36.558624408363791</v>
      </c>
      <c r="F260" s="239">
        <f t="shared" si="276"/>
        <v>38.88087965791081</v>
      </c>
      <c r="G260" s="239">
        <f t="shared" si="276"/>
        <v>40.188135918602413</v>
      </c>
      <c r="H260" s="239">
        <f t="shared" ref="H260" si="277">360/H256</f>
        <v>36.109793290410032</v>
      </c>
      <c r="I260" s="262"/>
    </row>
    <row r="261" spans="1:9" s="238" customFormat="1" x14ac:dyDescent="0.25">
      <c r="A261" s="252" t="s">
        <v>358</v>
      </c>
      <c r="B261" s="241">
        <f>360/B257</f>
        <v>84.48552493896058</v>
      </c>
      <c r="C261" s="241">
        <f t="shared" ref="C261:G261" si="278">360/C257</f>
        <v>73.665871997065821</v>
      </c>
      <c r="D261" s="241">
        <f t="shared" si="278"/>
        <v>81.612495351431747</v>
      </c>
      <c r="E261" s="241">
        <f t="shared" si="278"/>
        <v>81.823183311683337</v>
      </c>
      <c r="F261" s="241">
        <f t="shared" si="278"/>
        <v>80.444002143458619</v>
      </c>
      <c r="G261" s="241">
        <f t="shared" si="278"/>
        <v>74.461099214846541</v>
      </c>
      <c r="H261" s="241">
        <f t="shared" ref="H261" si="279">360/H257</f>
        <v>72.661695855730869</v>
      </c>
      <c r="I261" s="262"/>
    </row>
    <row r="262" spans="1:9" s="238" customFormat="1" x14ac:dyDescent="0.25">
      <c r="A262" s="253" t="s">
        <v>359</v>
      </c>
      <c r="B262" s="242">
        <f>SUM(B260:B261)</f>
        <v>125.30190952152351</v>
      </c>
      <c r="C262" s="242">
        <f t="shared" ref="C262:G262" si="280">SUM(C260:C261)</f>
        <v>109.88399873273863</v>
      </c>
      <c r="D262" s="242">
        <f t="shared" si="280"/>
        <v>119.99090593167719</v>
      </c>
      <c r="E262" s="242">
        <f t="shared" si="280"/>
        <v>118.38180772004714</v>
      </c>
      <c r="F262" s="242">
        <f t="shared" si="280"/>
        <v>119.32488180136943</v>
      </c>
      <c r="G262" s="242">
        <f t="shared" si="280"/>
        <v>114.64923513344895</v>
      </c>
      <c r="H262" s="242">
        <f t="shared" ref="H262" si="281">SUM(H260:H261)</f>
        <v>108.77148914614091</v>
      </c>
      <c r="I262" s="263"/>
    </row>
    <row r="263" spans="1:9" s="238" customFormat="1" x14ac:dyDescent="0.25">
      <c r="A263" s="252" t="s">
        <v>360</v>
      </c>
      <c r="B263" s="241">
        <f>360/B258</f>
        <v>45.619977037887487</v>
      </c>
      <c r="C263" s="241">
        <f t="shared" ref="C263:G263" si="282">360/C258</f>
        <v>40.694999105918818</v>
      </c>
      <c r="D263" s="241">
        <f t="shared" si="282"/>
        <v>42.869666861484518</v>
      </c>
      <c r="E263" s="241">
        <f t="shared" si="282"/>
        <v>44.861538461538458</v>
      </c>
      <c r="F263" s="241">
        <f t="shared" si="282"/>
        <v>47.292407841949895</v>
      </c>
      <c r="G263" s="241">
        <f t="shared" si="282"/>
        <v>44.901500938086301</v>
      </c>
      <c r="H263" s="241">
        <f t="shared" ref="H263" si="283">360/H258</f>
        <v>44.67597813828403</v>
      </c>
      <c r="I263" s="262"/>
    </row>
    <row r="264" spans="1:9" s="238" customFormat="1" x14ac:dyDescent="0.25">
      <c r="A264" s="252" t="s">
        <v>361</v>
      </c>
      <c r="B264" s="239">
        <f>B262-B263</f>
        <v>79.681932483636018</v>
      </c>
      <c r="C264" s="239">
        <f t="shared" ref="C264:G264" si="284">C262-C263</f>
        <v>69.188999626819822</v>
      </c>
      <c r="D264" s="239">
        <f t="shared" si="284"/>
        <v>77.121239070192672</v>
      </c>
      <c r="E264" s="239">
        <f t="shared" si="284"/>
        <v>73.520269258508677</v>
      </c>
      <c r="F264" s="239">
        <f t="shared" si="284"/>
        <v>72.032473959419534</v>
      </c>
      <c r="G264" s="239">
        <f t="shared" si="284"/>
        <v>69.747734195362654</v>
      </c>
      <c r="H264" s="239">
        <f t="shared" ref="H264" si="285">H262-H263</f>
        <v>64.095511007856885</v>
      </c>
      <c r="I264" s="250"/>
    </row>
    <row r="265" spans="1:9" s="238" customFormat="1" x14ac:dyDescent="0.25">
      <c r="A265" s="256" t="s">
        <v>362</v>
      </c>
      <c r="B265" s="239"/>
      <c r="C265" s="239"/>
      <c r="D265" s="239"/>
      <c r="E265" s="239"/>
      <c r="F265" s="239"/>
      <c r="G265" s="239"/>
    </row>
    <row r="266" spans="1:9" s="238" customFormat="1" x14ac:dyDescent="0.25">
      <c r="A266" s="252" t="s">
        <v>363</v>
      </c>
      <c r="B266" s="239">
        <f t="shared" ref="B266:I267" si="286">B8/(B55/360)</f>
        <v>44.818660219030015</v>
      </c>
      <c r="C266" s="239">
        <f t="shared" si="286"/>
        <v>39.208280737187579</v>
      </c>
      <c r="D266" s="239">
        <f t="shared" si="286"/>
        <v>39.204098653639939</v>
      </c>
      <c r="E266" s="239">
        <f t="shared" si="286"/>
        <v>37.766460966988198</v>
      </c>
      <c r="F266" s="239">
        <f t="shared" si="286"/>
        <v>36.043982895540623</v>
      </c>
      <c r="G266" s="239">
        <f t="shared" si="286"/>
        <v>43.70128623536187</v>
      </c>
      <c r="H266" s="239">
        <f t="shared" si="286"/>
        <v>38.842426296170785</v>
      </c>
      <c r="I266" s="239">
        <f t="shared" si="286"/>
        <v>34.774749329190783</v>
      </c>
    </row>
    <row r="267" spans="1:9" s="238" customFormat="1" x14ac:dyDescent="0.25">
      <c r="A267" s="252" t="s">
        <v>364</v>
      </c>
      <c r="B267" s="239">
        <f t="shared" si="286"/>
        <v>94.530868503662347</v>
      </c>
      <c r="C267" s="239">
        <f t="shared" si="286"/>
        <v>78.276178250504302</v>
      </c>
      <c r="D267" s="239">
        <f t="shared" si="286"/>
        <v>84.022313127556714</v>
      </c>
      <c r="E267" s="239">
        <f t="shared" si="286"/>
        <v>81.36929777641933</v>
      </c>
      <c r="F267" s="239">
        <f t="shared" si="286"/>
        <v>82.428232412156476</v>
      </c>
      <c r="G267" s="239">
        <f t="shared" si="286"/>
        <v>81.284796573875809</v>
      </c>
      <c r="H267" s="239">
        <f t="shared" si="286"/>
        <v>73.941390671059466</v>
      </c>
      <c r="I267" s="239">
        <f t="shared" si="286"/>
        <v>73.106020245071917</v>
      </c>
    </row>
    <row r="268" spans="1:9" s="238" customFormat="1" x14ac:dyDescent="0.25">
      <c r="A268" s="252" t="s">
        <v>365</v>
      </c>
      <c r="B268" s="239">
        <f t="shared" ref="B268:I268" si="287">B25/(B271/360)</f>
        <v>48.378874856486803</v>
      </c>
      <c r="C268" s="239">
        <f t="shared" si="287"/>
        <v>44.503784943672883</v>
      </c>
      <c r="D268" s="239">
        <f t="shared" si="287"/>
        <v>45.210403272939807</v>
      </c>
      <c r="E268" s="239">
        <f t="shared" si="287"/>
        <v>42.673846153846149</v>
      </c>
      <c r="F268" s="239">
        <f t="shared" si="287"/>
        <v>46.297782151237605</v>
      </c>
      <c r="G268" s="239">
        <f t="shared" si="287"/>
        <v>49.868667917448398</v>
      </c>
      <c r="H268" s="239">
        <f t="shared" si="287"/>
        <v>44.316821375900062</v>
      </c>
      <c r="I268" s="239">
        <f t="shared" si="287"/>
        <v>45.960159362549796</v>
      </c>
    </row>
    <row r="269" spans="1:9" s="238" customFormat="1" x14ac:dyDescent="0.25">
      <c r="A269" s="253" t="s">
        <v>366</v>
      </c>
      <c r="B269" s="239"/>
      <c r="C269" s="239"/>
      <c r="D269" s="239"/>
      <c r="E269" s="239"/>
      <c r="F269" s="239"/>
      <c r="G269" s="239"/>
    </row>
    <row r="270" spans="1:9" s="238" customFormat="1" x14ac:dyDescent="0.25">
      <c r="A270" s="252" t="s">
        <v>367</v>
      </c>
      <c r="B270" s="235">
        <f t="shared" ref="B270:I270" si="288">B55+B145</f>
        <v>2069.9</v>
      </c>
      <c r="C270" s="235">
        <f t="shared" si="288"/>
        <v>1938.7</v>
      </c>
      <c r="D270" s="235">
        <f t="shared" si="288"/>
        <v>1654.3</v>
      </c>
      <c r="E270" s="235">
        <f t="shared" si="288"/>
        <v>1677.8</v>
      </c>
      <c r="F270" s="235">
        <f t="shared" si="288"/>
        <v>1622.2</v>
      </c>
      <c r="G270" s="235">
        <f t="shared" si="288"/>
        <v>1544.4</v>
      </c>
      <c r="H270" s="235">
        <f t="shared" si="288"/>
        <v>1476.2</v>
      </c>
      <c r="I270" s="235">
        <f t="shared" si="288"/>
        <v>1412.9</v>
      </c>
    </row>
    <row r="271" spans="1:9" s="238" customFormat="1" x14ac:dyDescent="0.25">
      <c r="A271" s="252" t="s">
        <v>428</v>
      </c>
      <c r="B271" s="243">
        <f>B56-B144</f>
        <v>1742</v>
      </c>
      <c r="C271" s="243">
        <f t="shared" ref="C271:I271" si="289">C56-C145</f>
        <v>1677.7</v>
      </c>
      <c r="D271" s="243">
        <f t="shared" si="289"/>
        <v>1368.8</v>
      </c>
      <c r="E271" s="243">
        <f t="shared" si="289"/>
        <v>1300</v>
      </c>
      <c r="F271" s="243">
        <f t="shared" si="289"/>
        <v>1321.1</v>
      </c>
      <c r="G271" s="243">
        <f t="shared" si="289"/>
        <v>1279.2</v>
      </c>
      <c r="H271" s="243">
        <f t="shared" si="289"/>
        <v>1152.7</v>
      </c>
      <c r="I271" s="243">
        <f t="shared" si="289"/>
        <v>1129.5</v>
      </c>
    </row>
    <row r="272" spans="1:9" s="238" customFormat="1" x14ac:dyDescent="0.25">
      <c r="A272" s="252" t="s">
        <v>322</v>
      </c>
      <c r="B272" s="244">
        <f t="shared" ref="B272:I272" si="290">-B152</f>
        <v>1762.4</v>
      </c>
      <c r="C272" s="244">
        <f t="shared" si="290"/>
        <v>1645</v>
      </c>
      <c r="D272" s="244">
        <f t="shared" si="290"/>
        <v>1347.8999999999999</v>
      </c>
      <c r="E272" s="244">
        <f t="shared" si="290"/>
        <v>1325.3</v>
      </c>
      <c r="F272" s="244">
        <f t="shared" si="290"/>
        <v>1324.1999999999998</v>
      </c>
      <c r="G272" s="244">
        <f t="shared" si="290"/>
        <v>1248.4000000000001</v>
      </c>
      <c r="H272" s="244">
        <f t="shared" si="290"/>
        <v>1166.3</v>
      </c>
      <c r="I272" s="244">
        <f t="shared" si="290"/>
        <v>1124.5</v>
      </c>
    </row>
    <row r="273" spans="1:27" s="238" customFormat="1" x14ac:dyDescent="0.25">
      <c r="A273" s="252" t="s">
        <v>368</v>
      </c>
      <c r="B273" s="244">
        <f t="shared" ref="B273:I273" si="291">B270-B198</f>
        <v>1991.9999999999998</v>
      </c>
      <c r="C273" s="244">
        <f t="shared" si="291"/>
        <v>1837.5</v>
      </c>
      <c r="D273" s="244">
        <f t="shared" si="291"/>
        <v>1551.3</v>
      </c>
      <c r="E273" s="244">
        <f t="shared" si="291"/>
        <v>1550.7</v>
      </c>
      <c r="F273" s="244">
        <f t="shared" si="291"/>
        <v>1506.9</v>
      </c>
      <c r="G273" s="244">
        <f t="shared" si="291"/>
        <v>1466.1000000000001</v>
      </c>
      <c r="H273" s="244">
        <f t="shared" si="291"/>
        <v>1374.4</v>
      </c>
      <c r="I273" s="244">
        <f t="shared" si="291"/>
        <v>1293.4000000000001</v>
      </c>
    </row>
    <row r="274" spans="1:27" s="238" customFormat="1" x14ac:dyDescent="0.25">
      <c r="A274" s="252" t="s">
        <v>369</v>
      </c>
      <c r="B274" s="239">
        <f>B270/360</f>
        <v>5.7497222222222222</v>
      </c>
      <c r="C274" s="239">
        <f t="shared" ref="C274:H274" si="292">C270/360</f>
        <v>5.3852777777777776</v>
      </c>
      <c r="D274" s="239">
        <f t="shared" si="292"/>
        <v>4.5952777777777776</v>
      </c>
      <c r="E274" s="239">
        <f t="shared" si="292"/>
        <v>4.6605555555555558</v>
      </c>
      <c r="F274" s="239">
        <f t="shared" si="292"/>
        <v>4.5061111111111112</v>
      </c>
      <c r="G274" s="239">
        <f t="shared" si="292"/>
        <v>4.29</v>
      </c>
      <c r="H274" s="239">
        <f t="shared" si="292"/>
        <v>4.1005555555555553</v>
      </c>
      <c r="I274" s="239">
        <f t="shared" ref="I274" si="293">I270/360</f>
        <v>3.9247222222222224</v>
      </c>
    </row>
    <row r="275" spans="1:27" s="238" customFormat="1" ht="15.75" thickBot="1" x14ac:dyDescent="0.3">
      <c r="A275" s="254" t="s">
        <v>370</v>
      </c>
      <c r="B275" s="264">
        <f>B271/360</f>
        <v>4.8388888888888886</v>
      </c>
      <c r="C275" s="264">
        <f t="shared" ref="C275:H275" si="294">C271/360</f>
        <v>4.660277777777778</v>
      </c>
      <c r="D275" s="264">
        <f t="shared" si="294"/>
        <v>3.8022222222222219</v>
      </c>
      <c r="E275" s="264">
        <f t="shared" si="294"/>
        <v>3.6111111111111112</v>
      </c>
      <c r="F275" s="264">
        <f t="shared" si="294"/>
        <v>3.6697222222222221</v>
      </c>
      <c r="G275" s="264">
        <f t="shared" si="294"/>
        <v>3.5533333333333337</v>
      </c>
      <c r="H275" s="264">
        <f t="shared" si="294"/>
        <v>3.2019444444444445</v>
      </c>
      <c r="I275" s="264">
        <f t="shared" ref="I275" si="295">I271/360</f>
        <v>3.1375000000000002</v>
      </c>
    </row>
    <row r="276" spans="1:27" s="238" customFormat="1" ht="15.75" thickTop="1" x14ac:dyDescent="0.25">
      <c r="A276" s="255"/>
    </row>
    <row r="277" spans="1:27" s="1" customFormat="1" x14ac:dyDescent="0.25">
      <c r="A277" s="1" t="s">
        <v>111</v>
      </c>
      <c r="B277" s="1" t="s">
        <v>318</v>
      </c>
      <c r="K277" s="236"/>
      <c r="L277" s="236"/>
      <c r="M277" s="236"/>
      <c r="N277" s="236"/>
      <c r="O277" s="236"/>
      <c r="P277" s="236"/>
      <c r="Q277" s="236"/>
      <c r="R277" s="236"/>
      <c r="S277" s="236"/>
      <c r="T277" s="236"/>
      <c r="U277" s="236"/>
      <c r="V277" s="236"/>
      <c r="W277" s="236"/>
      <c r="X277" s="236"/>
      <c r="Y277" s="236"/>
      <c r="Z277" s="236"/>
      <c r="AA277" s="236"/>
    </row>
    <row r="278" spans="1:27" s="1" customFormat="1" x14ac:dyDescent="0.25">
      <c r="A278" s="1" t="s">
        <v>371</v>
      </c>
      <c r="K278" s="236"/>
      <c r="L278" s="236"/>
      <c r="M278" s="236"/>
      <c r="N278" s="236"/>
      <c r="O278" s="236"/>
      <c r="P278" s="236"/>
      <c r="Q278" s="236"/>
      <c r="R278" s="236"/>
      <c r="S278" s="236"/>
      <c r="T278" s="236"/>
      <c r="U278" s="236"/>
      <c r="V278" s="236"/>
      <c r="W278" s="236"/>
      <c r="X278" s="236"/>
      <c r="Y278" s="236"/>
      <c r="Z278" s="236"/>
      <c r="AA278" s="236"/>
    </row>
    <row r="279" spans="1:27" s="1" customFormat="1" x14ac:dyDescent="0.25">
      <c r="A279" s="1" t="s">
        <v>3</v>
      </c>
      <c r="H279" s="2"/>
      <c r="I279" s="2"/>
      <c r="K279" s="236"/>
      <c r="L279" s="236"/>
      <c r="M279" s="236"/>
      <c r="N279" s="236"/>
      <c r="O279" s="236"/>
      <c r="P279" s="237"/>
      <c r="Q279" s="237"/>
      <c r="R279" s="237"/>
      <c r="S279" s="236"/>
      <c r="T279" s="236"/>
      <c r="U279" s="236"/>
      <c r="V279" s="236"/>
      <c r="W279" s="236"/>
      <c r="X279" s="236"/>
      <c r="Y279" s="236"/>
      <c r="Z279" s="236"/>
      <c r="AA279" s="236"/>
    </row>
    <row r="280" spans="1:27" s="1" customFormat="1" ht="15.75" thickBot="1" x14ac:dyDescent="0.3">
      <c r="A280" s="2" t="s">
        <v>11</v>
      </c>
      <c r="B280" s="17" t="s">
        <v>72</v>
      </c>
      <c r="C280" s="3">
        <v>2022</v>
      </c>
      <c r="D280" s="3">
        <v>2021</v>
      </c>
      <c r="E280" s="3">
        <v>2020</v>
      </c>
      <c r="F280" s="3">
        <v>2019</v>
      </c>
      <c r="G280" s="3">
        <v>2018</v>
      </c>
      <c r="H280" s="3">
        <v>2017</v>
      </c>
      <c r="I280" s="3">
        <v>2016</v>
      </c>
      <c r="K280" s="7"/>
      <c r="L280" s="7"/>
      <c r="M280" s="7"/>
      <c r="N280" s="7"/>
      <c r="O280" s="7"/>
      <c r="P280" s="7"/>
      <c r="Q280" s="7"/>
      <c r="R280" s="7"/>
      <c r="S280" s="236"/>
      <c r="T280" s="236"/>
      <c r="U280" s="236"/>
      <c r="V280" s="236"/>
      <c r="W280" s="7"/>
      <c r="X280" s="7"/>
      <c r="Y280" s="7"/>
      <c r="Z280" s="7"/>
      <c r="AA280" s="7"/>
    </row>
    <row r="281" spans="1:27" s="238" customFormat="1" x14ac:dyDescent="0.25">
      <c r="A281" s="256" t="s">
        <v>372</v>
      </c>
    </row>
    <row r="282" spans="1:27" s="238" customFormat="1" x14ac:dyDescent="0.25">
      <c r="A282" s="252" t="s">
        <v>375</v>
      </c>
      <c r="B282" s="235">
        <f>B284-B283</f>
        <v>453.69999999999959</v>
      </c>
      <c r="C282" s="235">
        <f t="shared" ref="C282:H282" si="296">C284-C283</f>
        <v>470.20000000000005</v>
      </c>
      <c r="D282" s="235">
        <f t="shared" si="296"/>
        <v>446.30000000000018</v>
      </c>
      <c r="E282" s="235">
        <f t="shared" si="296"/>
        <v>455.50000000000023</v>
      </c>
      <c r="F282" s="235">
        <f t="shared" si="296"/>
        <v>482.60000000000014</v>
      </c>
      <c r="G282" s="235">
        <f t="shared" si="296"/>
        <v>422.50000000000011</v>
      </c>
      <c r="H282" s="235">
        <f t="shared" si="296"/>
        <v>417.40000000000009</v>
      </c>
      <c r="I282" s="235">
        <f t="shared" ref="I282" si="297">I284-I283</f>
        <v>390.50000000000011</v>
      </c>
    </row>
    <row r="283" spans="1:27" s="238" customFormat="1" x14ac:dyDescent="0.25">
      <c r="A283" s="252" t="s">
        <v>374</v>
      </c>
      <c r="B283" s="247">
        <f t="shared" ref="B283:I283" si="298">B29+B27</f>
        <v>962.60000000000014</v>
      </c>
      <c r="C283" s="247">
        <f t="shared" si="298"/>
        <v>838.2</v>
      </c>
      <c r="D283" s="247">
        <f t="shared" si="298"/>
        <v>804.8</v>
      </c>
      <c r="E283" s="247">
        <f t="shared" si="298"/>
        <v>797.09999999999991</v>
      </c>
      <c r="F283" s="247">
        <f t="shared" si="298"/>
        <v>923.3</v>
      </c>
      <c r="G283" s="247">
        <f t="shared" si="298"/>
        <v>990.4</v>
      </c>
      <c r="H283" s="247">
        <f t="shared" si="298"/>
        <v>677</v>
      </c>
      <c r="I283" s="247">
        <f t="shared" si="298"/>
        <v>662.4</v>
      </c>
    </row>
    <row r="284" spans="1:27" s="238" customFormat="1" x14ac:dyDescent="0.25">
      <c r="A284" s="253" t="s">
        <v>373</v>
      </c>
      <c r="B284" s="240">
        <f>B288-B287</f>
        <v>1416.2999999999997</v>
      </c>
      <c r="C284" s="240">
        <f t="shared" ref="C284:H284" si="299">C288-C287</f>
        <v>1308.4000000000001</v>
      </c>
      <c r="D284" s="240">
        <f t="shared" si="299"/>
        <v>1251.1000000000001</v>
      </c>
      <c r="E284" s="240">
        <f t="shared" si="299"/>
        <v>1252.6000000000001</v>
      </c>
      <c r="F284" s="240">
        <f t="shared" si="299"/>
        <v>1405.9</v>
      </c>
      <c r="G284" s="240">
        <f t="shared" si="299"/>
        <v>1412.9</v>
      </c>
      <c r="H284" s="240">
        <f t="shared" si="299"/>
        <v>1094.4000000000001</v>
      </c>
      <c r="I284" s="240">
        <f t="shared" ref="I284" si="300">I288-I287</f>
        <v>1052.9000000000001</v>
      </c>
    </row>
    <row r="285" spans="1:27" s="238" customFormat="1" x14ac:dyDescent="0.25">
      <c r="A285" s="252" t="s">
        <v>376</v>
      </c>
      <c r="B285" s="238">
        <v>0</v>
      </c>
      <c r="C285" s="238">
        <v>0</v>
      </c>
      <c r="D285" s="238">
        <v>0</v>
      </c>
      <c r="E285" s="238">
        <v>0</v>
      </c>
      <c r="F285" s="238">
        <v>0</v>
      </c>
      <c r="G285" s="238">
        <v>0</v>
      </c>
      <c r="H285" s="238">
        <v>0</v>
      </c>
      <c r="I285" s="238">
        <v>1</v>
      </c>
    </row>
    <row r="286" spans="1:27" s="238" customFormat="1" x14ac:dyDescent="0.25">
      <c r="A286" s="252" t="s">
        <v>377</v>
      </c>
      <c r="B286" s="247">
        <f>B287</f>
        <v>492.29999999999995</v>
      </c>
      <c r="C286" s="247">
        <f t="shared" ref="C286:I286" si="301">C287</f>
        <v>403</v>
      </c>
      <c r="D286" s="247">
        <f t="shared" si="301"/>
        <v>410.7999999999999</v>
      </c>
      <c r="E286" s="247">
        <f t="shared" si="301"/>
        <v>346.00000000000006</v>
      </c>
      <c r="F286" s="247">
        <f t="shared" si="301"/>
        <v>158.69999999999999</v>
      </c>
      <c r="G286" s="247">
        <f t="shared" si="301"/>
        <v>66.999999999999986</v>
      </c>
      <c r="H286" s="247">
        <f t="shared" si="301"/>
        <v>105.8</v>
      </c>
      <c r="I286" s="247">
        <f t="shared" si="301"/>
        <v>34.600000000000009</v>
      </c>
    </row>
    <row r="287" spans="1:27" s="238" customFormat="1" x14ac:dyDescent="0.25">
      <c r="A287" s="253" t="s">
        <v>444</v>
      </c>
      <c r="B287" s="274">
        <f t="shared" ref="B287:I287" si="302">B41</f>
        <v>492.29999999999995</v>
      </c>
      <c r="C287" s="274">
        <f t="shared" si="302"/>
        <v>403</v>
      </c>
      <c r="D287" s="274">
        <f t="shared" si="302"/>
        <v>410.7999999999999</v>
      </c>
      <c r="E287" s="274">
        <f t="shared" si="302"/>
        <v>346.00000000000006</v>
      </c>
      <c r="F287" s="274">
        <f t="shared" si="302"/>
        <v>158.69999999999999</v>
      </c>
      <c r="G287" s="274">
        <f t="shared" si="302"/>
        <v>66.999999999999986</v>
      </c>
      <c r="H287" s="274">
        <f t="shared" si="302"/>
        <v>105.8</v>
      </c>
      <c r="I287" s="274">
        <f t="shared" si="302"/>
        <v>34.600000000000009</v>
      </c>
    </row>
    <row r="288" spans="1:27" s="238" customFormat="1" ht="15.75" thickBot="1" x14ac:dyDescent="0.3">
      <c r="A288" s="252" t="s">
        <v>48</v>
      </c>
      <c r="B288" s="245">
        <f t="shared" ref="B288:I288" si="303">B23</f>
        <v>1908.5999999999997</v>
      </c>
      <c r="C288" s="245">
        <f t="shared" si="303"/>
        <v>1711.4</v>
      </c>
      <c r="D288" s="245">
        <f t="shared" si="303"/>
        <v>1661.9</v>
      </c>
      <c r="E288" s="245">
        <f t="shared" si="303"/>
        <v>1598.6000000000001</v>
      </c>
      <c r="F288" s="245">
        <f t="shared" si="303"/>
        <v>1564.6000000000001</v>
      </c>
      <c r="G288" s="245">
        <f t="shared" si="303"/>
        <v>1479.9</v>
      </c>
      <c r="H288" s="245">
        <f t="shared" si="303"/>
        <v>1200.2</v>
      </c>
      <c r="I288" s="245">
        <f t="shared" si="303"/>
        <v>1087.5</v>
      </c>
    </row>
    <row r="289" spans="1:10" s="238" customFormat="1" ht="15.75" thickTop="1" x14ac:dyDescent="0.25">
      <c r="A289" s="256" t="s">
        <v>379</v>
      </c>
    </row>
    <row r="290" spans="1:10" s="238" customFormat="1" x14ac:dyDescent="0.25">
      <c r="A290" s="252" t="s">
        <v>375</v>
      </c>
      <c r="B290" s="248">
        <f>B282/B288</f>
        <v>0.23771350728282492</v>
      </c>
      <c r="C290" s="248">
        <f t="shared" ref="C290:H290" si="304">C282/C288</f>
        <v>0.27474582213392545</v>
      </c>
      <c r="D290" s="248">
        <f t="shared" si="304"/>
        <v>0.26854804741560873</v>
      </c>
      <c r="E290" s="248">
        <f t="shared" si="304"/>
        <v>0.28493681971725271</v>
      </c>
      <c r="F290" s="248">
        <f t="shared" si="304"/>
        <v>0.30844944394733487</v>
      </c>
      <c r="G290" s="248">
        <f t="shared" si="304"/>
        <v>0.28549226299074265</v>
      </c>
      <c r="H290" s="248">
        <f t="shared" si="304"/>
        <v>0.34777537077153814</v>
      </c>
      <c r="I290" s="248">
        <f t="shared" ref="I290" si="305">I282/I288</f>
        <v>0.35908045977011505</v>
      </c>
      <c r="J290" s="248"/>
    </row>
    <row r="291" spans="1:10" s="238" customFormat="1" x14ac:dyDescent="0.25">
      <c r="A291" s="252" t="s">
        <v>374</v>
      </c>
      <c r="B291" s="249">
        <f>B283/B288</f>
        <v>0.50434873729435203</v>
      </c>
      <c r="C291" s="249">
        <f t="shared" ref="C291:H291" si="306">C283/C288</f>
        <v>0.48977445366366718</v>
      </c>
      <c r="D291" s="249">
        <f t="shared" si="306"/>
        <v>0.4842649978939767</v>
      </c>
      <c r="E291" s="249">
        <f t="shared" si="306"/>
        <v>0.49862379582134359</v>
      </c>
      <c r="F291" s="249">
        <f t="shared" si="306"/>
        <v>0.5901188802249776</v>
      </c>
      <c r="G291" s="249">
        <f t="shared" si="306"/>
        <v>0.669234407730252</v>
      </c>
      <c r="H291" s="249">
        <f t="shared" si="306"/>
        <v>0.56407265455757372</v>
      </c>
      <c r="I291" s="249">
        <f t="shared" ref="I291" si="307">I283/I288</f>
        <v>0.60910344827586205</v>
      </c>
    </row>
    <row r="292" spans="1:10" s="238" customFormat="1" x14ac:dyDescent="0.25">
      <c r="A292" s="253" t="s">
        <v>373</v>
      </c>
      <c r="B292" s="20">
        <f>B284/B288</f>
        <v>0.74206224457717695</v>
      </c>
      <c r="C292" s="20">
        <f t="shared" ref="C292:H292" si="308">C284/C288</f>
        <v>0.76452027579759263</v>
      </c>
      <c r="D292" s="20">
        <f t="shared" si="308"/>
        <v>0.75281304530958548</v>
      </c>
      <c r="E292" s="20">
        <f t="shared" si="308"/>
        <v>0.78356061553859624</v>
      </c>
      <c r="F292" s="20">
        <f t="shared" si="308"/>
        <v>0.89856832417231236</v>
      </c>
      <c r="G292" s="20">
        <f t="shared" si="308"/>
        <v>0.95472667072099471</v>
      </c>
      <c r="H292" s="20">
        <f t="shared" si="308"/>
        <v>0.91184802532911191</v>
      </c>
      <c r="I292" s="20">
        <f t="shared" ref="I292" si="309">I284/I288</f>
        <v>0.96818390804597709</v>
      </c>
    </row>
    <row r="293" spans="1:10" s="238" customFormat="1" x14ac:dyDescent="0.25">
      <c r="A293" s="252" t="s">
        <v>376</v>
      </c>
      <c r="B293" s="286">
        <f>B285/B288</f>
        <v>0</v>
      </c>
      <c r="C293" s="286">
        <f t="shared" ref="C293:H293" si="310">C285/C288</f>
        <v>0</v>
      </c>
      <c r="D293" s="286">
        <f t="shared" si="310"/>
        <v>0</v>
      </c>
      <c r="E293" s="286">
        <f t="shared" si="310"/>
        <v>0</v>
      </c>
      <c r="F293" s="286">
        <f t="shared" si="310"/>
        <v>0</v>
      </c>
      <c r="G293" s="286">
        <f t="shared" si="310"/>
        <v>0</v>
      </c>
      <c r="H293" s="286">
        <f t="shared" si="310"/>
        <v>0</v>
      </c>
      <c r="I293" s="286">
        <f t="shared" ref="I293" si="311">I285/I288</f>
        <v>9.1954022988505744E-4</v>
      </c>
    </row>
    <row r="294" spans="1:10" s="238" customFormat="1" x14ac:dyDescent="0.25">
      <c r="A294" s="252" t="s">
        <v>377</v>
      </c>
      <c r="B294" s="249">
        <f>B286/B288</f>
        <v>0.25793775542282305</v>
      </c>
      <c r="C294" s="249">
        <f t="shared" ref="C294:H294" si="312">C286/C288</f>
        <v>0.23547972420240737</v>
      </c>
      <c r="D294" s="249">
        <f t="shared" si="312"/>
        <v>0.24718695469041452</v>
      </c>
      <c r="E294" s="249">
        <f t="shared" si="312"/>
        <v>0.21643938446140373</v>
      </c>
      <c r="F294" s="249">
        <f t="shared" si="312"/>
        <v>0.10143167582768757</v>
      </c>
      <c r="G294" s="249">
        <f t="shared" si="312"/>
        <v>4.5273329279005327E-2</v>
      </c>
      <c r="H294" s="249">
        <f t="shared" si="312"/>
        <v>8.8151974670888186E-2</v>
      </c>
      <c r="I294" s="249">
        <f t="shared" ref="I294" si="313">I286/I288</f>
        <v>3.1816091954022997E-2</v>
      </c>
    </row>
    <row r="295" spans="1:10" s="238" customFormat="1" x14ac:dyDescent="0.25">
      <c r="A295" s="253" t="s">
        <v>378</v>
      </c>
      <c r="B295" s="18">
        <f>B287/B288</f>
        <v>0.25793775542282305</v>
      </c>
      <c r="C295" s="18">
        <f t="shared" ref="C295:H295" si="314">C287/C288</f>
        <v>0.23547972420240737</v>
      </c>
      <c r="D295" s="18">
        <f t="shared" si="314"/>
        <v>0.24718695469041452</v>
      </c>
      <c r="E295" s="18">
        <f t="shared" si="314"/>
        <v>0.21643938446140373</v>
      </c>
      <c r="F295" s="18">
        <f t="shared" si="314"/>
        <v>0.10143167582768757</v>
      </c>
      <c r="G295" s="18">
        <f t="shared" si="314"/>
        <v>4.5273329279005327E-2</v>
      </c>
      <c r="H295" s="18">
        <f t="shared" si="314"/>
        <v>8.8151974670888186E-2</v>
      </c>
      <c r="I295" s="18">
        <f t="shared" ref="I295" si="315">I287/I288</f>
        <v>3.1816091954022997E-2</v>
      </c>
    </row>
    <row r="296" spans="1:10" s="238" customFormat="1" ht="15.75" thickBot="1" x14ac:dyDescent="0.3">
      <c r="A296" s="253" t="s">
        <v>48</v>
      </c>
      <c r="B296" s="19">
        <f>SUM(B292:B294)</f>
        <v>1</v>
      </c>
      <c r="C296" s="19">
        <f t="shared" ref="C296:H296" si="316">SUM(C292:C294)</f>
        <v>1</v>
      </c>
      <c r="D296" s="19">
        <f t="shared" si="316"/>
        <v>1</v>
      </c>
      <c r="E296" s="19">
        <f t="shared" si="316"/>
        <v>1</v>
      </c>
      <c r="F296" s="19">
        <f t="shared" si="316"/>
        <v>0.99999999999999989</v>
      </c>
      <c r="G296" s="19">
        <f t="shared" si="316"/>
        <v>1</v>
      </c>
      <c r="H296" s="19">
        <f t="shared" si="316"/>
        <v>1</v>
      </c>
      <c r="I296" s="19">
        <f t="shared" ref="I296" si="317">SUM(I292:I294)</f>
        <v>1.0009195402298852</v>
      </c>
    </row>
    <row r="297" spans="1:10" s="238" customFormat="1" ht="15.75" thickTop="1" x14ac:dyDescent="0.25">
      <c r="A297" s="256" t="s">
        <v>445</v>
      </c>
    </row>
    <row r="298" spans="1:10" s="238" customFormat="1" x14ac:dyDescent="0.25">
      <c r="A298" s="252" t="s">
        <v>429</v>
      </c>
      <c r="B298" s="235">
        <f>B283</f>
        <v>962.60000000000014</v>
      </c>
      <c r="C298" s="235">
        <f t="shared" ref="C298:H298" si="318">C283</f>
        <v>838.2</v>
      </c>
      <c r="D298" s="235">
        <f t="shared" si="318"/>
        <v>804.8</v>
      </c>
      <c r="E298" s="235">
        <f t="shared" si="318"/>
        <v>797.09999999999991</v>
      </c>
      <c r="F298" s="235">
        <f t="shared" si="318"/>
        <v>923.3</v>
      </c>
      <c r="G298" s="235">
        <f t="shared" si="318"/>
        <v>990.4</v>
      </c>
      <c r="H298" s="235">
        <f t="shared" si="318"/>
        <v>677</v>
      </c>
      <c r="I298" s="235">
        <f t="shared" ref="I298" si="319">I283</f>
        <v>662.4</v>
      </c>
    </row>
    <row r="299" spans="1:10" s="238" customFormat="1" x14ac:dyDescent="0.25">
      <c r="A299" s="252" t="s">
        <v>430</v>
      </c>
      <c r="B299" s="247">
        <f t="shared" ref="B299:I299" si="320">B49</f>
        <v>792.45880000000022</v>
      </c>
      <c r="C299" s="247">
        <f t="shared" si="320"/>
        <v>765.58219999999994</v>
      </c>
      <c r="D299" s="247">
        <f t="shared" si="320"/>
        <v>593.54300000000001</v>
      </c>
      <c r="E299" s="247">
        <f t="shared" si="320"/>
        <v>714.02400000000011</v>
      </c>
      <c r="F299" s="247">
        <f t="shared" si="320"/>
        <v>411.42400000000004</v>
      </c>
      <c r="G299" s="247">
        <f t="shared" si="320"/>
        <v>530.80650000000003</v>
      </c>
      <c r="H299" s="247">
        <f t="shared" si="320"/>
        <v>916.78779999999995</v>
      </c>
      <c r="I299" s="247">
        <f t="shared" si="320"/>
        <v>357.83120000000002</v>
      </c>
    </row>
    <row r="300" spans="1:10" s="238" customFormat="1" ht="15.75" thickBot="1" x14ac:dyDescent="0.3">
      <c r="A300" s="253" t="s">
        <v>380</v>
      </c>
      <c r="B300" s="273">
        <f>SUM(B298:B299)</f>
        <v>1755.0588000000002</v>
      </c>
      <c r="C300" s="273">
        <f t="shared" ref="C300:H300" si="321">SUM(C298:C299)</f>
        <v>1603.7822000000001</v>
      </c>
      <c r="D300" s="273">
        <f t="shared" si="321"/>
        <v>1398.3429999999998</v>
      </c>
      <c r="E300" s="273">
        <f t="shared" si="321"/>
        <v>1511.124</v>
      </c>
      <c r="F300" s="273">
        <f t="shared" si="321"/>
        <v>1334.7239999999999</v>
      </c>
      <c r="G300" s="273">
        <f t="shared" si="321"/>
        <v>1521.2065</v>
      </c>
      <c r="H300" s="273">
        <f t="shared" si="321"/>
        <v>1593.7878000000001</v>
      </c>
      <c r="I300" s="273">
        <f t="shared" ref="I300" si="322">SUM(I298:I299)</f>
        <v>1020.2311999999999</v>
      </c>
    </row>
    <row r="301" spans="1:10" s="238" customFormat="1" ht="15.75" thickTop="1" x14ac:dyDescent="0.25">
      <c r="A301" s="256" t="s">
        <v>381</v>
      </c>
    </row>
    <row r="302" spans="1:10" s="238" customFormat="1" x14ac:dyDescent="0.25">
      <c r="A302" s="252" t="s">
        <v>429</v>
      </c>
      <c r="B302" s="248">
        <f>B298/B300</f>
        <v>0.54847165234577899</v>
      </c>
      <c r="C302" s="248">
        <f t="shared" ref="C302:H302" si="323">C298/C300</f>
        <v>0.5226395454445123</v>
      </c>
      <c r="D302" s="248">
        <f t="shared" si="323"/>
        <v>0.57553833358482154</v>
      </c>
      <c r="E302" s="248">
        <f t="shared" si="323"/>
        <v>0.52748814789520904</v>
      </c>
      <c r="F302" s="248">
        <f t="shared" si="323"/>
        <v>0.69175350109835443</v>
      </c>
      <c r="G302" s="248">
        <f t="shared" si="323"/>
        <v>0.65106216677354456</v>
      </c>
      <c r="H302" s="248">
        <f t="shared" si="323"/>
        <v>0.424774239080008</v>
      </c>
      <c r="I302" s="248">
        <f t="shared" ref="I302" si="324">I298/I300</f>
        <v>0.64926459806365455</v>
      </c>
    </row>
    <row r="303" spans="1:10" s="238" customFormat="1" x14ac:dyDescent="0.25">
      <c r="A303" s="252" t="s">
        <v>430</v>
      </c>
      <c r="B303" s="249">
        <f>B299/B300</f>
        <v>0.45152834765422112</v>
      </c>
      <c r="C303" s="249">
        <f t="shared" ref="C303:H303" si="325">C299/C300</f>
        <v>0.47736045455548759</v>
      </c>
      <c r="D303" s="249">
        <f t="shared" si="325"/>
        <v>0.42446166641517857</v>
      </c>
      <c r="E303" s="249">
        <f t="shared" si="325"/>
        <v>0.47251185210479096</v>
      </c>
      <c r="F303" s="249">
        <f t="shared" si="325"/>
        <v>0.30824649890164563</v>
      </c>
      <c r="G303" s="249">
        <f t="shared" si="325"/>
        <v>0.34893783322645544</v>
      </c>
      <c r="H303" s="249">
        <f t="shared" si="325"/>
        <v>0.57522576091999189</v>
      </c>
      <c r="I303" s="249">
        <f t="shared" ref="I303" si="326">I299/I300</f>
        <v>0.35073540193634545</v>
      </c>
    </row>
    <row r="304" spans="1:10" s="238" customFormat="1" ht="15.75" thickBot="1" x14ac:dyDescent="0.3">
      <c r="A304" s="253" t="s">
        <v>380</v>
      </c>
      <c r="B304" s="272">
        <f>B300/B300</f>
        <v>1</v>
      </c>
      <c r="C304" s="272">
        <f t="shared" ref="C304:H304" si="327">C300/C300</f>
        <v>1</v>
      </c>
      <c r="D304" s="272">
        <f t="shared" si="327"/>
        <v>1</v>
      </c>
      <c r="E304" s="272">
        <f t="shared" si="327"/>
        <v>1</v>
      </c>
      <c r="F304" s="272">
        <f t="shared" si="327"/>
        <v>1</v>
      </c>
      <c r="G304" s="272">
        <f t="shared" si="327"/>
        <v>1</v>
      </c>
      <c r="H304" s="272">
        <f t="shared" si="327"/>
        <v>1</v>
      </c>
      <c r="I304" s="272">
        <f t="shared" ref="I304" si="328">I300/I300</f>
        <v>1</v>
      </c>
    </row>
    <row r="305" spans="1:27" s="238" customFormat="1" ht="15.75" thickTop="1" x14ac:dyDescent="0.25">
      <c r="A305" s="254"/>
      <c r="B305" s="250"/>
      <c r="C305" s="250"/>
      <c r="D305" s="250"/>
      <c r="E305" s="250"/>
      <c r="F305" s="250"/>
      <c r="G305" s="250"/>
      <c r="H305" s="250"/>
      <c r="I305" s="250"/>
    </row>
    <row r="306" spans="1:27" s="238" customFormat="1" x14ac:dyDescent="0.25">
      <c r="A306" s="257" t="s">
        <v>382</v>
      </c>
      <c r="B306" s="250"/>
      <c r="C306" s="250"/>
      <c r="D306" s="250"/>
      <c r="E306" s="250"/>
      <c r="F306" s="250"/>
      <c r="G306" s="250"/>
    </row>
    <row r="307" spans="1:27" s="238" customFormat="1" x14ac:dyDescent="0.25">
      <c r="A307" s="254" t="s">
        <v>383</v>
      </c>
      <c r="B307" s="262">
        <f>AVERAGE(B288:C288)/AVERAGE(B287:C287)</f>
        <v>4.0433374287948176</v>
      </c>
      <c r="C307" s="262">
        <f t="shared" ref="C307:F307" si="329">AVERAGE(C288:D288)/AVERAGE(C287:D287)</f>
        <v>4.1451216515114284</v>
      </c>
      <c r="D307" s="262">
        <f t="shared" si="329"/>
        <v>4.3082716701902752</v>
      </c>
      <c r="E307" s="262">
        <f t="shared" si="329"/>
        <v>6.2674856350307113</v>
      </c>
      <c r="F307" s="262">
        <f t="shared" si="329"/>
        <v>13.489144882587507</v>
      </c>
      <c r="G307" s="262">
        <f>AVERAGE(G288:H288)/AVERAGE(G287:H287)</f>
        <v>15.509837962962967</v>
      </c>
      <c r="H307" s="262">
        <f>AVERAGE(H288:I288)/AVERAGE(H287:I287)</f>
        <v>16.294159544159541</v>
      </c>
      <c r="I307" s="239"/>
    </row>
    <row r="308" spans="1:27" s="238" customFormat="1" x14ac:dyDescent="0.25">
      <c r="A308" s="257" t="s">
        <v>384</v>
      </c>
      <c r="B308" s="239"/>
      <c r="C308" s="239"/>
      <c r="D308" s="239"/>
      <c r="E308" s="239"/>
      <c r="F308" s="239"/>
      <c r="G308" s="262"/>
      <c r="H308" s="239"/>
      <c r="I308" s="239"/>
    </row>
    <row r="309" spans="1:27" s="238" customFormat="1" x14ac:dyDescent="0.25">
      <c r="A309" s="254" t="s">
        <v>385</v>
      </c>
      <c r="B309" s="262">
        <f t="shared" ref="B309:G309" si="330">-B85/B64</f>
        <v>2.733515493616002</v>
      </c>
      <c r="C309" s="262">
        <f t="shared" si="330"/>
        <v>2.8526785714285698</v>
      </c>
      <c r="D309" s="262">
        <f t="shared" si="330"/>
        <v>3.6814814814814785</v>
      </c>
      <c r="E309" s="262">
        <f t="shared" si="330"/>
        <v>3.7689161554192205</v>
      </c>
      <c r="F309" s="262">
        <f t="shared" si="330"/>
        <v>2.3517017828200979</v>
      </c>
      <c r="G309" s="262">
        <f t="shared" si="330"/>
        <v>1.9112754158964875</v>
      </c>
      <c r="H309" s="262">
        <f>-H62/H64</f>
        <v>2.9082352941176448</v>
      </c>
      <c r="I309" s="262">
        <f>-I62/I64</f>
        <v>1.838582677165354</v>
      </c>
    </row>
    <row r="310" spans="1:27" s="238" customFormat="1" x14ac:dyDescent="0.25">
      <c r="A310" s="254" t="s">
        <v>386</v>
      </c>
      <c r="B310" s="262">
        <f t="shared" ref="B310:G310" si="331">-(B85+B156)/(B154+B156)</f>
        <v>1.7163473499809341</v>
      </c>
      <c r="C310" s="262">
        <f t="shared" si="331"/>
        <v>1.395184135977336</v>
      </c>
      <c r="D310" s="262">
        <f t="shared" si="331"/>
        <v>1.7288629737609313</v>
      </c>
      <c r="E310" s="262">
        <f t="shared" si="331"/>
        <v>1.8725490196078416</v>
      </c>
      <c r="F310" s="262">
        <f t="shared" si="331"/>
        <v>1.2391304347826093</v>
      </c>
      <c r="G310" s="262">
        <f t="shared" si="331"/>
        <v>0.54435483870967727</v>
      </c>
      <c r="H310" s="262">
        <f>(H85+H156)/(H154+H156)</f>
        <v>-0.42954545454545362</v>
      </c>
      <c r="I310" s="262">
        <f>(I85+I156)/(I154+I156)</f>
        <v>-2.1475409836065569</v>
      </c>
    </row>
    <row r="311" spans="1:27" s="238" customFormat="1" x14ac:dyDescent="0.25">
      <c r="A311" s="254" t="s">
        <v>387</v>
      </c>
      <c r="B311" s="262">
        <f t="shared" ref="B311:I311" si="332">B283/B87</f>
        <v>4.4566753937294203</v>
      </c>
      <c r="C311" s="262">
        <f t="shared" si="332"/>
        <v>4.5579119086460054</v>
      </c>
      <c r="D311" s="262">
        <f t="shared" si="332"/>
        <v>3.8916827852998082</v>
      </c>
      <c r="E311" s="262">
        <f t="shared" si="332"/>
        <v>3.3435402684563775</v>
      </c>
      <c r="F311" s="262">
        <f t="shared" si="332"/>
        <v>4.6118881118881108</v>
      </c>
      <c r="G311" s="262">
        <f t="shared" si="332"/>
        <v>6.4228274967574581</v>
      </c>
      <c r="H311" s="262">
        <f t="shared" si="332"/>
        <v>4.9057971014492781</v>
      </c>
      <c r="I311" s="262">
        <f t="shared" si="332"/>
        <v>4.5809128630705391</v>
      </c>
    </row>
    <row r="312" spans="1:27" s="238" customFormat="1" x14ac:dyDescent="0.25">
      <c r="A312" s="258"/>
      <c r="B312" s="250"/>
      <c r="C312" s="250"/>
      <c r="D312" s="250"/>
      <c r="E312" s="250"/>
      <c r="F312" s="250"/>
      <c r="G312" s="250"/>
    </row>
    <row r="313" spans="1:27" s="238" customFormat="1" ht="15.75" thickBot="1" x14ac:dyDescent="0.3">
      <c r="A313" s="254" t="s">
        <v>388</v>
      </c>
      <c r="B313" s="245">
        <f t="shared" ref="B313:I313" si="333">B46*B48</f>
        <v>185.32060000000007</v>
      </c>
      <c r="C313" s="245">
        <f t="shared" si="333"/>
        <v>139.33079999999998</v>
      </c>
      <c r="D313" s="245">
        <f t="shared" si="333"/>
        <v>82.420900000000003</v>
      </c>
      <c r="E313" s="245">
        <f t="shared" si="333"/>
        <v>87.645600000000002</v>
      </c>
      <c r="F313" s="245">
        <f t="shared" si="333"/>
        <v>49.845600000000005</v>
      </c>
      <c r="G313" s="245">
        <f t="shared" si="333"/>
        <v>64.058399999999992</v>
      </c>
      <c r="H313" s="245">
        <f t="shared" si="333"/>
        <v>71.065400000000011</v>
      </c>
      <c r="I313" s="245">
        <f t="shared" si="333"/>
        <v>25.633600000000001</v>
      </c>
    </row>
    <row r="314" spans="1:27" s="238" customFormat="1" ht="15.75" thickTop="1" x14ac:dyDescent="0.25">
      <c r="A314" s="255"/>
    </row>
    <row r="315" spans="1:27" s="1" customFormat="1" x14ac:dyDescent="0.25">
      <c r="A315" s="1" t="s">
        <v>111</v>
      </c>
      <c r="B315" s="1" t="s">
        <v>318</v>
      </c>
      <c r="K315" s="236"/>
      <c r="L315" s="236"/>
      <c r="M315" s="236"/>
      <c r="N315" s="236"/>
      <c r="O315" s="236"/>
      <c r="P315" s="236"/>
      <c r="Q315" s="236"/>
      <c r="R315" s="236"/>
      <c r="S315" s="236"/>
      <c r="T315" s="236"/>
      <c r="U315" s="236"/>
      <c r="V315" s="236"/>
      <c r="W315" s="236"/>
      <c r="X315" s="236"/>
      <c r="Y315" s="236"/>
      <c r="Z315" s="236"/>
      <c r="AA315" s="236"/>
    </row>
    <row r="316" spans="1:27" s="1" customFormat="1" x14ac:dyDescent="0.25">
      <c r="A316" s="1" t="s">
        <v>389</v>
      </c>
      <c r="K316" s="236"/>
      <c r="L316" s="236"/>
      <c r="M316" s="236"/>
      <c r="N316" s="236"/>
      <c r="O316" s="236"/>
      <c r="P316" s="236"/>
      <c r="Q316" s="236"/>
      <c r="R316" s="236"/>
      <c r="S316" s="236"/>
      <c r="T316" s="236"/>
      <c r="U316" s="236"/>
      <c r="V316" s="236"/>
      <c r="W316" s="236"/>
      <c r="X316" s="236"/>
      <c r="Y316" s="236"/>
      <c r="Z316" s="236"/>
      <c r="AA316" s="236"/>
    </row>
    <row r="317" spans="1:27" s="1" customFormat="1" x14ac:dyDescent="0.25">
      <c r="A317" s="1" t="s">
        <v>3</v>
      </c>
      <c r="H317" s="2"/>
      <c r="I317" s="2"/>
      <c r="K317" s="236"/>
      <c r="L317" s="236"/>
      <c r="M317" s="236"/>
      <c r="N317" s="236"/>
      <c r="O317" s="236"/>
      <c r="P317" s="237"/>
      <c r="Q317" s="237"/>
      <c r="R317" s="237"/>
      <c r="S317" s="236"/>
      <c r="T317" s="236"/>
      <c r="U317" s="236"/>
      <c r="V317" s="236"/>
      <c r="W317" s="236"/>
      <c r="X317" s="236"/>
      <c r="Y317" s="236"/>
      <c r="Z317" s="236"/>
      <c r="AA317" s="236"/>
    </row>
    <row r="318" spans="1:27" s="1" customFormat="1" ht="15.75" thickBot="1" x14ac:dyDescent="0.3">
      <c r="A318" s="2" t="s">
        <v>11</v>
      </c>
      <c r="B318" s="17" t="s">
        <v>72</v>
      </c>
      <c r="C318" s="3">
        <v>2022</v>
      </c>
      <c r="D318" s="3">
        <v>2021</v>
      </c>
      <c r="E318" s="3">
        <v>2020</v>
      </c>
      <c r="F318" s="3">
        <v>2019</v>
      </c>
      <c r="G318" s="3">
        <v>2018</v>
      </c>
      <c r="H318" s="3">
        <v>2017</v>
      </c>
      <c r="I318" s="3">
        <v>2016</v>
      </c>
      <c r="K318" s="7"/>
      <c r="L318" s="7"/>
      <c r="M318" s="7"/>
      <c r="N318" s="7"/>
      <c r="O318" s="7"/>
      <c r="P318" s="7"/>
      <c r="Q318" s="7"/>
      <c r="R318" s="7"/>
      <c r="S318" s="236"/>
      <c r="T318" s="236"/>
      <c r="U318" s="236"/>
      <c r="V318" s="236"/>
      <c r="W318" s="7"/>
      <c r="X318" s="7"/>
      <c r="Y318" s="7"/>
      <c r="Z318" s="7"/>
      <c r="AA318" s="7"/>
    </row>
    <row r="319" spans="1:27" s="238" customFormat="1" x14ac:dyDescent="0.25">
      <c r="A319" s="252" t="s">
        <v>390</v>
      </c>
      <c r="B319" s="294" t="e">
        <f>SUM(B6:B8)/((B56+#REF!-B126)/360)</f>
        <v>#REF!</v>
      </c>
      <c r="C319" s="294" t="e">
        <f>SUM(C6:C8)/((C56+#REF!-C126)/360)</f>
        <v>#REF!</v>
      </c>
      <c r="D319" s="294" t="e">
        <f>SUM(D6:D8)/((D56+#REF!-D126)/360)</f>
        <v>#REF!</v>
      </c>
      <c r="E319" s="294" t="e">
        <f>SUM(E6:E8)/((E56+#REF!-E126)/360)</f>
        <v>#REF!</v>
      </c>
      <c r="F319" s="294" t="e">
        <f>SUM(F6:F8)/((F56+#REF!-F126)/360)</f>
        <v>#REF!</v>
      </c>
      <c r="G319" s="294" t="e">
        <f>SUM(G6:G8)/((G56+#REF!-G126)/360)</f>
        <v>#REF!</v>
      </c>
      <c r="H319" s="294" t="e">
        <f>SUM(H6:H8)/((H56+#REF!-H126)/360)</f>
        <v>#REF!</v>
      </c>
      <c r="I319" s="294" t="e">
        <f>SUM(I6:I8)/((I56+#REF!-I126)/360)</f>
        <v>#REF!</v>
      </c>
      <c r="K319" s="296"/>
      <c r="L319" s="250"/>
      <c r="M319" s="250"/>
      <c r="N319" s="296"/>
      <c r="O319" s="296"/>
      <c r="P319" s="250"/>
      <c r="Q319" s="250"/>
      <c r="R319" s="250"/>
    </row>
    <row r="320" spans="1:27" s="238" customFormat="1" x14ac:dyDescent="0.25">
      <c r="A320" s="252" t="s">
        <v>391</v>
      </c>
      <c r="B320" s="294">
        <f t="shared" ref="B320:I320" si="334">B198/B283</f>
        <v>8.0926656970704558E-2</v>
      </c>
      <c r="C320" s="294">
        <f t="shared" si="334"/>
        <v>0.12073490813648285</v>
      </c>
      <c r="D320" s="294">
        <f t="shared" si="334"/>
        <v>0.12798210735586468</v>
      </c>
      <c r="E320" s="294">
        <f t="shared" si="334"/>
        <v>0.15945301718730387</v>
      </c>
      <c r="F320" s="294">
        <f t="shared" si="334"/>
        <v>0.12487815444600894</v>
      </c>
      <c r="G320" s="294">
        <f t="shared" si="334"/>
        <v>7.9058966074313397E-2</v>
      </c>
      <c r="H320" s="294">
        <f t="shared" si="334"/>
        <v>0.1503692762186114</v>
      </c>
      <c r="I320" s="294">
        <f t="shared" si="334"/>
        <v>0.1804045893719807</v>
      </c>
      <c r="K320" s="296"/>
      <c r="L320" s="250"/>
      <c r="M320" s="250"/>
      <c r="N320" s="296"/>
      <c r="O320" s="296"/>
      <c r="P320" s="250"/>
      <c r="Q320" s="250"/>
      <c r="R320" s="250"/>
    </row>
    <row r="321" spans="1:18" s="238" customFormat="1" x14ac:dyDescent="0.25">
      <c r="A321" s="252" t="s">
        <v>392</v>
      </c>
      <c r="B321" s="294">
        <f t="shared" ref="B321:I321" si="335">-B198/B199</f>
        <v>0.69491525423729006</v>
      </c>
      <c r="C321" s="294">
        <f t="shared" si="335"/>
        <v>0.96106362773029375</v>
      </c>
      <c r="D321" s="294">
        <f t="shared" si="335"/>
        <v>0.82399999999999918</v>
      </c>
      <c r="E321" s="294">
        <f t="shared" si="335"/>
        <v>1.8209169054441245</v>
      </c>
      <c r="F321" s="294">
        <f t="shared" si="335"/>
        <v>3.0994623655913989</v>
      </c>
      <c r="G321" s="294">
        <f t="shared" si="335"/>
        <v>0.71376481312670903</v>
      </c>
      <c r="H321" s="294">
        <f t="shared" si="335"/>
        <v>1.5081481481481469</v>
      </c>
      <c r="I321" s="294">
        <f t="shared" si="335"/>
        <v>2.3947895791583171</v>
      </c>
      <c r="K321" s="296"/>
      <c r="L321" s="250"/>
      <c r="M321" s="250"/>
      <c r="N321" s="296"/>
      <c r="O321" s="296"/>
      <c r="P321" s="250"/>
      <c r="Q321" s="250"/>
      <c r="R321" s="250"/>
    </row>
    <row r="322" spans="1:18" s="238" customFormat="1" x14ac:dyDescent="0.25">
      <c r="A322" s="252" t="s">
        <v>393</v>
      </c>
      <c r="B322" s="294">
        <f t="shared" ref="B322:I322" si="336">-B198/B171</f>
        <v>0.15548902195608827</v>
      </c>
      <c r="C322" s="294">
        <f t="shared" si="336"/>
        <v>50.599999999999966</v>
      </c>
      <c r="D322" s="294">
        <f t="shared" si="336"/>
        <v>10.198019801980189</v>
      </c>
      <c r="E322" s="294">
        <f t="shared" si="336"/>
        <v>1.7977369165487962</v>
      </c>
      <c r="F322" s="294">
        <f t="shared" si="336"/>
        <v>3.8821548821548841</v>
      </c>
      <c r="G322" s="294">
        <f t="shared" si="336"/>
        <v>3.8571428571428563</v>
      </c>
      <c r="H322" s="294">
        <f t="shared" si="336"/>
        <v>0.18620815803914378</v>
      </c>
      <c r="I322" s="294">
        <f t="shared" si="336"/>
        <v>3.7697160883280763</v>
      </c>
      <c r="K322" s="296"/>
      <c r="L322" s="250"/>
      <c r="M322" s="250"/>
      <c r="N322" s="296"/>
      <c r="O322" s="296"/>
      <c r="P322" s="250"/>
      <c r="Q322" s="250"/>
      <c r="R322" s="250"/>
    </row>
    <row r="323" spans="1:18" s="238" customFormat="1" x14ac:dyDescent="0.25">
      <c r="A323" s="252" t="s">
        <v>447</v>
      </c>
      <c r="B323" s="294">
        <f t="shared" ref="B323:I323" si="337">-B198/SUM(B170:B171)</f>
        <v>0.68938053097345331</v>
      </c>
      <c r="C323" s="294">
        <f t="shared" si="337"/>
        <v>50.599999999999966</v>
      </c>
      <c r="D323" s="294">
        <f t="shared" si="337"/>
        <v>10.198019801980189</v>
      </c>
      <c r="E323" s="294">
        <f t="shared" si="337"/>
        <v>1.7977369165487962</v>
      </c>
      <c r="F323" s="294">
        <f t="shared" si="337"/>
        <v>3.8821548821548841</v>
      </c>
      <c r="G323" s="294">
        <f t="shared" si="337"/>
        <v>-0.98243412797992447</v>
      </c>
      <c r="H323" s="294">
        <f t="shared" si="337"/>
        <v>2.1798715203426084</v>
      </c>
      <c r="I323" s="294">
        <f t="shared" si="337"/>
        <v>3.7697160883280763</v>
      </c>
      <c r="K323" s="296"/>
      <c r="L323" s="250"/>
      <c r="M323" s="250"/>
      <c r="N323" s="296"/>
      <c r="O323" s="296"/>
      <c r="P323" s="250"/>
      <c r="Q323" s="250"/>
      <c r="R323" s="250"/>
    </row>
    <row r="324" spans="1:18" s="238" customFormat="1" x14ac:dyDescent="0.25">
      <c r="A324" s="252" t="s">
        <v>394</v>
      </c>
      <c r="B324" s="294">
        <f>-B198/B176</f>
        <v>16.934782608695702</v>
      </c>
      <c r="C324" s="294">
        <f>-C198/C176</f>
        <v>24.095238095238077</v>
      </c>
      <c r="D324" s="294">
        <v>0</v>
      </c>
      <c r="E324" s="294">
        <v>0</v>
      </c>
      <c r="F324" s="294">
        <v>0</v>
      </c>
      <c r="G324" s="294">
        <v>0</v>
      </c>
      <c r="H324" s="294">
        <v>0</v>
      </c>
      <c r="I324" s="294">
        <v>0</v>
      </c>
      <c r="K324" s="296"/>
      <c r="L324" s="250"/>
      <c r="M324" s="250"/>
      <c r="N324" s="296"/>
      <c r="O324" s="296"/>
      <c r="P324" s="250"/>
      <c r="Q324" s="250"/>
      <c r="R324" s="250"/>
    </row>
    <row r="325" spans="1:18" s="238" customFormat="1" x14ac:dyDescent="0.25">
      <c r="A325" s="252" t="s">
        <v>395</v>
      </c>
      <c r="B325" s="294">
        <f t="shared" ref="B325:I325" si="338">-B198/SUM(B177,B166)</f>
        <v>1.1224783861671497</v>
      </c>
      <c r="C325" s="294">
        <f t="shared" si="338"/>
        <v>0.91999999999999937</v>
      </c>
      <c r="D325" s="294">
        <f t="shared" si="338"/>
        <v>1.1016042780748652</v>
      </c>
      <c r="E325" s="294">
        <f t="shared" si="338"/>
        <v>1.0324939073923634</v>
      </c>
      <c r="F325" s="294">
        <f t="shared" si="338"/>
        <v>0.94122448979591877</v>
      </c>
      <c r="G325" s="294">
        <f t="shared" si="338"/>
        <v>0.83653846153846112</v>
      </c>
      <c r="H325" s="294">
        <f t="shared" si="338"/>
        <v>1.6314102564102526</v>
      </c>
      <c r="I325" s="294">
        <f t="shared" si="338"/>
        <v>1.0266323024054991</v>
      </c>
      <c r="K325" s="296"/>
      <c r="L325" s="250"/>
      <c r="M325" s="250"/>
      <c r="N325" s="296"/>
      <c r="O325" s="296"/>
      <c r="P325" s="250"/>
      <c r="Q325" s="250"/>
      <c r="R325" s="250"/>
    </row>
    <row r="326" spans="1:18" s="238" customFormat="1" x14ac:dyDescent="0.25">
      <c r="A326" s="252" t="s">
        <v>396</v>
      </c>
      <c r="B326" s="294">
        <f t="shared" ref="B326:I326" si="339">B198/B55</f>
        <v>3.6931683496894803E-2</v>
      </c>
      <c r="C326" s="294">
        <f t="shared" si="339"/>
        <v>5.1098207523352653E-2</v>
      </c>
      <c r="D326" s="294">
        <f t="shared" si="339"/>
        <v>6.1360657690932865E-2</v>
      </c>
      <c r="E326" s="294">
        <f t="shared" si="339"/>
        <v>7.6148822718830445E-2</v>
      </c>
      <c r="F326" s="294">
        <f t="shared" si="339"/>
        <v>7.0433720219914508E-2</v>
      </c>
      <c r="G326" s="294">
        <f t="shared" si="339"/>
        <v>5.0105586484929916E-2</v>
      </c>
      <c r="H326" s="294">
        <f t="shared" si="339"/>
        <v>6.8993561504574655E-2</v>
      </c>
      <c r="I326" s="294">
        <f t="shared" si="339"/>
        <v>8.4380737184013566E-2</v>
      </c>
      <c r="K326" s="296"/>
      <c r="L326" s="250"/>
      <c r="M326" s="250"/>
      <c r="N326" s="296"/>
      <c r="O326" s="296"/>
      <c r="P326" s="250"/>
      <c r="Q326" s="250"/>
      <c r="R326" s="250"/>
    </row>
    <row r="327" spans="1:18" s="238" customFormat="1" x14ac:dyDescent="0.25">
      <c r="A327" s="252" t="s">
        <v>397</v>
      </c>
      <c r="B327" s="294">
        <f t="shared" ref="B327:G327" si="340">B198/AVERAGE(B23:C23)</f>
        <v>4.3038674033149295E-2</v>
      </c>
      <c r="C327" s="294">
        <f t="shared" si="340"/>
        <v>6.0000592891234057E-2</v>
      </c>
      <c r="D327" s="294">
        <f t="shared" si="340"/>
        <v>6.3180493789296063E-2</v>
      </c>
      <c r="E327" s="294">
        <f t="shared" si="340"/>
        <v>8.0361659079413172E-2</v>
      </c>
      <c r="F327" s="294">
        <f t="shared" si="340"/>
        <v>7.5743143373296143E-2</v>
      </c>
      <c r="G327" s="294">
        <f t="shared" si="340"/>
        <v>5.8430655572553239E-2</v>
      </c>
      <c r="H327" s="294">
        <f>H198/AVERAGE(H23:J23)</f>
        <v>8.8997683262665495E-2</v>
      </c>
      <c r="I327" s="294">
        <f>I198/AVERAGE(I23:K23)</f>
        <v>0.21956821313734501</v>
      </c>
      <c r="K327" s="296"/>
      <c r="L327" s="250"/>
      <c r="M327" s="250"/>
      <c r="N327" s="296"/>
      <c r="O327" s="296"/>
      <c r="P327" s="250"/>
      <c r="Q327" s="250"/>
      <c r="R327" s="250"/>
    </row>
    <row r="328" spans="1:18" s="238" customFormat="1" x14ac:dyDescent="0.25">
      <c r="A328" s="252" t="s">
        <v>398</v>
      </c>
      <c r="B328" s="294">
        <f t="shared" ref="B328:G328" si="341">B198/AVERAGE(B41:C41)</f>
        <v>0.17401988160393214</v>
      </c>
      <c r="C328" s="294">
        <f t="shared" si="341"/>
        <v>0.24870975669697698</v>
      </c>
      <c r="D328" s="294">
        <f t="shared" si="341"/>
        <v>0.27219873150105683</v>
      </c>
      <c r="E328" s="294">
        <f t="shared" si="341"/>
        <v>0.50366554388745743</v>
      </c>
      <c r="F328" s="294">
        <f t="shared" si="341"/>
        <v>1.0217102348249893</v>
      </c>
      <c r="G328" s="294">
        <f t="shared" si="341"/>
        <v>0.90624999999999989</v>
      </c>
      <c r="H328" s="294">
        <f>H198/AVERAGE(H41:J41)</f>
        <v>1.4501424501424489</v>
      </c>
      <c r="I328" s="294">
        <f>I198/AVERAGE(I41:K41)</f>
        <v>6.8564010205342374</v>
      </c>
      <c r="K328" s="296"/>
      <c r="L328" s="250"/>
      <c r="M328" s="250"/>
      <c r="N328" s="296"/>
      <c r="O328" s="296"/>
      <c r="P328" s="250"/>
      <c r="Q328" s="250"/>
      <c r="R328" s="250"/>
    </row>
    <row r="329" spans="1:18" s="238" customFormat="1" x14ac:dyDescent="0.25">
      <c r="A329" s="252" t="s">
        <v>399</v>
      </c>
      <c r="B329" s="294">
        <f t="shared" ref="B329:I329" si="342">B198/B62</f>
        <v>0.44770114942528816</v>
      </c>
      <c r="C329" s="294">
        <f t="shared" si="342"/>
        <v>0.74084919472913613</v>
      </c>
      <c r="D329" s="294">
        <f t="shared" si="342"/>
        <v>0.65814696485622992</v>
      </c>
      <c r="E329" s="294">
        <f t="shared" si="342"/>
        <v>0.81110402042118712</v>
      </c>
      <c r="F329" s="294">
        <f t="shared" si="342"/>
        <v>0.9224</v>
      </c>
      <c r="G329" s="294">
        <f t="shared" si="342"/>
        <v>0.92772511848341233</v>
      </c>
      <c r="H329" s="294">
        <f t="shared" si="342"/>
        <v>0.82362459546925559</v>
      </c>
      <c r="I329" s="294">
        <f t="shared" si="342"/>
        <v>1.2794432548179877</v>
      </c>
      <c r="K329" s="296"/>
      <c r="L329" s="250"/>
      <c r="M329" s="250"/>
      <c r="N329" s="296"/>
      <c r="O329" s="296"/>
      <c r="P329" s="250"/>
      <c r="Q329" s="250"/>
      <c r="R329" s="250"/>
    </row>
    <row r="330" spans="1:18" s="238" customFormat="1" x14ac:dyDescent="0.25">
      <c r="A330" s="252" t="s">
        <v>400</v>
      </c>
      <c r="B330" s="294">
        <f t="shared" ref="B330:I330" si="343">B198/B76</f>
        <v>3.7059942911512942</v>
      </c>
      <c r="C330" s="294">
        <f t="shared" si="343"/>
        <v>4.7713342762847679</v>
      </c>
      <c r="D330" s="294">
        <f t="shared" si="343"/>
        <v>4.6967624259005882</v>
      </c>
      <c r="E330" s="294">
        <f t="shared" si="343"/>
        <v>5.9475900795507668</v>
      </c>
      <c r="F330" s="294">
        <f t="shared" si="343"/>
        <v>5.4722354057902258</v>
      </c>
      <c r="G330" s="294">
        <f t="shared" si="343"/>
        <v>3.751796837565883</v>
      </c>
      <c r="H330" s="294">
        <f t="shared" si="343"/>
        <v>4.6272727272727234</v>
      </c>
      <c r="I330" s="294">
        <f t="shared" si="343"/>
        <v>5.6742640075973423</v>
      </c>
      <c r="K330" s="296"/>
      <c r="L330" s="250"/>
      <c r="M330" s="250"/>
      <c r="N330" s="296"/>
      <c r="O330" s="296"/>
      <c r="P330" s="250"/>
      <c r="Q330" s="250"/>
      <c r="R330" s="250"/>
    </row>
    <row r="331" spans="1:18" s="238" customFormat="1" x14ac:dyDescent="0.25">
      <c r="A331" s="252" t="s">
        <v>385</v>
      </c>
      <c r="B331" s="294">
        <v>0</v>
      </c>
      <c r="C331" s="294">
        <f t="shared" ref="C331:I331" si="344">-(C198+C185+C186)/C185</f>
        <v>0.94915254237287972</v>
      </c>
      <c r="D331" s="294">
        <f t="shared" si="344"/>
        <v>1.0892388451443542</v>
      </c>
      <c r="E331" s="294">
        <f t="shared" si="344"/>
        <v>1.2694610778443092</v>
      </c>
      <c r="F331" s="294">
        <f t="shared" si="344"/>
        <v>0.6174055829228251</v>
      </c>
      <c r="G331" s="294">
        <f t="shared" si="344"/>
        <v>5.2208835341365209E-2</v>
      </c>
      <c r="H331" s="294">
        <f t="shared" si="344"/>
        <v>1.265957446808508</v>
      </c>
      <c r="I331" s="294">
        <f t="shared" si="344"/>
        <v>1.5269320843091339</v>
      </c>
      <c r="K331" s="296"/>
      <c r="L331" s="250"/>
      <c r="M331" s="250"/>
      <c r="N331" s="296"/>
      <c r="O331" s="296"/>
      <c r="P331" s="250"/>
      <c r="Q331" s="250"/>
      <c r="R331" s="250"/>
    </row>
    <row r="332" spans="1:18" s="238" customFormat="1" x14ac:dyDescent="0.25">
      <c r="A332" s="252"/>
      <c r="B332" s="294"/>
      <c r="C332" s="294"/>
      <c r="D332" s="294"/>
      <c r="E332" s="294"/>
      <c r="F332" s="294"/>
      <c r="G332" s="294"/>
      <c r="H332" s="294"/>
      <c r="I332" s="294"/>
      <c r="K332" s="296"/>
      <c r="L332" s="250"/>
      <c r="M332" s="250"/>
      <c r="N332" s="296"/>
      <c r="O332" s="296"/>
      <c r="P332" s="250"/>
      <c r="Q332" s="250"/>
      <c r="R332" s="250"/>
    </row>
    <row r="333" spans="1:18" s="238" customFormat="1" x14ac:dyDescent="0.25">
      <c r="A333" s="252" t="s">
        <v>401</v>
      </c>
      <c r="B333" s="294">
        <f t="shared" ref="B333:I333" si="345">-B85/B64</f>
        <v>2.733515493616002</v>
      </c>
      <c r="C333" s="294">
        <f t="shared" si="345"/>
        <v>2.8526785714285698</v>
      </c>
      <c r="D333" s="294">
        <f t="shared" si="345"/>
        <v>3.6814814814814785</v>
      </c>
      <c r="E333" s="294">
        <f t="shared" si="345"/>
        <v>3.7689161554192205</v>
      </c>
      <c r="F333" s="294">
        <f t="shared" si="345"/>
        <v>2.3517017828200979</v>
      </c>
      <c r="G333" s="294">
        <f t="shared" si="345"/>
        <v>1.9112754158964875</v>
      </c>
      <c r="H333" s="294">
        <f t="shared" si="345"/>
        <v>2.075294117647057</v>
      </c>
      <c r="I333" s="294">
        <f t="shared" si="345"/>
        <v>1.8051181102362204</v>
      </c>
      <c r="K333" s="296"/>
      <c r="L333" s="250"/>
      <c r="M333" s="250"/>
      <c r="N333" s="296"/>
      <c r="O333" s="296"/>
      <c r="P333" s="250"/>
      <c r="Q333" s="250"/>
      <c r="R333" s="250"/>
    </row>
    <row r="334" spans="1:18" s="238" customFormat="1" x14ac:dyDescent="0.25">
      <c r="A334" s="252" t="s">
        <v>402</v>
      </c>
      <c r="B334" s="294">
        <f t="shared" ref="B334:I334" si="346">-B87/B64</f>
        <v>3.7111787238565519</v>
      </c>
      <c r="C334" s="294">
        <f t="shared" si="346"/>
        <v>4.1049107142857126</v>
      </c>
      <c r="D334" s="294">
        <f t="shared" si="346"/>
        <v>5.1061728395061703</v>
      </c>
      <c r="E334" s="294">
        <f t="shared" si="346"/>
        <v>4.8752556237218787</v>
      </c>
      <c r="F334" s="294">
        <f t="shared" si="346"/>
        <v>3.2447325769854141</v>
      </c>
      <c r="G334" s="294">
        <f t="shared" si="346"/>
        <v>2.8502772643253231</v>
      </c>
      <c r="H334" s="294">
        <f t="shared" si="346"/>
        <v>3.2470588235294096</v>
      </c>
      <c r="I334" s="294">
        <f t="shared" si="346"/>
        <v>2.8464566929133857</v>
      </c>
      <c r="K334" s="296"/>
      <c r="L334" s="250"/>
      <c r="M334" s="250"/>
      <c r="N334" s="296"/>
      <c r="O334" s="296"/>
      <c r="P334" s="250"/>
      <c r="Q334" s="250"/>
      <c r="R334" s="250"/>
    </row>
    <row r="335" spans="1:18" s="238" customFormat="1" x14ac:dyDescent="0.25">
      <c r="A335" s="252" t="s">
        <v>403</v>
      </c>
      <c r="B335" s="235">
        <f t="shared" ref="B335:I335" si="347">B142</f>
        <v>159.70000000000019</v>
      </c>
      <c r="C335" s="235">
        <f t="shared" si="347"/>
        <v>146.39999999999992</v>
      </c>
      <c r="D335" s="235">
        <f t="shared" si="347"/>
        <v>147.7999999999999</v>
      </c>
      <c r="E335" s="235">
        <f t="shared" si="347"/>
        <v>143.6999999999999</v>
      </c>
      <c r="F335" s="235">
        <f t="shared" si="347"/>
        <v>101.30000000000005</v>
      </c>
      <c r="G335" s="235">
        <f t="shared" si="347"/>
        <v>94.999999999999986</v>
      </c>
      <c r="H335" s="235">
        <f t="shared" si="347"/>
        <v>98.199999999999903</v>
      </c>
      <c r="I335" s="235">
        <f t="shared" si="347"/>
        <v>97.8</v>
      </c>
      <c r="K335" s="296"/>
      <c r="L335" s="250"/>
      <c r="M335" s="250"/>
      <c r="N335" s="296"/>
      <c r="O335" s="296"/>
      <c r="P335" s="250"/>
      <c r="Q335" s="250"/>
      <c r="R335" s="250"/>
    </row>
    <row r="336" spans="1:18" s="238" customFormat="1" x14ac:dyDescent="0.25">
      <c r="A336" s="252" t="s">
        <v>404</v>
      </c>
      <c r="B336" s="294">
        <f t="shared" ref="B336:I336" si="348">-(B335-B185)/B64</f>
        <v>3.5561824991831337</v>
      </c>
      <c r="C336" s="294">
        <f t="shared" si="348"/>
        <v>4.1897321428571415</v>
      </c>
      <c r="D336" s="294">
        <f t="shared" si="348"/>
        <v>4.5901234567901206</v>
      </c>
      <c r="E336" s="294">
        <f t="shared" si="348"/>
        <v>3.9631901840490777</v>
      </c>
      <c r="F336" s="294">
        <f t="shared" si="348"/>
        <v>2.6288492706645061</v>
      </c>
      <c r="G336" s="294">
        <f t="shared" si="348"/>
        <v>2.6765249537892788</v>
      </c>
      <c r="H336" s="294">
        <f t="shared" si="348"/>
        <v>3.1952941176470566</v>
      </c>
      <c r="I336" s="294">
        <f t="shared" si="348"/>
        <v>2.765748031496063</v>
      </c>
      <c r="K336" s="296"/>
      <c r="L336" s="250"/>
      <c r="M336" s="250"/>
      <c r="N336" s="296"/>
      <c r="O336" s="296"/>
      <c r="P336" s="250"/>
      <c r="Q336" s="250"/>
      <c r="R336" s="250"/>
    </row>
    <row r="337" spans="1:27" s="238" customFormat="1" x14ac:dyDescent="0.25">
      <c r="A337" s="252" t="s">
        <v>405</v>
      </c>
      <c r="B337" s="294">
        <f>B335/B283</f>
        <v>0.16590484105547493</v>
      </c>
      <c r="C337" s="294">
        <f t="shared" ref="C337:H337" si="349">C335/C283</f>
        <v>0.17465998568360763</v>
      </c>
      <c r="D337" s="294">
        <f t="shared" si="349"/>
        <v>0.18364811133200784</v>
      </c>
      <c r="E337" s="294">
        <f t="shared" si="349"/>
        <v>0.18027850959729008</v>
      </c>
      <c r="F337" s="294">
        <f t="shared" si="349"/>
        <v>0.1097151521715586</v>
      </c>
      <c r="G337" s="294">
        <f t="shared" si="349"/>
        <v>9.5920840064620344E-2</v>
      </c>
      <c r="H337" s="294">
        <f t="shared" si="349"/>
        <v>0.14505169867060547</v>
      </c>
      <c r="I337" s="294">
        <f t="shared" ref="I337" si="350">I335/I283</f>
        <v>0.14764492753623187</v>
      </c>
      <c r="K337" s="296"/>
      <c r="L337" s="250"/>
      <c r="M337" s="250"/>
      <c r="N337" s="296"/>
      <c r="O337" s="296"/>
      <c r="P337" s="250"/>
      <c r="Q337" s="250"/>
      <c r="R337" s="250"/>
    </row>
    <row r="338" spans="1:27" s="238" customFormat="1" x14ac:dyDescent="0.25">
      <c r="A338" s="252" t="s">
        <v>406</v>
      </c>
      <c r="B338" s="294">
        <f t="shared" ref="B338:G338" si="351">B85/(AVERAGE(B283:C283,B41:C41))</f>
        <v>0.23603071359141173</v>
      </c>
      <c r="C338" s="294">
        <f t="shared" si="351"/>
        <v>0.20807554542494289</v>
      </c>
      <c r="D338" s="294">
        <f t="shared" si="351"/>
        <v>0.25285114681816234</v>
      </c>
      <c r="E338" s="294">
        <f t="shared" si="351"/>
        <v>0.33131095231674956</v>
      </c>
      <c r="F338" s="294">
        <f t="shared" si="351"/>
        <v>0.27129101617275886</v>
      </c>
      <c r="G338" s="294">
        <f t="shared" si="351"/>
        <v>0.22475817845886312</v>
      </c>
      <c r="H338" s="294">
        <f>H85/(AVERAGE(H283:J283,H41:J41))</f>
        <v>0.23841059602648984</v>
      </c>
      <c r="I338" s="294">
        <f>I85/(AVERAGE(I283:K283,I41:K41))</f>
        <v>0.39454552627337286</v>
      </c>
      <c r="K338" s="296"/>
      <c r="L338" s="250"/>
      <c r="M338" s="250"/>
      <c r="N338" s="296"/>
      <c r="O338" s="296"/>
      <c r="P338" s="250"/>
      <c r="Q338" s="250"/>
      <c r="R338" s="250"/>
    </row>
    <row r="339" spans="1:27" s="238" customFormat="1" x14ac:dyDescent="0.25">
      <c r="A339" s="252" t="s">
        <v>407</v>
      </c>
      <c r="B339" s="294">
        <f t="shared" ref="B339:I339" si="352">-B211/B283</f>
        <v>3.5528776231040705E-2</v>
      </c>
      <c r="C339" s="294">
        <f t="shared" si="352"/>
        <v>4.8914340252923707E-3</v>
      </c>
      <c r="D339" s="294">
        <f t="shared" si="352"/>
        <v>2.7335984095427559E-2</v>
      </c>
      <c r="E339" s="294">
        <f t="shared" si="352"/>
        <v>-7.1885585246518516E-2</v>
      </c>
      <c r="F339" s="294">
        <f t="shared" si="352"/>
        <v>-8.4587891259612316E-2</v>
      </c>
      <c r="G339" s="294">
        <f t="shared" si="352"/>
        <v>3.1704361873990325E-2</v>
      </c>
      <c r="H339" s="294">
        <f t="shared" si="352"/>
        <v>-5.0664697193500606E-2</v>
      </c>
      <c r="I339" s="294">
        <f t="shared" si="352"/>
        <v>-0.10507246376811598</v>
      </c>
      <c r="K339" s="296"/>
      <c r="L339" s="250"/>
      <c r="M339" s="250"/>
      <c r="N339" s="296"/>
      <c r="O339" s="296"/>
      <c r="P339" s="250"/>
      <c r="Q339" s="250"/>
      <c r="R339" s="250"/>
    </row>
    <row r="340" spans="1:27" s="238" customFormat="1" x14ac:dyDescent="0.25">
      <c r="A340" s="252" t="s">
        <v>408</v>
      </c>
      <c r="B340" s="294">
        <f t="shared" ref="B340:I340" si="353">-(B211-B187)/B283</f>
        <v>4.0723041761894646E-2</v>
      </c>
      <c r="C340" s="294">
        <f t="shared" si="353"/>
        <v>9.902171319494231E-3</v>
      </c>
      <c r="D340" s="294">
        <f t="shared" si="353"/>
        <v>2.7335984095427559E-2</v>
      </c>
      <c r="E340" s="294">
        <f t="shared" si="353"/>
        <v>-7.1885585246518516E-2</v>
      </c>
      <c r="F340" s="294">
        <f t="shared" si="353"/>
        <v>-8.4587891259612316E-2</v>
      </c>
      <c r="G340" s="294">
        <f t="shared" si="353"/>
        <v>3.1704361873990325E-2</v>
      </c>
      <c r="H340" s="294">
        <f t="shared" si="353"/>
        <v>-5.0664697193500606E-2</v>
      </c>
      <c r="I340" s="294">
        <f t="shared" si="353"/>
        <v>-0.10507246376811598</v>
      </c>
      <c r="K340" s="296"/>
      <c r="L340" s="250"/>
      <c r="M340" s="250"/>
      <c r="N340" s="296"/>
      <c r="O340" s="296"/>
      <c r="P340" s="250"/>
      <c r="Q340" s="250"/>
      <c r="R340" s="250"/>
    </row>
    <row r="341" spans="1:27" s="238" customFormat="1" x14ac:dyDescent="0.25">
      <c r="A341" s="252" t="s">
        <v>409</v>
      </c>
      <c r="B341" s="294">
        <f t="shared" ref="B341:I341" si="354">(B335-B187)/B283</f>
        <v>0.16071057552462098</v>
      </c>
      <c r="C341" s="294">
        <f t="shared" si="354"/>
        <v>0.16964924838940579</v>
      </c>
      <c r="D341" s="294">
        <f t="shared" si="354"/>
        <v>0.18364811133200784</v>
      </c>
      <c r="E341" s="294">
        <f t="shared" si="354"/>
        <v>0.18027850959729008</v>
      </c>
      <c r="F341" s="294">
        <f t="shared" si="354"/>
        <v>0.1097151521715586</v>
      </c>
      <c r="G341" s="294">
        <f t="shared" si="354"/>
        <v>9.5920840064620344E-2</v>
      </c>
      <c r="H341" s="294">
        <f t="shared" si="354"/>
        <v>0.14505169867060547</v>
      </c>
      <c r="I341" s="294">
        <f t="shared" si="354"/>
        <v>0.14764492753623187</v>
      </c>
      <c r="K341" s="296"/>
      <c r="L341" s="250"/>
      <c r="M341" s="250"/>
      <c r="N341" s="296"/>
      <c r="O341" s="296"/>
      <c r="P341" s="250"/>
      <c r="Q341" s="250"/>
      <c r="R341" s="250"/>
    </row>
    <row r="342" spans="1:27" s="238" customFormat="1" x14ac:dyDescent="0.25">
      <c r="A342" s="252" t="s">
        <v>387</v>
      </c>
      <c r="B342" s="294">
        <f>B311</f>
        <v>4.4566753937294203</v>
      </c>
      <c r="C342" s="294">
        <f t="shared" ref="C342:H342" si="355">C311</f>
        <v>4.5579119086460054</v>
      </c>
      <c r="D342" s="294">
        <f t="shared" si="355"/>
        <v>3.8916827852998082</v>
      </c>
      <c r="E342" s="294">
        <f t="shared" si="355"/>
        <v>3.3435402684563775</v>
      </c>
      <c r="F342" s="294">
        <f t="shared" si="355"/>
        <v>4.6118881118881108</v>
      </c>
      <c r="G342" s="294">
        <f t="shared" si="355"/>
        <v>6.4228274967574581</v>
      </c>
      <c r="H342" s="294">
        <f t="shared" si="355"/>
        <v>4.9057971014492781</v>
      </c>
      <c r="I342" s="294">
        <f t="shared" ref="I342" si="356">I311</f>
        <v>4.5809128630705391</v>
      </c>
      <c r="K342" s="296"/>
      <c r="L342" s="250"/>
      <c r="M342" s="250"/>
      <c r="N342" s="296"/>
      <c r="O342" s="296"/>
      <c r="P342" s="250"/>
      <c r="Q342" s="250"/>
      <c r="R342" s="250"/>
    </row>
    <row r="343" spans="1:27" s="238" customFormat="1" ht="15.75" thickBot="1" x14ac:dyDescent="0.3">
      <c r="A343" s="252" t="s">
        <v>410</v>
      </c>
      <c r="B343" s="295">
        <f t="shared" ref="B343:I343" si="357">B283/B283+B39</f>
        <v>489.4</v>
      </c>
      <c r="C343" s="295">
        <f t="shared" si="357"/>
        <v>400.4</v>
      </c>
      <c r="D343" s="295">
        <f t="shared" si="357"/>
        <v>407.59999999999991</v>
      </c>
      <c r="E343" s="295">
        <f t="shared" si="357"/>
        <v>342.70000000000005</v>
      </c>
      <c r="F343" s="295">
        <f t="shared" si="357"/>
        <v>148.29999999999998</v>
      </c>
      <c r="G343" s="295">
        <f t="shared" si="357"/>
        <v>57.199999999999989</v>
      </c>
      <c r="H343" s="295">
        <f t="shared" si="357"/>
        <v>100.89999999999999</v>
      </c>
      <c r="I343" s="295">
        <f t="shared" si="357"/>
        <v>31.400000000000006</v>
      </c>
      <c r="K343" s="296"/>
      <c r="L343" s="250"/>
      <c r="M343" s="250"/>
      <c r="N343" s="296"/>
      <c r="O343" s="296"/>
      <c r="P343" s="250"/>
      <c r="Q343" s="250"/>
      <c r="R343" s="250"/>
    </row>
    <row r="344" spans="1:27" s="238" customFormat="1" ht="15.75" thickTop="1" x14ac:dyDescent="0.25">
      <c r="A344" s="255"/>
    </row>
    <row r="345" spans="1:27" s="1" customFormat="1" x14ac:dyDescent="0.25">
      <c r="A345" s="1" t="s">
        <v>111</v>
      </c>
      <c r="B345" s="1" t="s">
        <v>318</v>
      </c>
      <c r="K345" s="236"/>
      <c r="L345" s="236"/>
      <c r="M345" s="236"/>
      <c r="N345" s="236"/>
      <c r="O345" s="236"/>
      <c r="P345" s="236"/>
      <c r="Q345" s="236"/>
      <c r="R345" s="236"/>
      <c r="S345" s="236"/>
      <c r="T345" s="236"/>
      <c r="U345" s="236"/>
      <c r="V345" s="236"/>
      <c r="W345" s="236"/>
      <c r="X345" s="236"/>
      <c r="Y345" s="236"/>
      <c r="Z345" s="236"/>
      <c r="AA345" s="236"/>
    </row>
    <row r="346" spans="1:27" s="1" customFormat="1" x14ac:dyDescent="0.25">
      <c r="A346" s="1" t="s">
        <v>411</v>
      </c>
      <c r="K346" s="236"/>
      <c r="L346" s="236"/>
      <c r="M346" s="236"/>
      <c r="N346" s="236"/>
      <c r="O346" s="236"/>
      <c r="P346" s="236"/>
      <c r="Q346" s="236"/>
      <c r="R346" s="236"/>
      <c r="S346" s="236"/>
      <c r="T346" s="236"/>
      <c r="U346" s="236"/>
      <c r="V346" s="236"/>
      <c r="W346" s="236"/>
      <c r="X346" s="236"/>
      <c r="Y346" s="236"/>
      <c r="Z346" s="236"/>
      <c r="AA346" s="236"/>
    </row>
    <row r="347" spans="1:27" s="1" customFormat="1" x14ac:dyDescent="0.25">
      <c r="A347" s="1" t="s">
        <v>3</v>
      </c>
      <c r="H347" s="2"/>
      <c r="I347" s="2"/>
      <c r="K347" s="236"/>
      <c r="L347" s="236"/>
      <c r="M347" s="236"/>
      <c r="N347" s="236"/>
      <c r="O347" s="236"/>
      <c r="P347" s="237"/>
      <c r="Q347" s="237"/>
      <c r="R347" s="237"/>
      <c r="S347" s="236"/>
      <c r="T347" s="236"/>
      <c r="U347" s="236"/>
      <c r="V347" s="236"/>
      <c r="W347" s="236"/>
      <c r="X347" s="236"/>
      <c r="Y347" s="236"/>
      <c r="Z347" s="236"/>
      <c r="AA347" s="236"/>
    </row>
    <row r="348" spans="1:27" s="1" customFormat="1" ht="15.75" thickBot="1" x14ac:dyDescent="0.3">
      <c r="A348" s="2" t="s">
        <v>11</v>
      </c>
      <c r="B348" s="17" t="s">
        <v>72</v>
      </c>
      <c r="C348" s="3">
        <v>2022</v>
      </c>
      <c r="D348" s="3">
        <v>2021</v>
      </c>
      <c r="E348" s="3">
        <v>2020</v>
      </c>
      <c r="F348" s="3">
        <v>2019</v>
      </c>
      <c r="G348" s="3">
        <v>2018</v>
      </c>
      <c r="H348" s="3">
        <v>2017</v>
      </c>
      <c r="I348" s="3">
        <v>2016</v>
      </c>
      <c r="K348" s="7"/>
      <c r="L348" s="7"/>
      <c r="M348" s="7"/>
      <c r="N348" s="7"/>
      <c r="O348" s="7"/>
      <c r="P348" s="7"/>
      <c r="Q348" s="7"/>
      <c r="R348" s="7"/>
      <c r="S348" s="236"/>
      <c r="T348" s="236"/>
      <c r="U348" s="236"/>
      <c r="V348" s="236"/>
      <c r="W348" s="7"/>
      <c r="X348" s="7"/>
      <c r="Y348" s="7"/>
      <c r="Z348" s="7"/>
      <c r="AA348" s="7"/>
    </row>
    <row r="349" spans="1:27" s="238" customFormat="1" x14ac:dyDescent="0.25">
      <c r="A349" s="252" t="s">
        <v>412</v>
      </c>
      <c r="B349" s="248">
        <f t="shared" ref="B349:I349" si="358">B62/B55</f>
        <v>8.2491821931446524E-2</v>
      </c>
      <c r="C349" s="248">
        <f t="shared" si="358"/>
        <v>6.897248169654123E-2</v>
      </c>
      <c r="D349" s="248">
        <f t="shared" si="358"/>
        <v>9.3232455617776655E-2</v>
      </c>
      <c r="E349" s="248">
        <f t="shared" si="358"/>
        <v>9.3882930920855465E-2</v>
      </c>
      <c r="F349" s="248">
        <f t="shared" si="358"/>
        <v>7.6359193646915124E-2</v>
      </c>
      <c r="G349" s="248">
        <f t="shared" si="358"/>
        <v>5.4009086836884865E-2</v>
      </c>
      <c r="H349" s="248">
        <f t="shared" si="358"/>
        <v>8.376821416468988E-2</v>
      </c>
      <c r="I349" s="248">
        <f t="shared" si="358"/>
        <v>6.5951136845078362E-2</v>
      </c>
      <c r="K349" s="296"/>
      <c r="L349" s="250"/>
      <c r="M349" s="250"/>
      <c r="N349" s="296"/>
      <c r="O349" s="250"/>
      <c r="P349" s="250"/>
      <c r="Q349" s="250"/>
      <c r="R349" s="250"/>
      <c r="S349" s="250"/>
      <c r="T349" s="250"/>
      <c r="U349" s="250"/>
      <c r="V349" s="296"/>
      <c r="W349" s="250"/>
      <c r="X349" s="250"/>
      <c r="Y349" s="250"/>
    </row>
    <row r="350" spans="1:27" s="238" customFormat="1" x14ac:dyDescent="0.25">
      <c r="A350" s="252" t="s">
        <v>413</v>
      </c>
      <c r="B350" s="248">
        <f t="shared" ref="B350:I350" si="359">B83/B85</f>
        <v>0.63417072179197331</v>
      </c>
      <c r="C350" s="248">
        <f t="shared" si="359"/>
        <v>0.64945226917057886</v>
      </c>
      <c r="D350" s="248">
        <f t="shared" si="359"/>
        <v>0.72837022132796758</v>
      </c>
      <c r="E350" s="248">
        <f t="shared" si="359"/>
        <v>0.73467173087357551</v>
      </c>
      <c r="F350" s="248">
        <f t="shared" si="359"/>
        <v>0.57477601654031718</v>
      </c>
      <c r="G350" s="248">
        <f t="shared" si="359"/>
        <v>0.4767891682785298</v>
      </c>
      <c r="H350" s="248">
        <f t="shared" si="359"/>
        <v>0.51814058956916054</v>
      </c>
      <c r="I350" s="248">
        <f t="shared" si="359"/>
        <v>0.44601962922573596</v>
      </c>
      <c r="K350" s="297"/>
      <c r="L350" s="250"/>
      <c r="M350" s="250"/>
      <c r="N350" s="296"/>
      <c r="O350" s="250"/>
      <c r="P350" s="250"/>
      <c r="Q350" s="250"/>
      <c r="R350" s="250"/>
      <c r="S350" s="250"/>
      <c r="T350" s="250"/>
      <c r="U350" s="250"/>
      <c r="V350" s="296"/>
      <c r="W350" s="250"/>
      <c r="X350" s="250"/>
      <c r="Y350" s="250"/>
    </row>
    <row r="351" spans="1:27" s="238" customFormat="1" x14ac:dyDescent="0.25">
      <c r="A351" s="252" t="s">
        <v>414</v>
      </c>
      <c r="B351" s="248">
        <f t="shared" ref="B351:I351" si="360">B68/B55</f>
        <v>5.5610866164130364E-2</v>
      </c>
      <c r="C351" s="248">
        <f t="shared" si="360"/>
        <v>4.7614238828578598E-2</v>
      </c>
      <c r="D351" s="248">
        <f t="shared" si="360"/>
        <v>7.1249851066364764E-2</v>
      </c>
      <c r="E351" s="248">
        <f t="shared" si="360"/>
        <v>6.5963693008207938E-2</v>
      </c>
      <c r="F351" s="248">
        <f t="shared" si="360"/>
        <v>3.8912645082467959E-2</v>
      </c>
      <c r="G351" s="248">
        <f t="shared" si="360"/>
        <v>1.9965444423113824E-2</v>
      </c>
      <c r="H351" s="248">
        <f t="shared" si="360"/>
        <v>4.0867502541511294E-2</v>
      </c>
      <c r="I351" s="248">
        <f t="shared" si="360"/>
        <v>2.7185425787318158E-2</v>
      </c>
      <c r="K351" s="296"/>
      <c r="L351" s="250"/>
      <c r="M351" s="250"/>
      <c r="N351" s="296"/>
      <c r="O351" s="250"/>
      <c r="P351" s="250"/>
      <c r="Q351" s="250"/>
      <c r="R351" s="250"/>
      <c r="S351" s="250"/>
      <c r="T351" s="250"/>
      <c r="U351" s="250"/>
      <c r="V351" s="296"/>
      <c r="W351" s="250"/>
      <c r="X351" s="250"/>
      <c r="Y351" s="250"/>
    </row>
    <row r="352" spans="1:27" s="238" customFormat="1" x14ac:dyDescent="0.25">
      <c r="A352" s="252" t="s">
        <v>415</v>
      </c>
      <c r="B352" s="248">
        <f t="shared" ref="B352:I352" si="361">B74/B83</f>
        <v>0.81077918655065817</v>
      </c>
      <c r="C352" s="248">
        <f t="shared" si="361"/>
        <v>0.75060240963855396</v>
      </c>
      <c r="D352" s="248">
        <f t="shared" si="361"/>
        <v>0.78453038674033115</v>
      </c>
      <c r="E352" s="248">
        <f t="shared" si="361"/>
        <v>0.90103397341211211</v>
      </c>
      <c r="F352" s="248">
        <f t="shared" si="361"/>
        <v>0.79856115107913683</v>
      </c>
      <c r="G352" s="248">
        <f t="shared" si="361"/>
        <v>0.47464503042596323</v>
      </c>
      <c r="H352" s="248">
        <f t="shared" si="361"/>
        <v>0.63676148796498833</v>
      </c>
      <c r="I352" s="248">
        <f t="shared" si="361"/>
        <v>0.71638141809290934</v>
      </c>
      <c r="K352" s="297"/>
      <c r="L352" s="250"/>
      <c r="M352" s="250"/>
      <c r="N352" s="296"/>
      <c r="O352" s="250"/>
      <c r="P352" s="250"/>
      <c r="Q352" s="250"/>
      <c r="R352" s="250"/>
      <c r="S352" s="250"/>
      <c r="T352" s="250"/>
      <c r="U352" s="250"/>
      <c r="V352" s="296"/>
      <c r="W352" s="250"/>
      <c r="X352" s="250"/>
      <c r="Y352" s="250"/>
    </row>
    <row r="353" spans="1:25" s="238" customFormat="1" x14ac:dyDescent="0.25">
      <c r="A353" s="252" t="s">
        <v>416</v>
      </c>
      <c r="B353" s="248">
        <f t="shared" ref="B353:I353" si="362">B74/B55</f>
        <v>3.8780638126392722E-2</v>
      </c>
      <c r="C353" s="248">
        <f t="shared" si="362"/>
        <v>3.1456702852814898E-2</v>
      </c>
      <c r="D353" s="248">
        <f t="shared" si="362"/>
        <v>5.0756582866674539E-2</v>
      </c>
      <c r="E353" s="248">
        <f t="shared" si="362"/>
        <v>7.3093283805643686E-2</v>
      </c>
      <c r="F353" s="248">
        <f t="shared" si="362"/>
        <v>4.0684178375076388E-2</v>
      </c>
      <c r="G353" s="248">
        <f t="shared" si="362"/>
        <v>1.4974083317335364E-2</v>
      </c>
      <c r="H353" s="248">
        <f t="shared" si="362"/>
        <v>1.9722128092172084E-2</v>
      </c>
      <c r="I353" s="248">
        <f t="shared" si="362"/>
        <v>2.068916819658239E-2</v>
      </c>
      <c r="K353" s="296"/>
      <c r="L353" s="250"/>
      <c r="M353" s="250"/>
      <c r="N353" s="296"/>
      <c r="O353" s="250"/>
      <c r="P353" s="250"/>
      <c r="Q353" s="250"/>
      <c r="R353" s="250"/>
      <c r="S353" s="250"/>
      <c r="T353" s="250"/>
      <c r="U353" s="250"/>
      <c r="V353" s="296"/>
      <c r="W353" s="250"/>
      <c r="X353" s="250"/>
      <c r="Y353" s="250"/>
    </row>
    <row r="354" spans="1:25" s="238" customFormat="1" x14ac:dyDescent="0.25">
      <c r="A354" s="252" t="s">
        <v>417</v>
      </c>
      <c r="B354" s="246">
        <f t="shared" ref="B354:H354" si="363">B55/AVERAGE(B23:C23)</f>
        <v>1.1653591160220995</v>
      </c>
      <c r="C354" s="246">
        <f t="shared" si="363"/>
        <v>1.174221089141197</v>
      </c>
      <c r="D354" s="246">
        <f t="shared" si="363"/>
        <v>1.0296580279098297</v>
      </c>
      <c r="E354" s="246">
        <f t="shared" si="363"/>
        <v>1.0553237228123418</v>
      </c>
      <c r="F354" s="246">
        <f t="shared" si="363"/>
        <v>1.0753818360978815</v>
      </c>
      <c r="G354" s="246">
        <f t="shared" si="363"/>
        <v>1.1661505167717621</v>
      </c>
      <c r="H354" s="246">
        <f t="shared" si="363"/>
        <v>1.2899418630065131</v>
      </c>
      <c r="I354" s="246"/>
      <c r="K354" s="297"/>
      <c r="L354" s="250"/>
      <c r="M354" s="250"/>
      <c r="N354" s="296"/>
      <c r="O354" s="250"/>
      <c r="P354" s="250"/>
      <c r="Q354" s="250"/>
      <c r="R354" s="250"/>
      <c r="S354" s="250"/>
      <c r="T354" s="250"/>
      <c r="U354" s="250"/>
      <c r="V354" s="296"/>
      <c r="W354" s="250"/>
      <c r="X354" s="250"/>
      <c r="Y354" s="250"/>
    </row>
    <row r="355" spans="1:25" s="238" customFormat="1" x14ac:dyDescent="0.25">
      <c r="A355" s="252" t="s">
        <v>418</v>
      </c>
      <c r="B355" s="248">
        <f t="shared" ref="B355:H355" si="364">B74/AVERAGE(B23:C23)</f>
        <v>4.5193370165745955E-2</v>
      </c>
      <c r="C355" s="248">
        <f t="shared" si="364"/>
        <v>3.6937123884623314E-2</v>
      </c>
      <c r="D355" s="248">
        <f t="shared" si="364"/>
        <v>5.2261923017941955E-2</v>
      </c>
      <c r="E355" s="248">
        <f t="shared" si="364"/>
        <v>7.7137076378350947E-2</v>
      </c>
      <c r="F355" s="248">
        <f t="shared" si="364"/>
        <v>4.3751026441123372E-2</v>
      </c>
      <c r="G355" s="248">
        <f t="shared" si="364"/>
        <v>1.7462034998694056E-2</v>
      </c>
      <c r="H355" s="248">
        <f t="shared" si="364"/>
        <v>2.5440398653669549E-2</v>
      </c>
      <c r="I355" s="248"/>
      <c r="K355" s="296"/>
      <c r="L355" s="250"/>
      <c r="M355" s="250"/>
      <c r="N355" s="296"/>
      <c r="O355" s="250"/>
      <c r="P355" s="250"/>
      <c r="Q355" s="250"/>
      <c r="R355" s="250"/>
      <c r="S355" s="250"/>
      <c r="T355" s="250"/>
      <c r="U355" s="250"/>
      <c r="V355" s="296"/>
      <c r="W355" s="250"/>
      <c r="X355" s="250"/>
      <c r="Y355" s="250"/>
    </row>
    <row r="356" spans="1:25" s="238" customFormat="1" x14ac:dyDescent="0.25">
      <c r="A356" s="252" t="s">
        <v>383</v>
      </c>
      <c r="B356" s="246">
        <f>B307</f>
        <v>4.0433374287948176</v>
      </c>
      <c r="C356" s="246">
        <f t="shared" ref="C356:G356" si="365">C307</f>
        <v>4.1451216515114284</v>
      </c>
      <c r="D356" s="246">
        <f t="shared" si="365"/>
        <v>4.3082716701902752</v>
      </c>
      <c r="E356" s="246">
        <f t="shared" si="365"/>
        <v>6.2674856350307113</v>
      </c>
      <c r="F356" s="246">
        <f t="shared" si="365"/>
        <v>13.489144882587507</v>
      </c>
      <c r="G356" s="246">
        <f t="shared" si="365"/>
        <v>15.509837962962967</v>
      </c>
      <c r="H356" s="246">
        <f t="shared" ref="H356" si="366">H307</f>
        <v>16.294159544159541</v>
      </c>
      <c r="I356" s="246"/>
      <c r="K356" s="297"/>
      <c r="L356" s="250"/>
      <c r="M356" s="250"/>
      <c r="N356" s="296"/>
      <c r="O356" s="250"/>
      <c r="P356" s="250"/>
      <c r="Q356" s="250"/>
      <c r="R356" s="250"/>
      <c r="S356" s="250"/>
      <c r="T356" s="250"/>
      <c r="U356" s="250"/>
      <c r="V356" s="296"/>
      <c r="W356" s="250"/>
      <c r="X356" s="250"/>
      <c r="Y356" s="250"/>
    </row>
    <row r="357" spans="1:25" s="238" customFormat="1" x14ac:dyDescent="0.25">
      <c r="A357" s="252" t="s">
        <v>419</v>
      </c>
      <c r="B357" s="248">
        <f t="shared" ref="B357:H357" si="367">B74/AVERAGE(B41:C41)</f>
        <v>0.18273204512453967</v>
      </c>
      <c r="C357" s="248">
        <f t="shared" si="367"/>
        <v>0.15310887195871201</v>
      </c>
      <c r="D357" s="248">
        <f t="shared" si="367"/>
        <v>0.22515856236786438</v>
      </c>
      <c r="E357" s="248">
        <f t="shared" si="367"/>
        <v>0.48345551812958132</v>
      </c>
      <c r="F357" s="248">
        <f t="shared" si="367"/>
        <v>0.59016393442622994</v>
      </c>
      <c r="G357" s="248">
        <f t="shared" si="367"/>
        <v>0.27083333333333304</v>
      </c>
      <c r="H357" s="248">
        <f t="shared" si="367"/>
        <v>0.41452991452991328</v>
      </c>
      <c r="K357" s="296"/>
      <c r="L357" s="250"/>
      <c r="M357" s="250"/>
      <c r="N357" s="296"/>
      <c r="O357" s="250"/>
      <c r="P357" s="250"/>
      <c r="Q357" s="250"/>
      <c r="R357" s="250"/>
      <c r="S357" s="250"/>
      <c r="T357" s="250"/>
      <c r="U357" s="250"/>
      <c r="V357" s="296"/>
      <c r="W357" s="250"/>
      <c r="X357" s="250"/>
      <c r="Y357" s="250"/>
    </row>
    <row r="358" spans="1:25" s="238" customFormat="1" ht="18" x14ac:dyDescent="0.25">
      <c r="A358" s="252"/>
      <c r="K358" s="298"/>
      <c r="L358" s="250"/>
      <c r="M358" s="250"/>
      <c r="N358" s="298"/>
      <c r="O358" s="250"/>
      <c r="P358" s="250"/>
      <c r="Q358" s="250"/>
      <c r="R358" s="250"/>
      <c r="S358" s="250"/>
      <c r="T358" s="250"/>
      <c r="U358" s="250"/>
      <c r="V358" s="298"/>
      <c r="W358" s="250"/>
      <c r="X358" s="250"/>
      <c r="Y358" s="250"/>
    </row>
    <row r="359" spans="1:25" s="238" customFormat="1" x14ac:dyDescent="0.25">
      <c r="A359" s="252" t="s">
        <v>420</v>
      </c>
      <c r="B359" s="248">
        <f t="shared" ref="B359:I359" si="368">B57/B55</f>
        <v>0.18446878111221737</v>
      </c>
      <c r="C359" s="248">
        <f t="shared" si="368"/>
        <v>0.17399646553900525</v>
      </c>
      <c r="D359" s="248">
        <f t="shared" si="368"/>
        <v>0.1990349100440843</v>
      </c>
      <c r="E359" s="248">
        <f t="shared" si="368"/>
        <v>0.21592474986519675</v>
      </c>
      <c r="F359" s="248">
        <f t="shared" si="368"/>
        <v>0.20201588271227858</v>
      </c>
      <c r="G359" s="248">
        <f t="shared" si="368"/>
        <v>0.19312727970819732</v>
      </c>
      <c r="H359" s="248">
        <f t="shared" si="368"/>
        <v>0.21829888173500503</v>
      </c>
      <c r="I359" s="248">
        <f t="shared" si="368"/>
        <v>0.20477333709927975</v>
      </c>
      <c r="K359" s="296"/>
      <c r="L359" s="250"/>
      <c r="M359" s="250"/>
      <c r="N359" s="296"/>
      <c r="O359" s="250"/>
      <c r="P359" s="250"/>
      <c r="Q359" s="250"/>
      <c r="R359" s="250"/>
      <c r="S359" s="250"/>
      <c r="T359" s="250"/>
      <c r="U359" s="250"/>
      <c r="V359" s="296"/>
      <c r="W359" s="250"/>
      <c r="X359" s="250"/>
      <c r="Y359" s="250"/>
    </row>
    <row r="360" spans="1:25" s="238" customFormat="1" x14ac:dyDescent="0.25">
      <c r="A360" s="252" t="s">
        <v>421</v>
      </c>
      <c r="B360" s="249">
        <f t="shared" ref="B360:I360" si="369">B62/B57</f>
        <v>0.44718581341557467</v>
      </c>
      <c r="C360" s="249">
        <f t="shared" si="369"/>
        <v>0.39640162507254773</v>
      </c>
      <c r="D360" s="249">
        <f t="shared" si="369"/>
        <v>0.46842262795570166</v>
      </c>
      <c r="E360" s="249">
        <f t="shared" si="369"/>
        <v>0.43479467258601529</v>
      </c>
      <c r="F360" s="249">
        <f t="shared" si="369"/>
        <v>0.377986090111884</v>
      </c>
      <c r="G360" s="249">
        <f t="shared" si="369"/>
        <v>0.2796554009277667</v>
      </c>
      <c r="H360" s="249">
        <f t="shared" si="369"/>
        <v>0.38373176032288092</v>
      </c>
      <c r="I360" s="249">
        <f t="shared" si="369"/>
        <v>0.32206896551724129</v>
      </c>
      <c r="K360" s="297"/>
      <c r="L360" s="250"/>
      <c r="M360" s="250"/>
      <c r="N360" s="296"/>
      <c r="O360" s="250"/>
      <c r="P360" s="250"/>
      <c r="Q360" s="250"/>
      <c r="R360" s="250"/>
      <c r="S360" s="250"/>
      <c r="T360" s="250"/>
      <c r="U360" s="250"/>
      <c r="V360" s="296"/>
      <c r="W360" s="250"/>
      <c r="X360" s="250"/>
      <c r="Y360" s="250"/>
    </row>
    <row r="361" spans="1:25" s="238" customFormat="1" x14ac:dyDescent="0.25">
      <c r="A361" s="253" t="s">
        <v>412</v>
      </c>
      <c r="B361" s="20">
        <f>B359*B360</f>
        <v>8.2491821931446524E-2</v>
      </c>
      <c r="C361" s="20">
        <f t="shared" ref="C361:H361" si="370">C359*C360</f>
        <v>6.897248169654123E-2</v>
      </c>
      <c r="D361" s="20">
        <f t="shared" si="370"/>
        <v>9.3232455617776655E-2</v>
      </c>
      <c r="E361" s="20">
        <f t="shared" si="370"/>
        <v>9.3882930920855465E-2</v>
      </c>
      <c r="F361" s="20">
        <f t="shared" si="370"/>
        <v>7.6359193646915124E-2</v>
      </c>
      <c r="G361" s="20">
        <f t="shared" si="370"/>
        <v>5.4009086836884865E-2</v>
      </c>
      <c r="H361" s="20">
        <f t="shared" si="370"/>
        <v>8.376821416468988E-2</v>
      </c>
      <c r="I361" s="20">
        <f t="shared" ref="I361" si="371">I359*I360</f>
        <v>6.5951136845078362E-2</v>
      </c>
      <c r="K361" s="296"/>
      <c r="L361" s="250"/>
      <c r="M361" s="250"/>
      <c r="N361" s="296"/>
      <c r="O361" s="250"/>
      <c r="P361" s="250"/>
      <c r="Q361" s="250"/>
      <c r="R361" s="250"/>
      <c r="S361" s="250"/>
      <c r="T361" s="250"/>
      <c r="U361" s="250"/>
      <c r="V361" s="296"/>
      <c r="W361" s="250"/>
      <c r="X361" s="250"/>
      <c r="Y361" s="250"/>
    </row>
    <row r="362" spans="1:25" s="238" customFormat="1" x14ac:dyDescent="0.25">
      <c r="A362" s="252" t="s">
        <v>422</v>
      </c>
      <c r="B362" s="249">
        <f t="shared" ref="B362:I362" si="372">B74/B62</f>
        <v>0.4701149425287362</v>
      </c>
      <c r="C362" s="249">
        <f t="shared" si="372"/>
        <v>0.45607613469985325</v>
      </c>
      <c r="D362" s="249">
        <f t="shared" si="372"/>
        <v>0.54440894568690057</v>
      </c>
      <c r="E362" s="249">
        <f t="shared" si="372"/>
        <v>0.77855775366943192</v>
      </c>
      <c r="F362" s="249">
        <f t="shared" si="372"/>
        <v>0.53280000000000016</v>
      </c>
      <c r="G362" s="249">
        <f t="shared" si="372"/>
        <v>0.27725118483412298</v>
      </c>
      <c r="H362" s="249">
        <f t="shared" si="372"/>
        <v>0.23543689320388297</v>
      </c>
      <c r="I362" s="249">
        <f t="shared" si="372"/>
        <v>0.31370449678800844</v>
      </c>
      <c r="K362" s="297"/>
      <c r="L362" s="250"/>
      <c r="M362" s="250"/>
      <c r="N362" s="296"/>
      <c r="O362" s="250"/>
      <c r="P362" s="250"/>
      <c r="Q362" s="250"/>
      <c r="R362" s="250"/>
      <c r="S362" s="250"/>
      <c r="T362" s="250"/>
      <c r="U362" s="250"/>
      <c r="V362" s="296"/>
      <c r="W362" s="250"/>
      <c r="X362" s="250"/>
      <c r="Y362" s="250"/>
    </row>
    <row r="363" spans="1:25" s="238" customFormat="1" x14ac:dyDescent="0.25">
      <c r="A363" s="253" t="s">
        <v>416</v>
      </c>
      <c r="B363" s="20">
        <f>B361*B362</f>
        <v>3.8780638126392722E-2</v>
      </c>
      <c r="C363" s="20">
        <f t="shared" ref="C363:H363" si="373">C361*C362</f>
        <v>3.1456702852814898E-2</v>
      </c>
      <c r="D363" s="20">
        <f t="shared" si="373"/>
        <v>5.0756582866674539E-2</v>
      </c>
      <c r="E363" s="20">
        <f t="shared" si="373"/>
        <v>7.3093283805643686E-2</v>
      </c>
      <c r="F363" s="20">
        <f t="shared" si="373"/>
        <v>4.0684178375076388E-2</v>
      </c>
      <c r="G363" s="20">
        <f t="shared" si="373"/>
        <v>1.4974083317335364E-2</v>
      </c>
      <c r="H363" s="20">
        <f t="shared" si="373"/>
        <v>1.9722128092172088E-2</v>
      </c>
      <c r="I363" s="20">
        <f t="shared" ref="I363" si="374">I361*I362</f>
        <v>2.068916819658239E-2</v>
      </c>
      <c r="K363" s="296"/>
      <c r="L363" s="250"/>
      <c r="M363" s="250"/>
      <c r="N363" s="296"/>
      <c r="O363" s="250"/>
      <c r="P363" s="250"/>
      <c r="Q363" s="250"/>
      <c r="R363" s="250"/>
      <c r="S363" s="250"/>
      <c r="T363" s="250"/>
      <c r="U363" s="250"/>
      <c r="V363" s="296"/>
      <c r="W363" s="250"/>
      <c r="X363" s="250"/>
      <c r="Y363" s="250"/>
    </row>
    <row r="364" spans="1:25" s="238" customFormat="1" ht="18" x14ac:dyDescent="0.25">
      <c r="A364" s="252"/>
      <c r="K364" s="298"/>
      <c r="L364" s="250"/>
      <c r="M364" s="250"/>
      <c r="N364" s="298"/>
      <c r="O364" s="250"/>
      <c r="P364" s="250"/>
      <c r="Q364" s="250"/>
      <c r="R364" s="250"/>
      <c r="S364" s="250"/>
      <c r="T364" s="250"/>
      <c r="U364" s="250"/>
      <c r="V364" s="298"/>
      <c r="W364" s="250"/>
      <c r="X364" s="250"/>
      <c r="Y364" s="250"/>
    </row>
    <row r="365" spans="1:25" s="238" customFormat="1" x14ac:dyDescent="0.25">
      <c r="A365" s="252" t="s">
        <v>423</v>
      </c>
      <c r="B365" s="248">
        <f t="shared" ref="B365:I365" si="375">B69/B68</f>
        <v>0.29752770673486739</v>
      </c>
      <c r="C365" s="248">
        <f t="shared" si="375"/>
        <v>0.33510074231177128</v>
      </c>
      <c r="D365" s="248">
        <f t="shared" si="375"/>
        <v>0.28846153846153871</v>
      </c>
      <c r="E365" s="248">
        <f t="shared" si="375"/>
        <v>0.19073569482288855</v>
      </c>
      <c r="F365" s="248">
        <f t="shared" si="375"/>
        <v>0</v>
      </c>
      <c r="G365" s="248">
        <f t="shared" si="375"/>
        <v>0.82371794871794934</v>
      </c>
      <c r="H365" s="248">
        <f t="shared" si="375"/>
        <v>0.48092868988391446</v>
      </c>
      <c r="I365" s="248">
        <f t="shared" si="375"/>
        <v>0.29610389610389626</v>
      </c>
      <c r="K365" s="296"/>
      <c r="L365" s="250"/>
      <c r="M365" s="250"/>
      <c r="N365" s="296"/>
      <c r="O365" s="250"/>
      <c r="P365" s="250"/>
      <c r="Q365" s="250"/>
      <c r="R365" s="250"/>
      <c r="S365" s="250"/>
      <c r="T365" s="250"/>
      <c r="U365" s="250"/>
      <c r="V365" s="296"/>
      <c r="W365" s="250"/>
      <c r="X365" s="250"/>
      <c r="Y365" s="250"/>
    </row>
    <row r="366" spans="1:25" s="238" customFormat="1" x14ac:dyDescent="0.25">
      <c r="A366" s="252"/>
      <c r="K366" s="296"/>
      <c r="L366" s="250"/>
      <c r="M366" s="250"/>
      <c r="N366" s="296"/>
      <c r="O366" s="250"/>
      <c r="P366" s="250"/>
      <c r="Q366" s="250"/>
      <c r="R366" s="250"/>
      <c r="S366" s="250"/>
      <c r="T366" s="250"/>
      <c r="U366" s="250"/>
      <c r="V366" s="296"/>
      <c r="W366" s="250"/>
      <c r="X366" s="250"/>
      <c r="Y366" s="250"/>
    </row>
    <row r="367" spans="1:25" s="238" customFormat="1" x14ac:dyDescent="0.25">
      <c r="A367" s="252" t="s">
        <v>424</v>
      </c>
      <c r="B367" s="246">
        <f t="shared" ref="B367:G367" si="376">B55/AVERAGE(B250:C250)</f>
        <v>5.8828615255891803</v>
      </c>
      <c r="C367" s="246">
        <f t="shared" si="376"/>
        <v>6.0454822954822953</v>
      </c>
      <c r="D367" s="246">
        <f t="shared" si="376"/>
        <v>5.4606376057254389</v>
      </c>
      <c r="E367" s="246">
        <f t="shared" si="376"/>
        <v>6.7343151099455314</v>
      </c>
      <c r="F367" s="246">
        <f t="shared" si="376"/>
        <v>7.0423747042374716</v>
      </c>
      <c r="G367" s="246">
        <f t="shared" si="376"/>
        <v>6.6910725754656406</v>
      </c>
      <c r="H367" s="246">
        <f>H55/AVERAGE(H250:J250)</f>
        <v>7.9649122807017552</v>
      </c>
      <c r="I367" s="246">
        <f>I55/AVERAGE(I250:K250)</f>
        <v>9.7668965517241428</v>
      </c>
      <c r="K367" s="296"/>
      <c r="L367" s="250"/>
      <c r="M367" s="250"/>
      <c r="N367" s="296"/>
      <c r="O367" s="250"/>
      <c r="P367" s="250"/>
      <c r="Q367" s="250"/>
      <c r="R367" s="250"/>
      <c r="S367" s="250"/>
      <c r="T367" s="250"/>
      <c r="U367" s="250"/>
      <c r="V367" s="296"/>
      <c r="W367" s="250"/>
      <c r="X367" s="250"/>
      <c r="Y367" s="250"/>
    </row>
    <row r="368" spans="1:25" s="238" customFormat="1" x14ac:dyDescent="0.25">
      <c r="A368" s="252" t="s">
        <v>425</v>
      </c>
      <c r="B368" s="246">
        <f t="shared" ref="B368:G368" si="377">B55/AVERAGE(B17:C17)</f>
        <v>3.3560859188544163</v>
      </c>
      <c r="C368" s="246">
        <f t="shared" si="377"/>
        <v>3.785359327217126</v>
      </c>
      <c r="D368" s="246">
        <f t="shared" si="377"/>
        <v>3.7376976174571359</v>
      </c>
      <c r="E368" s="246">
        <f t="shared" si="377"/>
        <v>4.0487568223165544</v>
      </c>
      <c r="F368" s="246">
        <f t="shared" si="377"/>
        <v>3.9289571582863316</v>
      </c>
      <c r="G368" s="246">
        <f t="shared" si="377"/>
        <v>4.1901059123206865</v>
      </c>
      <c r="H368" s="246">
        <f>H55/AVERAGE(H17:J17)</f>
        <v>4.8472404730617606</v>
      </c>
      <c r="I368" s="246">
        <f>I55/AVERAGE(I17:K17)</f>
        <v>10.073742620164357</v>
      </c>
      <c r="K368" s="296"/>
      <c r="L368" s="250"/>
      <c r="M368" s="250"/>
      <c r="N368" s="296"/>
      <c r="O368" s="250"/>
      <c r="P368" s="250"/>
      <c r="Q368" s="250"/>
      <c r="R368" s="250"/>
      <c r="S368" s="250"/>
      <c r="T368" s="250"/>
      <c r="U368" s="250"/>
      <c r="V368" s="296"/>
      <c r="W368" s="250"/>
      <c r="X368" s="250"/>
      <c r="Y368" s="250"/>
    </row>
    <row r="369" spans="1:27" s="238" customFormat="1" x14ac:dyDescent="0.25">
      <c r="A369" s="252"/>
      <c r="K369" s="296"/>
      <c r="L369" s="250"/>
      <c r="M369" s="250"/>
      <c r="N369" s="296"/>
      <c r="O369" s="250"/>
      <c r="P369" s="250"/>
      <c r="Q369" s="250"/>
      <c r="R369" s="250"/>
      <c r="S369" s="250"/>
      <c r="T369" s="250"/>
      <c r="U369" s="250"/>
      <c r="V369" s="296"/>
      <c r="W369" s="250"/>
      <c r="X369" s="250"/>
      <c r="Y369" s="250"/>
    </row>
    <row r="370" spans="1:27" s="238" customFormat="1" x14ac:dyDescent="0.25">
      <c r="A370" s="252" t="s">
        <v>426</v>
      </c>
      <c r="B370" s="238">
        <f t="shared" ref="B370:I370" si="378">B85+B126</f>
        <v>215.99060172845131</v>
      </c>
      <c r="C370" s="238">
        <f t="shared" si="378"/>
        <v>183.89999999999992</v>
      </c>
      <c r="D370" s="238">
        <f t="shared" si="378"/>
        <v>206.7999999999999</v>
      </c>
      <c r="E370" s="238">
        <f t="shared" si="378"/>
        <v>238.39999999999986</v>
      </c>
      <c r="F370" s="238">
        <f t="shared" si="378"/>
        <v>200.20000000000005</v>
      </c>
      <c r="G370" s="238">
        <f t="shared" si="378"/>
        <v>154.19999999999999</v>
      </c>
      <c r="H370" s="238">
        <f t="shared" si="378"/>
        <v>137.99999999999991</v>
      </c>
      <c r="I370" s="238">
        <f t="shared" si="378"/>
        <v>144.6</v>
      </c>
      <c r="K370" s="296"/>
      <c r="L370" s="250"/>
      <c r="M370" s="250"/>
      <c r="N370" s="296"/>
      <c r="O370" s="250"/>
      <c r="P370" s="250"/>
      <c r="Q370" s="250"/>
      <c r="R370" s="250"/>
      <c r="S370" s="250"/>
      <c r="T370" s="250"/>
      <c r="U370" s="250"/>
      <c r="V370" s="296"/>
      <c r="W370" s="250"/>
      <c r="X370" s="250"/>
      <c r="Y370" s="250"/>
    </row>
    <row r="371" spans="1:27" s="238" customFormat="1" ht="15.75" thickBot="1" x14ac:dyDescent="0.3">
      <c r="A371" s="254" t="s">
        <v>427</v>
      </c>
      <c r="B371" s="251">
        <f t="shared" ref="B371:I371" si="379">B87-B59+B60</f>
        <v>218.89060172845132</v>
      </c>
      <c r="C371" s="251">
        <f t="shared" si="379"/>
        <v>187.49999999999991</v>
      </c>
      <c r="D371" s="251">
        <f t="shared" si="379"/>
        <v>240.19999999999987</v>
      </c>
      <c r="E371" s="251">
        <f t="shared" si="379"/>
        <v>244.89999999999986</v>
      </c>
      <c r="F371" s="251">
        <f t="shared" si="379"/>
        <v>206.20000000000005</v>
      </c>
      <c r="G371" s="251">
        <f t="shared" si="379"/>
        <v>149.89999999999998</v>
      </c>
      <c r="H371" s="251">
        <f t="shared" si="379"/>
        <v>154.1999999999999</v>
      </c>
      <c r="I371" s="251">
        <f t="shared" si="379"/>
        <v>166.79999999999998</v>
      </c>
      <c r="K371" s="296"/>
      <c r="L371" s="250"/>
      <c r="M371" s="250"/>
      <c r="N371" s="296"/>
      <c r="O371" s="250"/>
      <c r="P371" s="250"/>
      <c r="Q371" s="250"/>
      <c r="R371" s="250"/>
      <c r="S371" s="250"/>
      <c r="T371" s="250"/>
      <c r="U371" s="250"/>
      <c r="V371" s="296"/>
      <c r="W371" s="250"/>
      <c r="X371" s="250"/>
      <c r="Y371" s="250"/>
    </row>
    <row r="372" spans="1:27" s="238" customFormat="1" ht="15.75" thickTop="1" x14ac:dyDescent="0.25">
      <c r="A372" s="254"/>
      <c r="B372" s="250"/>
      <c r="C372" s="250"/>
      <c r="D372" s="250"/>
      <c r="E372" s="250"/>
      <c r="F372" s="250"/>
      <c r="G372" s="250"/>
      <c r="H372" s="250"/>
      <c r="I372" s="250"/>
      <c r="K372" s="296"/>
      <c r="L372" s="250"/>
      <c r="M372" s="250"/>
      <c r="N372" s="296"/>
      <c r="O372" s="250"/>
      <c r="P372" s="250"/>
      <c r="Q372" s="250"/>
      <c r="R372" s="250"/>
      <c r="S372" s="250"/>
      <c r="T372" s="250"/>
      <c r="U372" s="250"/>
      <c r="V372" s="296"/>
      <c r="W372" s="250"/>
      <c r="X372" s="250"/>
      <c r="Y372" s="250"/>
    </row>
    <row r="373" spans="1:27" s="1" customFormat="1" x14ac:dyDescent="0.25">
      <c r="A373" s="1" t="s">
        <v>111</v>
      </c>
      <c r="B373" s="1" t="s">
        <v>318</v>
      </c>
      <c r="K373" s="236"/>
      <c r="L373" s="236"/>
      <c r="M373" s="236"/>
      <c r="N373" s="236"/>
      <c r="O373" s="236"/>
      <c r="P373" s="236"/>
      <c r="Q373" s="236"/>
      <c r="R373" s="236"/>
      <c r="S373" s="236"/>
      <c r="T373" s="236"/>
      <c r="U373" s="236"/>
      <c r="V373" s="236"/>
      <c r="W373" s="236"/>
      <c r="X373" s="236"/>
      <c r="Y373" s="236"/>
      <c r="Z373" s="236"/>
      <c r="AA373" s="236"/>
    </row>
    <row r="374" spans="1:27" s="1" customFormat="1" x14ac:dyDescent="0.25">
      <c r="A374" s="1" t="s">
        <v>477</v>
      </c>
      <c r="K374" s="236"/>
      <c r="L374" s="236"/>
      <c r="M374" s="236"/>
      <c r="N374" s="236"/>
      <c r="O374" s="236"/>
      <c r="P374" s="236"/>
      <c r="Q374" s="236"/>
      <c r="R374" s="236"/>
      <c r="S374" s="236"/>
      <c r="T374" s="236"/>
      <c r="U374" s="236"/>
      <c r="V374" s="236"/>
      <c r="W374" s="236"/>
      <c r="X374" s="236"/>
      <c r="Y374" s="236"/>
      <c r="Z374" s="236"/>
      <c r="AA374" s="236"/>
    </row>
    <row r="375" spans="1:27" s="1" customFormat="1" x14ac:dyDescent="0.25">
      <c r="A375" s="1" t="s">
        <v>3</v>
      </c>
      <c r="H375" s="2"/>
      <c r="I375" s="2"/>
      <c r="K375" s="236"/>
      <c r="L375" s="236"/>
      <c r="M375" s="236"/>
      <c r="N375" s="236"/>
      <c r="O375" s="236"/>
      <c r="P375" s="237"/>
      <c r="Q375" s="237"/>
      <c r="R375" s="237"/>
      <c r="S375" s="236"/>
      <c r="T375" s="236"/>
      <c r="U375" s="236"/>
      <c r="V375" s="236"/>
      <c r="W375" s="236"/>
      <c r="X375" s="236"/>
      <c r="Y375" s="236"/>
      <c r="Z375" s="236"/>
      <c r="AA375" s="236"/>
    </row>
    <row r="376" spans="1:27" s="1" customFormat="1" ht="15.75" thickBot="1" x14ac:dyDescent="0.3">
      <c r="A376" s="2" t="s">
        <v>11</v>
      </c>
      <c r="B376" s="17" t="s">
        <v>72</v>
      </c>
      <c r="C376" s="3">
        <v>2022</v>
      </c>
      <c r="D376" s="3">
        <v>2021</v>
      </c>
      <c r="E376" s="3">
        <v>2020</v>
      </c>
      <c r="F376" s="3">
        <v>2019</v>
      </c>
      <c r="G376" s="3">
        <v>2018</v>
      </c>
      <c r="H376" s="3">
        <v>2017</v>
      </c>
      <c r="I376" s="3">
        <v>2016</v>
      </c>
      <c r="K376" s="7"/>
      <c r="L376" s="7"/>
      <c r="M376" s="7"/>
      <c r="N376" s="7"/>
      <c r="O376" s="7"/>
      <c r="P376" s="7"/>
      <c r="Q376" s="7"/>
      <c r="R376" s="7"/>
      <c r="S376" s="236"/>
      <c r="T376" s="236"/>
      <c r="U376" s="236"/>
      <c r="V376" s="236"/>
      <c r="W376" s="7"/>
      <c r="X376" s="7"/>
      <c r="Y376" s="7"/>
      <c r="Z376" s="7"/>
      <c r="AA376" s="7"/>
    </row>
    <row r="377" spans="1:27" s="238" customFormat="1" x14ac:dyDescent="0.25">
      <c r="A377" s="254"/>
      <c r="B377" s="317" t="s">
        <v>539</v>
      </c>
      <c r="C377" s="250"/>
      <c r="D377" s="250"/>
      <c r="E377" s="250"/>
      <c r="F377" s="250"/>
      <c r="G377" s="250"/>
      <c r="H377" s="250"/>
      <c r="I377" s="250"/>
      <c r="K377" s="296"/>
      <c r="L377" s="250"/>
      <c r="M377" s="250"/>
      <c r="N377" s="296"/>
      <c r="O377" s="250"/>
      <c r="P377" s="250"/>
      <c r="Q377" s="250"/>
      <c r="R377" s="250"/>
      <c r="S377" s="250"/>
      <c r="T377" s="250"/>
      <c r="U377" s="250"/>
      <c r="V377" s="296"/>
      <c r="W377" s="250"/>
      <c r="X377" s="250"/>
      <c r="Y377" s="250"/>
    </row>
    <row r="378" spans="1:27" s="238" customFormat="1" x14ac:dyDescent="0.25">
      <c r="A378" s="312" t="e" vm="1">
        <v>#VALUE!</v>
      </c>
      <c r="B378" s="318" cm="1">
        <f t="array" ref="B378">_FV(A378,"Price")</f>
        <v>37.92</v>
      </c>
      <c r="C378" s="310">
        <v>28.05</v>
      </c>
      <c r="D378" s="311">
        <v>30.91</v>
      </c>
      <c r="E378" s="311">
        <v>30.77</v>
      </c>
      <c r="F378" s="311">
        <v>37.74</v>
      </c>
      <c r="G378" s="311">
        <v>16.829999999999998</v>
      </c>
      <c r="H378" s="311">
        <v>50.26</v>
      </c>
      <c r="I378" s="311">
        <v>39.799999999999997</v>
      </c>
      <c r="K378" s="296"/>
      <c r="L378" s="250"/>
      <c r="M378" s="250"/>
      <c r="N378" s="296"/>
      <c r="O378" s="250"/>
      <c r="P378" s="250"/>
      <c r="Q378" s="250"/>
      <c r="R378" s="250"/>
      <c r="S378" s="250"/>
      <c r="T378" s="250"/>
      <c r="U378" s="250"/>
      <c r="V378" s="296"/>
      <c r="W378" s="250"/>
      <c r="X378" s="250"/>
      <c r="Y378" s="250"/>
    </row>
    <row r="379" spans="1:27" s="238" customFormat="1" x14ac:dyDescent="0.25">
      <c r="A379" s="254" t="s">
        <v>478</v>
      </c>
      <c r="B379" s="247">
        <f t="shared" ref="B379:I379" si="380">B47</f>
        <v>20.440000000000005</v>
      </c>
      <c r="C379" s="247">
        <f t="shared" si="380"/>
        <v>20.77</v>
      </c>
      <c r="D379" s="247">
        <f t="shared" si="380"/>
        <v>21.1</v>
      </c>
      <c r="E379" s="247">
        <f t="shared" si="380"/>
        <v>21.1</v>
      </c>
      <c r="F379" s="247">
        <f t="shared" si="380"/>
        <v>20.8</v>
      </c>
      <c r="G379" s="247">
        <f t="shared" si="380"/>
        <v>20.55</v>
      </c>
      <c r="H379" s="247">
        <f t="shared" si="380"/>
        <v>20.77</v>
      </c>
      <c r="I379" s="247">
        <f t="shared" si="380"/>
        <v>20.66</v>
      </c>
      <c r="K379" s="296"/>
      <c r="L379" s="250"/>
      <c r="M379" s="250"/>
      <c r="N379" s="296"/>
      <c r="O379" s="250"/>
      <c r="P379" s="250"/>
      <c r="Q379" s="250"/>
      <c r="R379" s="250"/>
      <c r="S379" s="250"/>
      <c r="T379" s="250"/>
      <c r="U379" s="250"/>
      <c r="V379" s="296"/>
      <c r="W379" s="250"/>
      <c r="X379" s="250"/>
      <c r="Y379" s="250"/>
    </row>
    <row r="380" spans="1:27" s="238" customFormat="1" x14ac:dyDescent="0.25">
      <c r="A380" s="257" t="s">
        <v>430</v>
      </c>
      <c r="B380" s="250">
        <f>B378*B379</f>
        <v>775.0848000000002</v>
      </c>
      <c r="C380" s="250">
        <f t="shared" ref="C380:I380" si="381">C378*C379</f>
        <v>582.59850000000006</v>
      </c>
      <c r="D380" s="250">
        <f t="shared" si="381"/>
        <v>652.20100000000002</v>
      </c>
      <c r="E380" s="250">
        <f t="shared" si="381"/>
        <v>649.24700000000007</v>
      </c>
      <c r="F380" s="250">
        <f t="shared" si="381"/>
        <v>784.99200000000008</v>
      </c>
      <c r="G380" s="250">
        <f t="shared" si="381"/>
        <v>345.85649999999998</v>
      </c>
      <c r="H380" s="250">
        <f t="shared" si="381"/>
        <v>1043.9002</v>
      </c>
      <c r="I380" s="250">
        <f t="shared" si="381"/>
        <v>822.26799999999992</v>
      </c>
      <c r="K380" s="296"/>
      <c r="L380" s="250"/>
      <c r="M380" s="250"/>
      <c r="N380" s="296"/>
      <c r="O380" s="250"/>
      <c r="P380" s="250"/>
      <c r="Q380" s="250"/>
      <c r="R380" s="250"/>
      <c r="S380" s="250"/>
      <c r="T380" s="250"/>
      <c r="U380" s="250"/>
      <c r="V380" s="296"/>
      <c r="W380" s="250"/>
      <c r="X380" s="250"/>
      <c r="Y380" s="250"/>
    </row>
    <row r="381" spans="1:27" s="238" customFormat="1" x14ac:dyDescent="0.25">
      <c r="A381" s="254" t="s">
        <v>479</v>
      </c>
      <c r="B381" s="250">
        <f t="shared" ref="B381:I381" si="382">B283</f>
        <v>962.60000000000014</v>
      </c>
      <c r="C381" s="250">
        <f t="shared" si="382"/>
        <v>838.2</v>
      </c>
      <c r="D381" s="250">
        <f t="shared" si="382"/>
        <v>804.8</v>
      </c>
      <c r="E381" s="250">
        <f t="shared" si="382"/>
        <v>797.09999999999991</v>
      </c>
      <c r="F381" s="250">
        <f t="shared" si="382"/>
        <v>923.3</v>
      </c>
      <c r="G381" s="250">
        <f t="shared" si="382"/>
        <v>990.4</v>
      </c>
      <c r="H381" s="250">
        <f t="shared" si="382"/>
        <v>677</v>
      </c>
      <c r="I381" s="250">
        <f t="shared" si="382"/>
        <v>662.4</v>
      </c>
      <c r="K381" s="296"/>
      <c r="L381" s="250"/>
      <c r="M381" s="250"/>
      <c r="N381" s="296"/>
      <c r="O381" s="250"/>
      <c r="P381" s="250"/>
      <c r="Q381" s="250"/>
      <c r="R381" s="250"/>
      <c r="S381" s="250"/>
      <c r="T381" s="250"/>
      <c r="U381" s="250"/>
      <c r="V381" s="296"/>
      <c r="W381" s="250"/>
      <c r="X381" s="250"/>
      <c r="Y381" s="250"/>
    </row>
    <row r="382" spans="1:27" s="238" customFormat="1" x14ac:dyDescent="0.25">
      <c r="A382" s="254" t="s">
        <v>480</v>
      </c>
      <c r="B382" s="247">
        <f t="shared" ref="B382:I382" si="383">-B6-B7</f>
        <v>-38.299999999999997</v>
      </c>
      <c r="C382" s="247">
        <f t="shared" si="383"/>
        <v>-33.299999999999997</v>
      </c>
      <c r="D382" s="247">
        <f t="shared" si="383"/>
        <v>-45.5</v>
      </c>
      <c r="E382" s="247">
        <f t="shared" si="383"/>
        <v>-38.5</v>
      </c>
      <c r="F382" s="247">
        <f t="shared" si="383"/>
        <v>-33</v>
      </c>
      <c r="G382" s="247">
        <f t="shared" si="383"/>
        <v>-40.6</v>
      </c>
      <c r="H382" s="247">
        <f t="shared" si="383"/>
        <v>-60.3</v>
      </c>
      <c r="I382" s="247">
        <f t="shared" si="383"/>
        <v>-20.8</v>
      </c>
      <c r="K382" s="296"/>
      <c r="L382" s="250"/>
      <c r="M382" s="250"/>
      <c r="N382" s="296"/>
      <c r="O382" s="250"/>
      <c r="P382" s="250"/>
      <c r="Q382" s="250"/>
      <c r="R382" s="250"/>
      <c r="S382" s="250"/>
      <c r="T382" s="250"/>
      <c r="U382" s="250"/>
      <c r="V382" s="296"/>
      <c r="W382" s="250"/>
      <c r="X382" s="250"/>
      <c r="Y382" s="250"/>
    </row>
    <row r="383" spans="1:27" s="238" customFormat="1" ht="15.75" thickBot="1" x14ac:dyDescent="0.3">
      <c r="A383" s="257" t="s">
        <v>481</v>
      </c>
      <c r="B383" s="316">
        <f>SUM(B380:B382)</f>
        <v>1699.3848000000005</v>
      </c>
      <c r="C383" s="316">
        <f t="shared" ref="C383:I383" si="384">SUM(C380:C382)</f>
        <v>1387.4985000000001</v>
      </c>
      <c r="D383" s="316">
        <f t="shared" si="384"/>
        <v>1411.501</v>
      </c>
      <c r="E383" s="316">
        <f t="shared" si="384"/>
        <v>1407.847</v>
      </c>
      <c r="F383" s="316">
        <f t="shared" si="384"/>
        <v>1675.2919999999999</v>
      </c>
      <c r="G383" s="316">
        <f t="shared" si="384"/>
        <v>1295.6565000000001</v>
      </c>
      <c r="H383" s="316">
        <f t="shared" si="384"/>
        <v>1660.6002000000001</v>
      </c>
      <c r="I383" s="316">
        <f t="shared" si="384"/>
        <v>1463.8679999999999</v>
      </c>
      <c r="K383" s="296"/>
      <c r="L383" s="250"/>
      <c r="M383" s="250"/>
      <c r="N383" s="296"/>
      <c r="O383" s="250"/>
      <c r="P383" s="250"/>
      <c r="Q383" s="250"/>
      <c r="R383" s="250"/>
      <c r="S383" s="250"/>
      <c r="T383" s="250"/>
      <c r="U383" s="250"/>
      <c r="V383" s="296"/>
      <c r="W383" s="250"/>
      <c r="X383" s="250"/>
      <c r="Y383" s="250"/>
    </row>
    <row r="384" spans="1:27" s="238" customFormat="1" ht="15.75" thickTop="1" x14ac:dyDescent="0.25">
      <c r="A384" s="254"/>
      <c r="B384" s="250"/>
      <c r="C384" s="250"/>
      <c r="D384" s="250"/>
      <c r="E384" s="250"/>
      <c r="F384" s="250"/>
      <c r="G384" s="250"/>
      <c r="H384" s="250"/>
      <c r="I384" s="250"/>
      <c r="K384" s="296"/>
      <c r="L384" s="250"/>
      <c r="M384" s="250"/>
      <c r="N384" s="296"/>
      <c r="O384" s="250"/>
      <c r="P384" s="250"/>
      <c r="Q384" s="250"/>
      <c r="R384" s="250"/>
      <c r="S384" s="250"/>
      <c r="T384" s="250"/>
      <c r="U384" s="250"/>
      <c r="V384" s="296"/>
      <c r="W384" s="250"/>
      <c r="X384" s="250"/>
      <c r="Y384" s="250"/>
    </row>
    <row r="385" spans="1:25" s="238" customFormat="1" x14ac:dyDescent="0.25">
      <c r="A385" s="257" t="s">
        <v>482</v>
      </c>
      <c r="B385" s="250"/>
      <c r="C385" s="250"/>
      <c r="D385" s="250"/>
      <c r="E385" s="250"/>
      <c r="F385" s="250"/>
      <c r="G385" s="250"/>
      <c r="H385" s="250"/>
      <c r="I385" s="250"/>
      <c r="K385" s="296"/>
      <c r="L385" s="250"/>
      <c r="M385" s="250"/>
      <c r="N385" s="296"/>
      <c r="O385" s="250"/>
      <c r="P385" s="250"/>
      <c r="Q385" s="250"/>
      <c r="R385" s="250"/>
      <c r="S385" s="250"/>
      <c r="T385" s="250"/>
      <c r="U385" s="250"/>
      <c r="V385" s="296"/>
      <c r="W385" s="250"/>
      <c r="X385" s="250"/>
      <c r="Y385" s="250"/>
    </row>
    <row r="386" spans="1:25" s="238" customFormat="1" x14ac:dyDescent="0.25">
      <c r="A386" s="254" t="s">
        <v>483</v>
      </c>
      <c r="B386" s="309">
        <f t="shared" ref="B386:I386" si="385">B77</f>
        <v>3.8915318744053362</v>
      </c>
      <c r="C386" s="309">
        <f t="shared" si="385"/>
        <v>2.9372937293729331</v>
      </c>
      <c r="D386" s="309">
        <f t="shared" si="385"/>
        <v>3.88508891928864</v>
      </c>
      <c r="E386" s="309">
        <f t="shared" si="385"/>
        <v>5.7089377632194598</v>
      </c>
      <c r="F386" s="309">
        <f t="shared" si="385"/>
        <v>3.1608922638822996</v>
      </c>
      <c r="G386" s="309">
        <f t="shared" si="385"/>
        <v>1.1212266411116423</v>
      </c>
      <c r="H386" s="309">
        <f t="shared" si="385"/>
        <v>1.3227272727272688</v>
      </c>
      <c r="I386" s="309">
        <f t="shared" si="385"/>
        <v>1.3912630579297238</v>
      </c>
      <c r="K386" s="296"/>
      <c r="L386" s="250"/>
      <c r="M386" s="250"/>
      <c r="N386" s="296"/>
      <c r="O386" s="250"/>
      <c r="P386" s="250"/>
      <c r="Q386" s="250"/>
      <c r="R386" s="250"/>
      <c r="S386" s="250"/>
      <c r="T386" s="250"/>
      <c r="U386" s="250"/>
      <c r="V386" s="296"/>
      <c r="W386" s="250"/>
      <c r="X386" s="250"/>
      <c r="Y386" s="250"/>
    </row>
    <row r="387" spans="1:25" s="238" customFormat="1" x14ac:dyDescent="0.25">
      <c r="A387" s="254" t="s">
        <v>484</v>
      </c>
      <c r="B387" s="309">
        <f t="shared" ref="B387:I387" si="386">B41/B47</f>
        <v>24.085127201565548</v>
      </c>
      <c r="C387" s="309">
        <f t="shared" si="386"/>
        <v>19.402985074626866</v>
      </c>
      <c r="D387" s="309">
        <f t="shared" si="386"/>
        <v>19.469194312796201</v>
      </c>
      <c r="E387" s="309">
        <f t="shared" si="386"/>
        <v>16.398104265402846</v>
      </c>
      <c r="F387" s="309">
        <f t="shared" si="386"/>
        <v>7.6298076923076916</v>
      </c>
      <c r="G387" s="309">
        <f t="shared" si="386"/>
        <v>3.2603406326034055</v>
      </c>
      <c r="H387" s="309">
        <f t="shared" si="386"/>
        <v>5.0938854116514207</v>
      </c>
      <c r="I387" s="309">
        <f t="shared" si="386"/>
        <v>1.6747337850919655</v>
      </c>
      <c r="K387" s="296"/>
      <c r="L387" s="250"/>
      <c r="M387" s="250"/>
      <c r="N387" s="296"/>
      <c r="O387" s="250"/>
      <c r="P387" s="250"/>
      <c r="Q387" s="250"/>
      <c r="R387" s="250"/>
      <c r="S387" s="250"/>
      <c r="T387" s="250"/>
      <c r="U387" s="250"/>
      <c r="V387" s="296"/>
      <c r="W387" s="250"/>
      <c r="X387" s="250"/>
      <c r="Y387" s="250"/>
    </row>
    <row r="388" spans="1:25" s="238" customFormat="1" x14ac:dyDescent="0.25">
      <c r="A388" s="254"/>
      <c r="B388" s="250"/>
      <c r="C388" s="250"/>
      <c r="D388" s="250"/>
      <c r="E388" s="250"/>
      <c r="F388" s="250"/>
      <c r="G388" s="250"/>
      <c r="H388" s="250"/>
      <c r="I388" s="250"/>
      <c r="K388" s="296"/>
      <c r="L388" s="250"/>
      <c r="M388" s="250"/>
      <c r="N388" s="296"/>
      <c r="O388" s="250"/>
      <c r="P388" s="250"/>
      <c r="Q388" s="250"/>
      <c r="R388" s="250"/>
      <c r="S388" s="250"/>
      <c r="T388" s="250"/>
      <c r="U388" s="250"/>
      <c r="V388" s="296"/>
      <c r="W388" s="250"/>
      <c r="X388" s="250"/>
      <c r="Y388" s="250"/>
    </row>
    <row r="389" spans="1:25" s="238" customFormat="1" x14ac:dyDescent="0.25">
      <c r="A389" s="257" t="s">
        <v>485</v>
      </c>
      <c r="B389" s="250"/>
      <c r="C389" s="250"/>
      <c r="D389" s="250"/>
      <c r="E389" s="250"/>
      <c r="F389" s="250"/>
      <c r="G389" s="250"/>
      <c r="H389" s="250"/>
      <c r="I389" s="250"/>
      <c r="K389" s="296"/>
      <c r="L389" s="250"/>
      <c r="M389" s="250"/>
      <c r="N389" s="296"/>
      <c r="O389" s="250"/>
      <c r="P389" s="250"/>
      <c r="Q389" s="250"/>
      <c r="R389" s="250"/>
      <c r="S389" s="250"/>
      <c r="T389" s="250"/>
      <c r="U389" s="250"/>
      <c r="V389" s="296"/>
      <c r="W389" s="250"/>
      <c r="X389" s="250"/>
      <c r="Y389" s="250"/>
    </row>
    <row r="390" spans="1:25" s="238" customFormat="1" x14ac:dyDescent="0.25">
      <c r="A390" s="254" t="s">
        <v>486</v>
      </c>
      <c r="B390" s="308">
        <f>B378/B386</f>
        <v>9.7442347188263856</v>
      </c>
      <c r="C390" s="308">
        <f t="shared" ref="C390:I390" si="387">C378/C386</f>
        <v>9.5496067415730472</v>
      </c>
      <c r="D390" s="308">
        <f t="shared" si="387"/>
        <v>7.9560598591549416</v>
      </c>
      <c r="E390" s="308">
        <f t="shared" si="387"/>
        <v>5.3897942622950881</v>
      </c>
      <c r="F390" s="308">
        <f t="shared" si="387"/>
        <v>11.939666666666659</v>
      </c>
      <c r="G390" s="308">
        <f t="shared" si="387"/>
        <v>15.010346153846168</v>
      </c>
      <c r="H390" s="308">
        <f t="shared" si="387"/>
        <v>37.997250859106643</v>
      </c>
      <c r="I390" s="308">
        <f t="shared" si="387"/>
        <v>28.607098976109228</v>
      </c>
      <c r="K390" s="296"/>
      <c r="L390" s="250"/>
      <c r="M390" s="250"/>
      <c r="N390" s="296"/>
      <c r="O390" s="250"/>
      <c r="P390" s="250"/>
      <c r="Q390" s="250"/>
      <c r="R390" s="250"/>
      <c r="S390" s="250"/>
      <c r="T390" s="250"/>
      <c r="U390" s="250"/>
      <c r="V390" s="296"/>
      <c r="W390" s="250"/>
      <c r="X390" s="250"/>
      <c r="Y390" s="250"/>
    </row>
    <row r="391" spans="1:25" s="238" customFormat="1" x14ac:dyDescent="0.25">
      <c r="A391" s="254" t="s">
        <v>487</v>
      </c>
      <c r="B391" s="308">
        <f>B378/B387</f>
        <v>1.5744156002437546</v>
      </c>
      <c r="C391" s="308">
        <f t="shared" ref="C391:I391" si="388">C378/C387</f>
        <v>1.4456538461538462</v>
      </c>
      <c r="D391" s="308">
        <f t="shared" si="388"/>
        <v>1.5876363193768264</v>
      </c>
      <c r="E391" s="308">
        <f t="shared" si="388"/>
        <v>1.8764364161849707</v>
      </c>
      <c r="F391" s="308">
        <f t="shared" si="388"/>
        <v>4.9463894139886584</v>
      </c>
      <c r="G391" s="308">
        <f t="shared" si="388"/>
        <v>5.1620373134328368</v>
      </c>
      <c r="H391" s="308">
        <f t="shared" si="388"/>
        <v>9.8667315689981088</v>
      </c>
      <c r="I391" s="308">
        <f t="shared" si="388"/>
        <v>23.764971098265889</v>
      </c>
      <c r="K391" s="296"/>
      <c r="L391" s="250"/>
      <c r="M391" s="250"/>
      <c r="N391" s="296"/>
      <c r="O391" s="250"/>
      <c r="P391" s="250"/>
      <c r="Q391" s="250"/>
      <c r="R391" s="250"/>
      <c r="S391" s="250"/>
      <c r="T391" s="250"/>
      <c r="U391" s="250"/>
      <c r="V391" s="296"/>
      <c r="W391" s="250"/>
      <c r="X391" s="250"/>
      <c r="Y391" s="250"/>
    </row>
    <row r="392" spans="1:25" s="238" customFormat="1" x14ac:dyDescent="0.25">
      <c r="A392" s="254" t="s">
        <v>488</v>
      </c>
      <c r="B392" s="308">
        <f>B383/B370</f>
        <v>7.8678645570722967</v>
      </c>
      <c r="C392" s="308">
        <f t="shared" ref="C392:I392" si="389">C383/C370</f>
        <v>7.5448531810766761</v>
      </c>
      <c r="D392" s="308">
        <f t="shared" si="389"/>
        <v>6.8254400386847225</v>
      </c>
      <c r="E392" s="308">
        <f t="shared" si="389"/>
        <v>5.9053984899328889</v>
      </c>
      <c r="F392" s="308">
        <f t="shared" si="389"/>
        <v>8.3680919080919054</v>
      </c>
      <c r="G392" s="308">
        <f t="shared" si="389"/>
        <v>8.4024416342412458</v>
      </c>
      <c r="H392" s="308">
        <f t="shared" si="389"/>
        <v>12.033334782608703</v>
      </c>
      <c r="I392" s="308">
        <f t="shared" si="389"/>
        <v>10.12356846473029</v>
      </c>
      <c r="K392" s="296"/>
      <c r="L392" s="250"/>
      <c r="M392" s="250"/>
      <c r="N392" s="296"/>
      <c r="O392" s="250"/>
      <c r="P392" s="250"/>
      <c r="Q392" s="250"/>
      <c r="R392" s="250"/>
      <c r="S392" s="250"/>
      <c r="T392" s="250"/>
      <c r="U392" s="250"/>
      <c r="V392" s="296"/>
      <c r="W392" s="250"/>
      <c r="X392" s="250"/>
      <c r="Y392" s="250"/>
    </row>
    <row r="393" spans="1:25" s="238" customFormat="1" x14ac:dyDescent="0.25">
      <c r="A393" s="254" t="s">
        <v>489</v>
      </c>
      <c r="B393" s="308">
        <f t="shared" ref="B393:I393" si="390">B380/B55</f>
        <v>0.36746067415730344</v>
      </c>
      <c r="C393" s="308">
        <f t="shared" si="390"/>
        <v>0.29416738197424896</v>
      </c>
      <c r="D393" s="308">
        <f t="shared" si="390"/>
        <v>0.38853866317169072</v>
      </c>
      <c r="E393" s="308">
        <f t="shared" si="390"/>
        <v>0.38898028877838364</v>
      </c>
      <c r="F393" s="308">
        <f t="shared" si="390"/>
        <v>0.47953084911423338</v>
      </c>
      <c r="G393" s="308">
        <f t="shared" si="390"/>
        <v>0.22131983106162409</v>
      </c>
      <c r="H393" s="308">
        <f t="shared" si="390"/>
        <v>0.70748912233141314</v>
      </c>
      <c r="I393" s="308">
        <f t="shared" si="390"/>
        <v>0.58061573224120877</v>
      </c>
      <c r="K393" s="296"/>
      <c r="L393" s="250"/>
      <c r="M393" s="250"/>
      <c r="N393" s="296"/>
      <c r="O393" s="250"/>
      <c r="P393" s="250"/>
      <c r="Q393" s="250"/>
      <c r="R393" s="250"/>
      <c r="S393" s="250"/>
      <c r="T393" s="250"/>
      <c r="U393" s="250"/>
      <c r="V393" s="296"/>
      <c r="W393" s="250"/>
      <c r="X393" s="250"/>
      <c r="Y393" s="250"/>
    </row>
    <row r="394" spans="1:25" s="238" customFormat="1" x14ac:dyDescent="0.25">
      <c r="A394" s="254" t="s">
        <v>490</v>
      </c>
      <c r="B394" s="308">
        <f t="shared" ref="B394:I394" si="391">B378/B85</f>
        <v>0.23835474621388963</v>
      </c>
      <c r="C394" s="308">
        <f t="shared" si="391"/>
        <v>0.21948356807511754</v>
      </c>
      <c r="D394" s="308">
        <f t="shared" si="391"/>
        <v>0.20731052984574128</v>
      </c>
      <c r="E394" s="308">
        <f t="shared" si="391"/>
        <v>0.16695604991861107</v>
      </c>
      <c r="F394" s="308">
        <f t="shared" si="391"/>
        <v>0.26009648518263256</v>
      </c>
      <c r="G394" s="308">
        <f t="shared" si="391"/>
        <v>0.16276595744680852</v>
      </c>
      <c r="H394" s="308">
        <f t="shared" si="391"/>
        <v>0.56984126984127037</v>
      </c>
      <c r="I394" s="308">
        <f t="shared" si="391"/>
        <v>0.43402399127589969</v>
      </c>
      <c r="K394" s="296"/>
      <c r="L394" s="250"/>
      <c r="M394" s="250"/>
      <c r="N394" s="296"/>
      <c r="O394" s="250"/>
      <c r="P394" s="250"/>
      <c r="Q394" s="250"/>
      <c r="R394" s="250"/>
      <c r="S394" s="250"/>
      <c r="T394" s="250"/>
      <c r="U394" s="250"/>
      <c r="V394" s="296"/>
      <c r="W394" s="250"/>
      <c r="X394" s="250"/>
      <c r="Y394" s="250"/>
    </row>
    <row r="395" spans="1:25" s="238" customFormat="1" x14ac:dyDescent="0.25">
      <c r="A395" s="314" t="s">
        <v>491</v>
      </c>
      <c r="B395" s="308">
        <f t="shared" ref="B395:I395" si="392">B380/B87</f>
        <v>3.5885116935525549</v>
      </c>
      <c r="C395" s="308">
        <f t="shared" si="392"/>
        <v>3.1680179445350749</v>
      </c>
      <c r="D395" s="308">
        <f t="shared" si="392"/>
        <v>3.1537765957446826</v>
      </c>
      <c r="E395" s="308">
        <f t="shared" si="392"/>
        <v>2.7233515100671157</v>
      </c>
      <c r="F395" s="308">
        <f t="shared" si="392"/>
        <v>3.9210389610389607</v>
      </c>
      <c r="G395" s="308">
        <f t="shared" si="392"/>
        <v>2.2429085603112839</v>
      </c>
      <c r="H395" s="308">
        <f t="shared" si="392"/>
        <v>7.5644942028985556</v>
      </c>
      <c r="I395" s="308">
        <f t="shared" si="392"/>
        <v>5.6865006915629319</v>
      </c>
      <c r="K395" s="296"/>
      <c r="L395" s="250"/>
      <c r="M395" s="250"/>
      <c r="N395" s="296"/>
      <c r="O395" s="250"/>
      <c r="P395" s="250"/>
      <c r="Q395" s="250"/>
      <c r="R395" s="250"/>
      <c r="S395" s="250"/>
      <c r="T395" s="250"/>
      <c r="U395" s="250"/>
      <c r="V395" s="296"/>
      <c r="W395" s="250"/>
      <c r="X395" s="250"/>
      <c r="Y395" s="250"/>
    </row>
    <row r="396" spans="1:25" s="238" customFormat="1" x14ac:dyDescent="0.25">
      <c r="A396" s="314" t="s">
        <v>492</v>
      </c>
      <c r="B396" s="308">
        <f t="shared" ref="B396:I396" si="393">B380/B142</f>
        <v>4.853380087664366</v>
      </c>
      <c r="C396" s="308">
        <f t="shared" si="393"/>
        <v>3.9794979508196748</v>
      </c>
      <c r="D396" s="308">
        <f t="shared" si="393"/>
        <v>4.4127266576454698</v>
      </c>
      <c r="E396" s="308">
        <f t="shared" si="393"/>
        <v>4.518072372999308</v>
      </c>
      <c r="F396" s="308">
        <f t="shared" si="393"/>
        <v>7.7491806515301054</v>
      </c>
      <c r="G396" s="308">
        <f t="shared" si="393"/>
        <v>3.6405947368421057</v>
      </c>
      <c r="H396" s="308">
        <f t="shared" si="393"/>
        <v>10.630348268839114</v>
      </c>
      <c r="I396" s="308">
        <f t="shared" si="393"/>
        <v>8.4076482617586912</v>
      </c>
      <c r="K396" s="296"/>
      <c r="L396" s="250"/>
      <c r="M396" s="250"/>
      <c r="N396" s="296"/>
      <c r="O396" s="250"/>
      <c r="P396" s="250"/>
      <c r="Q396" s="250"/>
      <c r="R396" s="250"/>
      <c r="S396" s="250"/>
      <c r="T396" s="250"/>
      <c r="U396" s="250"/>
      <c r="V396" s="296"/>
      <c r="W396" s="250"/>
      <c r="X396" s="250"/>
      <c r="Y396" s="250"/>
    </row>
    <row r="397" spans="1:25" s="238" customFormat="1" x14ac:dyDescent="0.25">
      <c r="A397" s="314" t="s">
        <v>493</v>
      </c>
      <c r="B397" s="308">
        <f t="shared" ref="B397:I397" si="394">B380/B198</f>
        <v>9.9497406931963805</v>
      </c>
      <c r="C397" s="308">
        <f t="shared" si="394"/>
        <v>5.7569021739130477</v>
      </c>
      <c r="D397" s="308">
        <f t="shared" si="394"/>
        <v>6.3320485436893268</v>
      </c>
      <c r="E397" s="308">
        <f t="shared" si="394"/>
        <v>5.1081589299764012</v>
      </c>
      <c r="F397" s="308">
        <f t="shared" si="394"/>
        <v>6.8082567215958347</v>
      </c>
      <c r="G397" s="308">
        <f t="shared" si="394"/>
        <v>4.4170689655172417</v>
      </c>
      <c r="H397" s="308">
        <f t="shared" si="394"/>
        <v>10.25442239685659</v>
      </c>
      <c r="I397" s="308">
        <f t="shared" si="394"/>
        <v>6.8809037656903751</v>
      </c>
      <c r="K397" s="296"/>
      <c r="L397" s="250"/>
      <c r="M397" s="250"/>
      <c r="N397" s="296"/>
      <c r="O397" s="250"/>
      <c r="P397" s="250"/>
      <c r="Q397" s="250"/>
      <c r="R397" s="250"/>
      <c r="S397" s="250"/>
      <c r="T397" s="250"/>
      <c r="U397" s="250"/>
      <c r="V397" s="296"/>
      <c r="W397" s="250"/>
      <c r="X397" s="250"/>
      <c r="Y397" s="250"/>
    </row>
    <row r="398" spans="1:25" s="238" customFormat="1" x14ac:dyDescent="0.25">
      <c r="A398" s="314" t="s">
        <v>494</v>
      </c>
      <c r="B398" s="308">
        <f t="shared" ref="B398:I398" si="395">B380/B211</f>
        <v>-22.663298245614179</v>
      </c>
      <c r="C398" s="308">
        <f t="shared" si="395"/>
        <v>-142.09719512194897</v>
      </c>
      <c r="D398" s="308">
        <f t="shared" si="395"/>
        <v>-29.645499999999867</v>
      </c>
      <c r="E398" s="308">
        <f t="shared" si="395"/>
        <v>11.330663176265292</v>
      </c>
      <c r="F398" s="308">
        <f t="shared" si="395"/>
        <v>10.051113956466063</v>
      </c>
      <c r="G398" s="308">
        <f t="shared" si="395"/>
        <v>-11.014538216560503</v>
      </c>
      <c r="H398" s="308">
        <f t="shared" si="395"/>
        <v>30.434408163265385</v>
      </c>
      <c r="I398" s="308">
        <f t="shared" si="395"/>
        <v>11.814195402298845</v>
      </c>
      <c r="K398" s="296"/>
      <c r="L398" s="250"/>
      <c r="M398" s="250"/>
      <c r="N398" s="296"/>
      <c r="O398" s="250"/>
      <c r="P398" s="250"/>
      <c r="Q398" s="250"/>
      <c r="R398" s="250"/>
      <c r="S398" s="250"/>
      <c r="T398" s="250"/>
      <c r="U398" s="250"/>
      <c r="V398" s="296"/>
      <c r="W398" s="250"/>
      <c r="X398" s="250"/>
      <c r="Y398" s="250"/>
    </row>
    <row r="399" spans="1:25" s="238" customFormat="1" x14ac:dyDescent="0.25">
      <c r="A399" s="314" t="s">
        <v>504</v>
      </c>
      <c r="B399" s="308">
        <f t="shared" ref="B399:I399" si="396">B380/B212</f>
        <v>-11.127903379560649</v>
      </c>
      <c r="C399" s="308">
        <f t="shared" si="396"/>
        <v>-16.610078403421213</v>
      </c>
      <c r="D399" s="308">
        <f t="shared" si="396"/>
        <v>-12.895719228867993</v>
      </c>
      <c r="E399" s="308">
        <f t="shared" si="396"/>
        <v>32.914930291508419</v>
      </c>
      <c r="F399" s="308">
        <f t="shared" si="396"/>
        <v>24.209468003084002</v>
      </c>
      <c r="G399" s="308">
        <f t="shared" si="396"/>
        <v>-5.0306399999999991</v>
      </c>
      <c r="H399" s="308">
        <f t="shared" si="396"/>
        <v>171.13118032787142</v>
      </c>
      <c r="I399" s="308">
        <f t="shared" si="396"/>
        <v>21.883379906852948</v>
      </c>
      <c r="K399" s="296"/>
      <c r="L399" s="250"/>
      <c r="M399" s="250"/>
      <c r="N399" s="296"/>
      <c r="O399" s="250"/>
      <c r="P399" s="250"/>
      <c r="Q399" s="250"/>
      <c r="R399" s="250"/>
      <c r="S399" s="250"/>
      <c r="T399" s="250"/>
      <c r="U399" s="250"/>
      <c r="V399" s="296"/>
      <c r="W399" s="250"/>
      <c r="X399" s="250"/>
      <c r="Y399" s="250"/>
    </row>
    <row r="400" spans="1:25" s="238" customFormat="1" x14ac:dyDescent="0.25">
      <c r="A400" s="314" t="s">
        <v>505</v>
      </c>
      <c r="B400" s="308">
        <f t="shared" ref="B400:I400" si="397">B380/B213</f>
        <v>-4.2434971776980523</v>
      </c>
      <c r="C400" s="308">
        <f t="shared" si="397"/>
        <v>-15.714052596088985</v>
      </c>
      <c r="D400" s="308">
        <f t="shared" si="397"/>
        <v>-10.749089410795202</v>
      </c>
      <c r="E400" s="308">
        <f t="shared" si="397"/>
        <v>-12.736576753310421</v>
      </c>
      <c r="F400" s="308">
        <f t="shared" si="397"/>
        <v>288.07045871559058</v>
      </c>
      <c r="G400" s="308">
        <f t="shared" si="397"/>
        <v>31.585068493150715</v>
      </c>
      <c r="H400" s="308">
        <f t="shared" si="397"/>
        <v>-25.711827586206812</v>
      </c>
      <c r="I400" s="308">
        <f t="shared" si="397"/>
        <v>139.96051063829742</v>
      </c>
      <c r="K400" s="296"/>
      <c r="L400" s="250"/>
      <c r="M400" s="250"/>
      <c r="N400" s="296"/>
      <c r="O400" s="250"/>
      <c r="P400" s="250"/>
      <c r="Q400" s="250"/>
      <c r="R400" s="250"/>
      <c r="S400" s="250"/>
      <c r="T400" s="250"/>
      <c r="U400" s="250"/>
      <c r="V400" s="296"/>
      <c r="W400" s="250"/>
      <c r="X400" s="250"/>
      <c r="Y400" s="250"/>
    </row>
    <row r="401" spans="1:27" s="238" customFormat="1" x14ac:dyDescent="0.25">
      <c r="A401" s="314"/>
      <c r="B401" s="308"/>
      <c r="C401" s="308"/>
      <c r="D401" s="308"/>
      <c r="E401" s="308"/>
      <c r="F401" s="308"/>
      <c r="G401" s="308"/>
      <c r="H401" s="308"/>
      <c r="I401" s="308"/>
      <c r="K401" s="296"/>
      <c r="L401" s="250"/>
      <c r="M401" s="250"/>
      <c r="N401" s="296"/>
      <c r="O401" s="250"/>
      <c r="P401" s="250"/>
      <c r="Q401" s="250"/>
      <c r="R401" s="250"/>
      <c r="S401" s="250"/>
      <c r="T401" s="250"/>
      <c r="U401" s="250"/>
      <c r="V401" s="296"/>
      <c r="W401" s="250"/>
      <c r="X401" s="250"/>
      <c r="Y401" s="250"/>
    </row>
    <row r="402" spans="1:27" s="238" customFormat="1" x14ac:dyDescent="0.25">
      <c r="A402" s="254"/>
      <c r="B402" s="250"/>
      <c r="C402" s="250"/>
      <c r="D402" s="250"/>
      <c r="E402" s="250"/>
      <c r="F402" s="250"/>
      <c r="G402" s="250"/>
      <c r="H402" s="250"/>
      <c r="I402" s="250"/>
      <c r="K402" s="296"/>
      <c r="L402" s="250"/>
      <c r="M402" s="250"/>
      <c r="N402" s="296"/>
      <c r="O402" s="250"/>
      <c r="P402" s="250"/>
      <c r="Q402" s="250"/>
      <c r="R402" s="250"/>
      <c r="S402" s="250"/>
      <c r="T402" s="250"/>
      <c r="U402" s="250"/>
      <c r="V402" s="296"/>
      <c r="W402" s="250"/>
      <c r="X402" s="250"/>
      <c r="Y402" s="250"/>
    </row>
    <row r="403" spans="1:27" s="238" customFormat="1" x14ac:dyDescent="0.25">
      <c r="A403" s="314" t="s">
        <v>495</v>
      </c>
      <c r="B403" s="309">
        <f t="shared" ref="B403:I403" si="398">B78</f>
        <v>0.23786869647954326</v>
      </c>
      <c r="C403" s="309">
        <f t="shared" si="398"/>
        <v>0.19801980198019803</v>
      </c>
      <c r="D403" s="309">
        <f t="shared" si="398"/>
        <v>0</v>
      </c>
      <c r="E403" s="309">
        <f t="shared" si="398"/>
        <v>0</v>
      </c>
      <c r="F403" s="309">
        <f t="shared" si="398"/>
        <v>0</v>
      </c>
      <c r="G403" s="309">
        <f t="shared" si="398"/>
        <v>0</v>
      </c>
      <c r="H403" s="309">
        <f t="shared" si="398"/>
        <v>0</v>
      </c>
      <c r="I403" s="309">
        <f t="shared" si="398"/>
        <v>0.42260208926875598</v>
      </c>
      <c r="K403" s="296"/>
      <c r="L403" s="250"/>
      <c r="M403" s="250"/>
      <c r="N403" s="296"/>
      <c r="O403" s="250"/>
      <c r="P403" s="250"/>
      <c r="Q403" s="250"/>
      <c r="R403" s="250"/>
      <c r="S403" s="250"/>
      <c r="T403" s="250"/>
      <c r="U403" s="250"/>
      <c r="V403" s="296"/>
      <c r="W403" s="250"/>
      <c r="X403" s="250"/>
      <c r="Y403" s="250"/>
    </row>
    <row r="404" spans="1:27" s="238" customFormat="1" x14ac:dyDescent="0.25">
      <c r="A404" s="314" t="s">
        <v>496</v>
      </c>
      <c r="B404" s="320">
        <f>B403/B378</f>
        <v>6.2729086624352124E-3</v>
      </c>
      <c r="C404" s="320">
        <f t="shared" ref="C404:H404" si="399">C403/C378</f>
        <v>7.0595294823600011E-3</v>
      </c>
      <c r="D404" s="320">
        <f t="shared" si="399"/>
        <v>0</v>
      </c>
      <c r="E404" s="320">
        <f t="shared" si="399"/>
        <v>0</v>
      </c>
      <c r="F404" s="320">
        <f t="shared" si="399"/>
        <v>0</v>
      </c>
      <c r="G404" s="320">
        <f t="shared" si="399"/>
        <v>0</v>
      </c>
      <c r="H404" s="320">
        <f t="shared" si="399"/>
        <v>0</v>
      </c>
      <c r="I404" s="320">
        <f>I403/I378</f>
        <v>1.0618142946451156E-2</v>
      </c>
      <c r="K404" s="296"/>
      <c r="L404" s="250"/>
      <c r="M404" s="250"/>
      <c r="N404" s="296"/>
      <c r="O404" s="250"/>
      <c r="P404" s="250"/>
      <c r="Q404" s="250"/>
      <c r="R404" s="250"/>
      <c r="S404" s="250"/>
      <c r="T404" s="250"/>
      <c r="U404" s="250"/>
      <c r="V404" s="296"/>
      <c r="W404" s="250"/>
      <c r="X404" s="250"/>
      <c r="Y404" s="250"/>
    </row>
    <row r="405" spans="1:27" s="238" customFormat="1" x14ac:dyDescent="0.25">
      <c r="A405" s="314" t="s">
        <v>497</v>
      </c>
      <c r="B405" s="320">
        <f>B403/B386</f>
        <v>6.1124694376527983E-2</v>
      </c>
      <c r="C405" s="320">
        <f t="shared" ref="C405:I405" si="400">C403/C386</f>
        <v>6.7415730337078747E-2</v>
      </c>
      <c r="D405" s="320">
        <f t="shared" si="400"/>
        <v>0</v>
      </c>
      <c r="E405" s="320">
        <f t="shared" si="400"/>
        <v>0</v>
      </c>
      <c r="F405" s="320">
        <f t="shared" si="400"/>
        <v>0</v>
      </c>
      <c r="G405" s="320">
        <f t="shared" si="400"/>
        <v>0</v>
      </c>
      <c r="H405" s="320">
        <f t="shared" si="400"/>
        <v>0</v>
      </c>
      <c r="I405" s="320">
        <f t="shared" si="400"/>
        <v>0.30375426621160428</v>
      </c>
      <c r="K405" s="296"/>
      <c r="L405" s="250"/>
      <c r="M405" s="250"/>
      <c r="N405" s="296"/>
      <c r="O405" s="250"/>
      <c r="P405" s="250"/>
      <c r="Q405" s="250"/>
      <c r="R405" s="250"/>
      <c r="S405" s="250"/>
      <c r="T405" s="250"/>
      <c r="U405" s="250"/>
      <c r="V405" s="296"/>
      <c r="W405" s="250"/>
      <c r="X405" s="250"/>
      <c r="Y405" s="250"/>
    </row>
    <row r="406" spans="1:27" s="238" customFormat="1" x14ac:dyDescent="0.25">
      <c r="A406" s="314" t="s">
        <v>498</v>
      </c>
      <c r="B406" s="320">
        <f>1-B405</f>
        <v>0.93887530562347199</v>
      </c>
      <c r="C406" s="320">
        <f t="shared" ref="C406:I406" si="401">1-C405</f>
        <v>0.93258426966292129</v>
      </c>
      <c r="D406" s="320">
        <f t="shared" si="401"/>
        <v>1</v>
      </c>
      <c r="E406" s="320">
        <f t="shared" si="401"/>
        <v>1</v>
      </c>
      <c r="F406" s="320">
        <f t="shared" si="401"/>
        <v>1</v>
      </c>
      <c r="G406" s="320">
        <f t="shared" si="401"/>
        <v>1</v>
      </c>
      <c r="H406" s="320">
        <f t="shared" si="401"/>
        <v>1</v>
      </c>
      <c r="I406" s="320">
        <f t="shared" si="401"/>
        <v>0.69624573378839572</v>
      </c>
      <c r="K406" s="296"/>
      <c r="L406" s="250"/>
      <c r="M406" s="250"/>
      <c r="N406" s="296"/>
      <c r="O406" s="250"/>
      <c r="P406" s="250"/>
      <c r="Q406" s="250"/>
      <c r="R406" s="250"/>
      <c r="S406" s="250"/>
      <c r="T406" s="250"/>
      <c r="U406" s="250"/>
      <c r="V406" s="296"/>
      <c r="W406" s="250"/>
      <c r="X406" s="250"/>
      <c r="Y406" s="250"/>
    </row>
    <row r="407" spans="1:27" s="238" customFormat="1" x14ac:dyDescent="0.25">
      <c r="A407" s="314" t="s">
        <v>499</v>
      </c>
      <c r="B407" s="320">
        <f>B406*B357</f>
        <v>0.17156260471350426</v>
      </c>
      <c r="C407" s="320">
        <f t="shared" ref="C407:G407" si="402">C406*C357</f>
        <v>0.14278692553452918</v>
      </c>
      <c r="D407" s="320">
        <f t="shared" si="402"/>
        <v>0.22515856236786438</v>
      </c>
      <c r="E407" s="320">
        <f t="shared" si="402"/>
        <v>0.48345551812958132</v>
      </c>
      <c r="F407" s="320">
        <f t="shared" si="402"/>
        <v>0.59016393442622994</v>
      </c>
      <c r="G407" s="320">
        <f t="shared" si="402"/>
        <v>0.27083333333333304</v>
      </c>
      <c r="H407" s="320">
        <f>H406*H357</f>
        <v>0.41452991452991328</v>
      </c>
      <c r="I407" s="320"/>
      <c r="K407" s="296"/>
      <c r="L407" s="250"/>
      <c r="M407" s="250"/>
      <c r="N407" s="296"/>
      <c r="O407" s="250"/>
      <c r="P407" s="250"/>
      <c r="Q407" s="250"/>
      <c r="R407" s="250"/>
      <c r="S407" s="250"/>
      <c r="T407" s="250"/>
      <c r="U407" s="250"/>
      <c r="V407" s="296"/>
      <c r="W407" s="250"/>
      <c r="X407" s="250"/>
      <c r="Y407" s="250"/>
    </row>
    <row r="408" spans="1:27" s="238" customFormat="1" x14ac:dyDescent="0.25">
      <c r="A408" s="314" t="s">
        <v>500</v>
      </c>
      <c r="B408" s="320">
        <f>B406*B355</f>
        <v>4.2430939226519436E-2</v>
      </c>
      <c r="C408" s="320">
        <f t="shared" ref="C408:G408" si="403">C406*C355</f>
        <v>3.4446980701390281E-2</v>
      </c>
      <c r="D408" s="320">
        <f t="shared" si="403"/>
        <v>5.2261923017941955E-2</v>
      </c>
      <c r="E408" s="320">
        <f t="shared" si="403"/>
        <v>7.7137076378350947E-2</v>
      </c>
      <c r="F408" s="320">
        <f t="shared" si="403"/>
        <v>4.3751026441123372E-2</v>
      </c>
      <c r="G408" s="320">
        <f t="shared" si="403"/>
        <v>1.7462034998694056E-2</v>
      </c>
      <c r="H408" s="320">
        <f>H406*H355</f>
        <v>2.5440398653669549E-2</v>
      </c>
      <c r="I408" s="320"/>
      <c r="K408" s="296"/>
      <c r="L408" s="250"/>
      <c r="M408" s="250"/>
      <c r="N408" s="296"/>
      <c r="O408" s="250"/>
      <c r="P408" s="250"/>
      <c r="Q408" s="250"/>
      <c r="R408" s="250"/>
      <c r="S408" s="250"/>
      <c r="T408" s="250"/>
      <c r="U408" s="250"/>
      <c r="V408" s="296"/>
      <c r="W408" s="250"/>
      <c r="X408" s="250"/>
      <c r="Y408" s="250"/>
    </row>
    <row r="409" spans="1:27" s="238" customFormat="1" x14ac:dyDescent="0.25">
      <c r="A409" s="314"/>
      <c r="B409" s="250"/>
      <c r="C409" s="250"/>
      <c r="D409" s="250"/>
      <c r="E409" s="250"/>
      <c r="F409" s="250"/>
      <c r="G409" s="250"/>
      <c r="H409" s="250"/>
      <c r="I409" s="250"/>
      <c r="K409" s="296"/>
      <c r="L409" s="250"/>
      <c r="M409" s="250"/>
      <c r="N409" s="296"/>
      <c r="O409" s="250"/>
      <c r="P409" s="250"/>
      <c r="Q409" s="250"/>
      <c r="R409" s="250"/>
      <c r="S409" s="250"/>
      <c r="T409" s="250"/>
      <c r="U409" s="250"/>
      <c r="V409" s="296"/>
      <c r="W409" s="250"/>
      <c r="X409" s="250"/>
      <c r="Y409" s="250"/>
    </row>
    <row r="410" spans="1:27" s="238" customFormat="1" x14ac:dyDescent="0.25">
      <c r="A410" s="314" t="s">
        <v>501</v>
      </c>
      <c r="B410" s="308">
        <f>B390/(B407*100)</f>
        <v>0.5679696187347163</v>
      </c>
      <c r="C410" s="308">
        <f t="shared" ref="C410:H410" si="404">C390/(C407*100)</f>
        <v>0.66880120191842996</v>
      </c>
      <c r="D410" s="308">
        <f t="shared" si="404"/>
        <v>0.35335364444885381</v>
      </c>
      <c r="E410" s="308">
        <f t="shared" si="404"/>
        <v>0.11148480181066943</v>
      </c>
      <c r="F410" s="308">
        <f t="shared" si="404"/>
        <v>0.20231101851851824</v>
      </c>
      <c r="G410" s="308">
        <f t="shared" si="404"/>
        <v>0.5542281656804745</v>
      </c>
      <c r="H410" s="308">
        <f t="shared" si="404"/>
        <v>0.91663471144649289</v>
      </c>
      <c r="I410" s="250"/>
      <c r="K410" s="296"/>
      <c r="L410" s="250"/>
      <c r="M410" s="250"/>
      <c r="N410" s="296"/>
      <c r="O410" s="250"/>
      <c r="P410" s="250"/>
      <c r="Q410" s="250"/>
      <c r="R410" s="250"/>
      <c r="S410" s="250"/>
      <c r="T410" s="250"/>
      <c r="U410" s="250"/>
      <c r="V410" s="296"/>
      <c r="W410" s="250"/>
      <c r="X410" s="250"/>
      <c r="Y410" s="250"/>
    </row>
    <row r="411" spans="1:27" s="238" customFormat="1" x14ac:dyDescent="0.25">
      <c r="A411" s="314"/>
      <c r="B411" s="250"/>
      <c r="C411" s="250"/>
      <c r="D411" s="250"/>
      <c r="E411" s="250"/>
      <c r="F411" s="250"/>
      <c r="G411" s="250"/>
      <c r="H411" s="250"/>
      <c r="I411" s="250"/>
      <c r="K411" s="296"/>
      <c r="L411" s="250"/>
      <c r="M411" s="250"/>
      <c r="N411" s="296"/>
      <c r="O411" s="250"/>
      <c r="P411" s="250"/>
      <c r="Q411" s="250"/>
      <c r="R411" s="250"/>
      <c r="S411" s="250"/>
      <c r="T411" s="250"/>
      <c r="U411" s="250"/>
      <c r="V411" s="296"/>
      <c r="W411" s="250"/>
      <c r="X411" s="250"/>
      <c r="Y411" s="250"/>
    </row>
    <row r="412" spans="1:27" s="238" customFormat="1" x14ac:dyDescent="0.25">
      <c r="A412" s="314" t="s">
        <v>502</v>
      </c>
      <c r="B412" s="250">
        <f t="shared" ref="B412:I412" si="405">B380-B41</f>
        <v>282.78480000000025</v>
      </c>
      <c r="C412" s="250">
        <f t="shared" si="405"/>
        <v>179.59850000000006</v>
      </c>
      <c r="D412" s="250">
        <f t="shared" si="405"/>
        <v>241.40100000000012</v>
      </c>
      <c r="E412" s="250">
        <f t="shared" si="405"/>
        <v>303.24700000000001</v>
      </c>
      <c r="F412" s="250">
        <f t="shared" si="405"/>
        <v>626.29200000000014</v>
      </c>
      <c r="G412" s="250">
        <f t="shared" si="405"/>
        <v>278.85649999999998</v>
      </c>
      <c r="H412" s="250">
        <f t="shared" si="405"/>
        <v>938.10020000000009</v>
      </c>
      <c r="I412" s="250">
        <f t="shared" si="405"/>
        <v>787.66799999999989</v>
      </c>
      <c r="K412" s="296"/>
      <c r="L412" s="250"/>
      <c r="M412" s="250"/>
      <c r="N412" s="296"/>
      <c r="O412" s="250"/>
      <c r="P412" s="250"/>
      <c r="Q412" s="250"/>
      <c r="R412" s="250"/>
      <c r="S412" s="250"/>
      <c r="T412" s="250"/>
      <c r="U412" s="250"/>
      <c r="V412" s="296"/>
      <c r="W412" s="250"/>
      <c r="X412" s="250"/>
      <c r="Y412" s="250"/>
    </row>
    <row r="413" spans="1:27" s="238" customFormat="1" x14ac:dyDescent="0.25">
      <c r="A413" s="314" t="s">
        <v>503</v>
      </c>
      <c r="B413" s="319">
        <f t="shared" ref="B413:I413" si="406">B412/B23</f>
        <v>0.1481634706067276</v>
      </c>
      <c r="C413" s="319">
        <f t="shared" si="406"/>
        <v>0.10494244478204981</v>
      </c>
      <c r="D413" s="319">
        <f t="shared" si="406"/>
        <v>0.14525603225224148</v>
      </c>
      <c r="E413" s="319">
        <f t="shared" si="406"/>
        <v>0.1896953584386338</v>
      </c>
      <c r="F413" s="319">
        <f t="shared" si="406"/>
        <v>0.40028889172951559</v>
      </c>
      <c r="G413" s="319">
        <f t="shared" si="406"/>
        <v>0.1884292857625515</v>
      </c>
      <c r="H413" s="319">
        <f t="shared" si="406"/>
        <v>0.7816198966838861</v>
      </c>
      <c r="I413" s="319">
        <f t="shared" si="406"/>
        <v>0.72429241379310338</v>
      </c>
      <c r="K413" s="296"/>
      <c r="L413" s="250"/>
      <c r="M413" s="250"/>
      <c r="N413" s="296"/>
      <c r="O413" s="250"/>
      <c r="P413" s="250"/>
      <c r="Q413" s="250"/>
      <c r="R413" s="250"/>
      <c r="S413" s="250"/>
      <c r="T413" s="250"/>
      <c r="U413" s="250"/>
      <c r="V413" s="296"/>
      <c r="W413" s="250"/>
      <c r="X413" s="250"/>
      <c r="Y413" s="250"/>
    </row>
    <row r="414" spans="1:27" s="238" customFormat="1" x14ac:dyDescent="0.25">
      <c r="A414" s="314"/>
      <c r="B414" s="319"/>
      <c r="C414" s="319"/>
      <c r="D414" s="319"/>
      <c r="E414" s="319"/>
      <c r="F414" s="319"/>
      <c r="G414" s="319"/>
      <c r="H414" s="319"/>
      <c r="I414" s="319"/>
      <c r="K414" s="296"/>
      <c r="L414" s="250"/>
      <c r="M414" s="250"/>
      <c r="N414" s="296"/>
      <c r="O414" s="250"/>
      <c r="P414" s="250"/>
      <c r="Q414" s="250"/>
      <c r="R414" s="250"/>
      <c r="S414" s="250"/>
      <c r="T414" s="250"/>
      <c r="U414" s="250"/>
      <c r="V414" s="296"/>
      <c r="W414" s="250"/>
      <c r="X414" s="250"/>
      <c r="Y414" s="250"/>
    </row>
    <row r="415" spans="1:27" s="1" customFormat="1" x14ac:dyDescent="0.25">
      <c r="A415" s="1" t="s">
        <v>111</v>
      </c>
      <c r="B415" s="1" t="s">
        <v>318</v>
      </c>
      <c r="K415" s="236"/>
      <c r="L415" s="236"/>
      <c r="M415" s="236"/>
      <c r="N415" s="236"/>
      <c r="O415" s="236"/>
      <c r="P415" s="236"/>
      <c r="Q415" s="236"/>
      <c r="R415" s="236"/>
      <c r="S415" s="236"/>
      <c r="T415" s="236"/>
      <c r="U415" s="236"/>
      <c r="V415" s="236"/>
      <c r="W415" s="236"/>
      <c r="X415" s="236"/>
      <c r="Y415" s="236"/>
      <c r="Z415" s="236"/>
      <c r="AA415" s="236"/>
    </row>
    <row r="416" spans="1:27" s="1" customFormat="1" x14ac:dyDescent="0.25">
      <c r="A416" s="1" t="s">
        <v>506</v>
      </c>
      <c r="K416" s="236"/>
      <c r="L416" s="236"/>
      <c r="M416" s="236"/>
      <c r="N416" s="236"/>
      <c r="O416" s="236"/>
      <c r="P416" s="236"/>
      <c r="Q416" s="236"/>
      <c r="R416" s="236"/>
      <c r="S416" s="236"/>
      <c r="T416" s="236"/>
      <c r="U416" s="236"/>
      <c r="V416" s="236"/>
      <c r="W416" s="236"/>
      <c r="X416" s="236"/>
      <c r="Y416" s="236"/>
      <c r="Z416" s="236"/>
      <c r="AA416" s="236"/>
    </row>
    <row r="417" spans="1:27" s="1" customFormat="1" x14ac:dyDescent="0.25">
      <c r="A417" s="1" t="s">
        <v>3</v>
      </c>
      <c r="H417" s="2"/>
      <c r="I417" s="2"/>
      <c r="K417" s="236"/>
      <c r="L417" s="236"/>
      <c r="M417" s="236"/>
      <c r="N417" s="236"/>
      <c r="O417" s="236"/>
      <c r="P417" s="237"/>
      <c r="Q417" s="237"/>
      <c r="R417" s="237"/>
      <c r="S417" s="236"/>
      <c r="T417" s="236"/>
      <c r="U417" s="236"/>
      <c r="V417" s="236"/>
      <c r="W417" s="236"/>
      <c r="X417" s="236"/>
      <c r="Y417" s="236"/>
      <c r="Z417" s="236"/>
      <c r="AA417" s="236"/>
    </row>
    <row r="418" spans="1:27" s="1" customFormat="1" ht="15.75" thickBot="1" x14ac:dyDescent="0.3">
      <c r="A418" s="2" t="s">
        <v>11</v>
      </c>
      <c r="B418" s="323" t="s">
        <v>536</v>
      </c>
      <c r="C418" s="323" t="s">
        <v>263</v>
      </c>
      <c r="D418" s="323" t="s">
        <v>4</v>
      </c>
      <c r="E418" s="3"/>
      <c r="F418" s="3"/>
      <c r="G418" s="3"/>
      <c r="H418" s="3"/>
      <c r="I418" s="7"/>
      <c r="K418" s="7"/>
      <c r="L418" s="7"/>
      <c r="M418" s="7"/>
      <c r="N418" s="7"/>
      <c r="O418" s="7"/>
      <c r="P418" s="7"/>
      <c r="Q418" s="7"/>
      <c r="R418" s="7"/>
      <c r="S418" s="236"/>
      <c r="T418" s="236"/>
      <c r="U418" s="236"/>
      <c r="V418" s="236"/>
      <c r="W418" s="7"/>
      <c r="X418" s="7"/>
      <c r="Y418" s="7"/>
      <c r="Z418" s="7"/>
      <c r="AA418" s="7"/>
    </row>
    <row r="419" spans="1:27" s="238" customFormat="1" x14ac:dyDescent="0.25">
      <c r="A419" s="321" t="s">
        <v>507</v>
      </c>
      <c r="B419" s="250"/>
      <c r="C419" s="250"/>
      <c r="D419" s="250"/>
      <c r="E419" s="250"/>
      <c r="F419" s="250"/>
      <c r="G419" s="250"/>
      <c r="H419" s="250"/>
      <c r="I419" s="250"/>
      <c r="K419" s="296"/>
      <c r="L419" s="250"/>
      <c r="M419" s="250"/>
      <c r="N419" s="296"/>
      <c r="O419" s="250"/>
      <c r="P419" s="250"/>
      <c r="Q419" s="250"/>
      <c r="R419" s="250"/>
      <c r="S419" s="250"/>
      <c r="T419" s="250"/>
      <c r="U419" s="250"/>
      <c r="V419" s="296"/>
      <c r="W419" s="250"/>
      <c r="X419" s="250"/>
      <c r="Y419" s="250"/>
    </row>
    <row r="420" spans="1:27" s="238" customFormat="1" x14ac:dyDescent="0.25">
      <c r="A420" s="322" t="s">
        <v>508</v>
      </c>
      <c r="B420" s="250"/>
      <c r="C420" s="250"/>
      <c r="D420" s="250"/>
      <c r="E420" s="250"/>
      <c r="F420" s="250"/>
      <c r="G420" s="250"/>
      <c r="H420" s="250"/>
      <c r="I420" s="250"/>
      <c r="K420" s="296"/>
      <c r="L420" s="250"/>
      <c r="M420" s="250"/>
      <c r="N420" s="296"/>
      <c r="O420" s="250"/>
      <c r="P420" s="250"/>
      <c r="Q420" s="250"/>
      <c r="R420" s="250"/>
      <c r="S420" s="250"/>
      <c r="T420" s="250"/>
      <c r="U420" s="250"/>
      <c r="V420" s="296"/>
      <c r="W420" s="250"/>
      <c r="X420" s="250"/>
      <c r="Y420" s="250"/>
    </row>
    <row r="421" spans="1:27" s="238" customFormat="1" x14ac:dyDescent="0.25">
      <c r="A421" s="313" t="s">
        <v>509</v>
      </c>
      <c r="B421" s="320">
        <f>T55</f>
        <v>5.7487013665047604E-2</v>
      </c>
      <c r="C421" s="320">
        <f>U55</f>
        <v>6.7131710020519542E-2</v>
      </c>
      <c r="D421" s="320">
        <f>V55</f>
        <v>6.0637862838911261E-2</v>
      </c>
      <c r="E421" s="250"/>
      <c r="F421" s="250"/>
      <c r="G421" s="250"/>
      <c r="H421" s="250"/>
      <c r="I421" s="250"/>
      <c r="K421" s="296"/>
      <c r="L421" s="250"/>
      <c r="M421" s="250"/>
      <c r="N421" s="296"/>
      <c r="O421" s="250"/>
      <c r="P421" s="250"/>
      <c r="Q421" s="250"/>
      <c r="R421" s="250"/>
      <c r="S421" s="250"/>
      <c r="T421" s="250"/>
      <c r="U421" s="250"/>
      <c r="V421" s="296"/>
      <c r="W421" s="250"/>
      <c r="X421" s="250"/>
      <c r="Y421" s="250"/>
    </row>
    <row r="422" spans="1:27" s="238" customFormat="1" x14ac:dyDescent="0.25">
      <c r="A422" s="313" t="s">
        <v>510</v>
      </c>
      <c r="B422" s="320">
        <f>T85</f>
        <v>0</v>
      </c>
      <c r="C422" s="320">
        <f>U85</f>
        <v>0</v>
      </c>
      <c r="D422" s="320">
        <f>V85</f>
        <v>0</v>
      </c>
      <c r="E422" s="250"/>
      <c r="F422" s="250"/>
      <c r="G422" s="250"/>
      <c r="H422" s="250"/>
      <c r="I422" s="250"/>
      <c r="K422" s="296"/>
      <c r="L422" s="250"/>
      <c r="M422" s="250"/>
      <c r="N422" s="296"/>
      <c r="O422" s="250"/>
      <c r="P422" s="250"/>
      <c r="Q422" s="250"/>
      <c r="R422" s="250"/>
      <c r="S422" s="250"/>
      <c r="T422" s="250"/>
      <c r="U422" s="250"/>
      <c r="V422" s="296"/>
      <c r="W422" s="250"/>
      <c r="X422" s="250"/>
      <c r="Y422" s="250"/>
    </row>
    <row r="423" spans="1:27" s="238" customFormat="1" x14ac:dyDescent="0.25">
      <c r="A423" s="313" t="s">
        <v>426</v>
      </c>
      <c r="B423" s="320">
        <f>T87</f>
        <v>0</v>
      </c>
      <c r="C423" s="320">
        <f>U87</f>
        <v>0</v>
      </c>
      <c r="D423" s="320">
        <f>V87</f>
        <v>0</v>
      </c>
      <c r="E423" s="250"/>
      <c r="F423" s="250"/>
      <c r="G423" s="250"/>
      <c r="H423" s="250"/>
      <c r="I423" s="250"/>
      <c r="K423" s="296"/>
      <c r="L423" s="250"/>
      <c r="M423" s="250"/>
      <c r="N423" s="296"/>
      <c r="O423" s="250"/>
      <c r="P423" s="250"/>
      <c r="Q423" s="250"/>
      <c r="R423" s="250"/>
      <c r="S423" s="250"/>
      <c r="T423" s="250"/>
      <c r="U423" s="250"/>
      <c r="V423" s="296"/>
      <c r="W423" s="250"/>
      <c r="X423" s="250"/>
      <c r="Y423" s="250"/>
    </row>
    <row r="424" spans="1:27" s="238" customFormat="1" x14ac:dyDescent="0.25">
      <c r="A424" s="313" t="s">
        <v>162</v>
      </c>
      <c r="B424" s="320">
        <f>T142</f>
        <v>0</v>
      </c>
      <c r="C424" s="320">
        <f>U142</f>
        <v>9.2443047657633448E-2</v>
      </c>
      <c r="D424" s="320">
        <f>V142</f>
        <v>8.3143300359078465E-2</v>
      </c>
      <c r="E424" s="250"/>
      <c r="F424" s="250"/>
      <c r="G424" s="250"/>
      <c r="H424" s="250"/>
      <c r="I424" s="250"/>
      <c r="K424" s="296"/>
      <c r="L424" s="250"/>
      <c r="M424" s="250"/>
      <c r="N424" s="296"/>
      <c r="O424" s="250"/>
      <c r="P424" s="250"/>
      <c r="Q424" s="250"/>
      <c r="R424" s="250"/>
      <c r="S424" s="250"/>
      <c r="T424" s="250"/>
      <c r="U424" s="250"/>
      <c r="V424" s="296"/>
      <c r="W424" s="250"/>
      <c r="X424" s="250"/>
      <c r="Y424" s="250"/>
    </row>
    <row r="425" spans="1:27" s="238" customFormat="1" x14ac:dyDescent="0.25">
      <c r="A425" s="313" t="s">
        <v>511</v>
      </c>
      <c r="B425" s="320">
        <f>T149</f>
        <v>0</v>
      </c>
      <c r="C425" s="320">
        <f>U149</f>
        <v>0</v>
      </c>
      <c r="D425" s="320">
        <f>V149</f>
        <v>0</v>
      </c>
      <c r="E425" s="250"/>
      <c r="F425" s="250"/>
      <c r="G425" s="250"/>
      <c r="H425" s="250"/>
      <c r="I425" s="250"/>
      <c r="K425" s="296"/>
      <c r="L425" s="250"/>
      <c r="M425" s="250"/>
      <c r="N425" s="296"/>
      <c r="O425" s="250"/>
      <c r="P425" s="250"/>
      <c r="Q425" s="250"/>
      <c r="R425" s="250"/>
      <c r="S425" s="250"/>
      <c r="T425" s="250"/>
      <c r="U425" s="250"/>
      <c r="V425" s="296"/>
      <c r="W425" s="250"/>
      <c r="X425" s="250"/>
      <c r="Y425" s="250"/>
    </row>
    <row r="426" spans="1:27" s="238" customFormat="1" x14ac:dyDescent="0.25">
      <c r="A426" s="313" t="s">
        <v>512</v>
      </c>
      <c r="B426" s="320">
        <f>T211</f>
        <v>0</v>
      </c>
      <c r="C426" s="320">
        <f>U211</f>
        <v>0</v>
      </c>
      <c r="D426" s="320">
        <f>V211</f>
        <v>0</v>
      </c>
      <c r="E426" s="250"/>
      <c r="F426" s="250"/>
      <c r="G426" s="250"/>
      <c r="H426" s="250"/>
      <c r="I426" s="250"/>
      <c r="K426" s="296"/>
      <c r="L426" s="250"/>
      <c r="M426" s="250"/>
      <c r="N426" s="296"/>
      <c r="O426" s="250"/>
      <c r="P426" s="250"/>
      <c r="Q426" s="250"/>
      <c r="R426" s="250"/>
      <c r="S426" s="250"/>
      <c r="T426" s="250"/>
      <c r="U426" s="250"/>
      <c r="V426" s="296"/>
      <c r="W426" s="250"/>
      <c r="X426" s="250"/>
      <c r="Y426" s="250"/>
    </row>
    <row r="427" spans="1:27" s="238" customFormat="1" x14ac:dyDescent="0.25">
      <c r="A427" s="313" t="s">
        <v>338</v>
      </c>
      <c r="B427" s="320"/>
      <c r="C427" s="320"/>
      <c r="D427" s="320"/>
      <c r="E427" s="250"/>
      <c r="F427" s="250"/>
      <c r="G427" s="250"/>
      <c r="H427" s="250"/>
      <c r="I427" s="250"/>
      <c r="K427" s="296"/>
      <c r="L427" s="250"/>
      <c r="M427" s="250"/>
      <c r="N427" s="296"/>
      <c r="O427" s="250"/>
      <c r="P427" s="250"/>
      <c r="Q427" s="250"/>
      <c r="R427" s="250"/>
      <c r="S427" s="250"/>
      <c r="T427" s="250"/>
      <c r="U427" s="250"/>
      <c r="V427" s="296"/>
      <c r="W427" s="250"/>
      <c r="X427" s="250"/>
      <c r="Y427" s="250"/>
    </row>
    <row r="428" spans="1:27" s="238" customFormat="1" x14ac:dyDescent="0.25">
      <c r="A428" s="313" t="s">
        <v>540</v>
      </c>
      <c r="B428" s="320"/>
      <c r="C428" s="320"/>
      <c r="D428" s="320"/>
      <c r="E428" s="250"/>
      <c r="F428" s="250"/>
      <c r="G428" s="250"/>
      <c r="H428" s="250"/>
      <c r="I428" s="250"/>
      <c r="K428" s="296"/>
      <c r="L428" s="250"/>
      <c r="M428" s="250"/>
      <c r="N428" s="296"/>
      <c r="O428" s="250"/>
      <c r="P428" s="250"/>
      <c r="Q428" s="250"/>
      <c r="R428" s="250"/>
      <c r="S428" s="250"/>
      <c r="T428" s="250"/>
      <c r="U428" s="250"/>
      <c r="V428" s="296"/>
      <c r="W428" s="250"/>
      <c r="X428" s="250"/>
      <c r="Y428" s="250"/>
    </row>
    <row r="429" spans="1:27" s="238" customFormat="1" x14ac:dyDescent="0.25">
      <c r="A429" s="313" t="s">
        <v>541</v>
      </c>
      <c r="B429" s="320"/>
      <c r="C429" s="320"/>
      <c r="D429" s="320"/>
      <c r="E429" s="250"/>
      <c r="F429" s="250"/>
      <c r="G429" s="250"/>
      <c r="H429" s="250"/>
      <c r="I429" s="250"/>
      <c r="K429" s="296"/>
      <c r="L429" s="250"/>
      <c r="M429" s="250"/>
      <c r="N429" s="296"/>
      <c r="O429" s="250"/>
      <c r="P429" s="250"/>
      <c r="Q429" s="250"/>
      <c r="R429" s="250"/>
      <c r="S429" s="250"/>
      <c r="T429" s="250"/>
      <c r="U429" s="250"/>
      <c r="V429" s="296"/>
      <c r="W429" s="250"/>
      <c r="X429" s="250"/>
      <c r="Y429" s="250"/>
    </row>
    <row r="430" spans="1:27" s="238" customFormat="1" x14ac:dyDescent="0.25">
      <c r="A430" s="315" t="s">
        <v>513</v>
      </c>
      <c r="B430" s="320"/>
      <c r="C430" s="320"/>
      <c r="D430" s="320"/>
      <c r="E430" s="250"/>
      <c r="F430" s="250"/>
      <c r="G430" s="250"/>
      <c r="H430" s="250"/>
      <c r="I430" s="250"/>
      <c r="K430" s="296"/>
      <c r="L430" s="250"/>
      <c r="M430" s="250"/>
      <c r="N430" s="296"/>
      <c r="O430" s="250"/>
      <c r="P430" s="250"/>
      <c r="Q430" s="250"/>
      <c r="R430" s="250"/>
      <c r="S430" s="250"/>
      <c r="T430" s="250"/>
      <c r="U430" s="250"/>
      <c r="V430" s="296"/>
      <c r="W430" s="250"/>
      <c r="X430" s="250"/>
      <c r="Y430" s="250"/>
    </row>
    <row r="431" spans="1:27" s="238" customFormat="1" x14ac:dyDescent="0.25">
      <c r="A431" s="315" t="s">
        <v>514</v>
      </c>
      <c r="B431" s="320"/>
      <c r="C431" s="320"/>
      <c r="D431" s="320"/>
      <c r="E431" s="250"/>
      <c r="F431" s="250"/>
      <c r="G431" s="250"/>
      <c r="H431" s="250"/>
      <c r="I431" s="250"/>
      <c r="K431" s="296"/>
      <c r="L431" s="250"/>
      <c r="M431" s="250"/>
      <c r="N431" s="296"/>
      <c r="O431" s="250"/>
      <c r="P431" s="250"/>
      <c r="Q431" s="250"/>
      <c r="R431" s="250"/>
      <c r="S431" s="250"/>
      <c r="T431" s="250"/>
      <c r="U431" s="250"/>
      <c r="V431" s="296"/>
      <c r="W431" s="250"/>
      <c r="X431" s="250"/>
      <c r="Y431" s="250"/>
    </row>
    <row r="432" spans="1:27" s="238" customFormat="1" x14ac:dyDescent="0.25">
      <c r="A432" s="315" t="s">
        <v>515</v>
      </c>
      <c r="B432" s="320"/>
      <c r="C432" s="320"/>
      <c r="D432" s="320"/>
      <c r="E432" s="250"/>
      <c r="F432" s="250"/>
      <c r="G432" s="250"/>
      <c r="H432" s="250"/>
      <c r="I432" s="250"/>
      <c r="K432" s="296"/>
      <c r="L432" s="250"/>
      <c r="M432" s="250"/>
      <c r="N432" s="296"/>
      <c r="O432" s="250"/>
      <c r="P432" s="250"/>
      <c r="Q432" s="250"/>
      <c r="R432" s="250"/>
      <c r="S432" s="250"/>
      <c r="T432" s="250"/>
      <c r="U432" s="250"/>
      <c r="V432" s="296"/>
      <c r="W432" s="250"/>
      <c r="X432" s="250"/>
      <c r="Y432" s="250"/>
    </row>
    <row r="433" spans="1:37" s="238" customFormat="1" x14ac:dyDescent="0.25">
      <c r="A433" s="315" t="s">
        <v>516</v>
      </c>
      <c r="B433" s="320"/>
      <c r="C433" s="320"/>
      <c r="D433" s="320"/>
      <c r="E433" s="250"/>
      <c r="F433" s="250"/>
      <c r="G433" s="250"/>
      <c r="H433" s="250"/>
      <c r="I433" s="250"/>
      <c r="K433" s="296"/>
      <c r="L433" s="250"/>
      <c r="M433" s="250"/>
      <c r="N433" s="296"/>
      <c r="O433" s="250"/>
      <c r="P433" s="250"/>
      <c r="Q433" s="250"/>
      <c r="R433" s="250"/>
      <c r="S433" s="250"/>
      <c r="T433" s="250"/>
      <c r="U433" s="250"/>
      <c r="V433" s="296"/>
      <c r="W433" s="250"/>
      <c r="X433" s="250"/>
      <c r="Y433" s="250"/>
    </row>
    <row r="434" spans="1:37" s="238" customFormat="1" x14ac:dyDescent="0.25">
      <c r="A434" s="314"/>
      <c r="B434" s="319"/>
      <c r="C434" s="319"/>
      <c r="D434" s="319"/>
      <c r="E434" s="319"/>
      <c r="F434" s="319"/>
      <c r="G434" s="319"/>
      <c r="H434" s="319"/>
      <c r="I434" s="319"/>
      <c r="K434" s="296"/>
      <c r="L434" s="250"/>
      <c r="M434" s="250"/>
      <c r="N434" s="296"/>
      <c r="O434" s="250"/>
      <c r="P434" s="250"/>
      <c r="Q434" s="250"/>
      <c r="R434" s="250"/>
      <c r="S434" s="250"/>
      <c r="T434" s="250"/>
      <c r="U434" s="250"/>
      <c r="V434" s="296"/>
      <c r="W434" s="250"/>
      <c r="X434" s="250"/>
      <c r="Y434" s="250"/>
    </row>
    <row r="435" spans="1:37" s="1" customFormat="1" x14ac:dyDescent="0.25">
      <c r="A435" s="1" t="s">
        <v>111</v>
      </c>
      <c r="B435" s="1" t="s">
        <v>318</v>
      </c>
      <c r="K435" s="1" t="s">
        <v>318</v>
      </c>
      <c r="U435" s="1" t="s">
        <v>318</v>
      </c>
      <c r="AF435" s="1" t="s">
        <v>318</v>
      </c>
    </row>
    <row r="436" spans="1:37" s="1" customFormat="1" x14ac:dyDescent="0.25">
      <c r="A436" s="1" t="s">
        <v>107</v>
      </c>
      <c r="K436" s="1" t="s">
        <v>265</v>
      </c>
      <c r="U436" s="1" t="s">
        <v>74</v>
      </c>
      <c r="AF436" s="1" t="s">
        <v>73</v>
      </c>
    </row>
    <row r="437" spans="1:37" s="1" customFormat="1" x14ac:dyDescent="0.25">
      <c r="A437" s="1" t="s">
        <v>3</v>
      </c>
      <c r="H437" s="2"/>
      <c r="I437" s="2"/>
      <c r="Q437" s="2"/>
      <c r="R437" s="2"/>
      <c r="U437" s="1" t="s">
        <v>263</v>
      </c>
      <c r="V437" s="1" t="s">
        <v>4</v>
      </c>
      <c r="W437" s="1" t="s">
        <v>5</v>
      </c>
      <c r="X437" s="22" t="s">
        <v>75</v>
      </c>
      <c r="Y437" s="1" t="s">
        <v>6</v>
      </c>
      <c r="Z437" s="1" t="s">
        <v>7</v>
      </c>
      <c r="AA437" s="1" t="s">
        <v>8</v>
      </c>
      <c r="AB437" s="1" t="s">
        <v>9</v>
      </c>
      <c r="AC437" s="1" t="s">
        <v>10</v>
      </c>
      <c r="AF437" s="109" t="s">
        <v>262</v>
      </c>
      <c r="AG437" s="109" t="s">
        <v>260</v>
      </c>
      <c r="AH437" s="111" t="s">
        <v>261</v>
      </c>
      <c r="AI437" s="109" t="s">
        <v>262</v>
      </c>
      <c r="AJ437" s="109" t="s">
        <v>260</v>
      </c>
      <c r="AK437" s="109" t="s">
        <v>261</v>
      </c>
    </row>
    <row r="438" spans="1:37" s="1" customFormat="1" ht="15.75" thickBot="1" x14ac:dyDescent="0.3">
      <c r="A438" s="2" t="s">
        <v>11</v>
      </c>
      <c r="B438" s="17" t="s">
        <v>72</v>
      </c>
      <c r="C438" s="3">
        <v>2022</v>
      </c>
      <c r="D438" s="3">
        <v>2021</v>
      </c>
      <c r="E438" s="3">
        <v>2020</v>
      </c>
      <c r="F438" s="3">
        <v>2019</v>
      </c>
      <c r="G438" s="3">
        <v>2018</v>
      </c>
      <c r="H438" s="3">
        <v>2017</v>
      </c>
      <c r="I438" s="3">
        <v>2016</v>
      </c>
      <c r="K438" s="17" t="s">
        <v>72</v>
      </c>
      <c r="L438" s="3">
        <v>2022</v>
      </c>
      <c r="M438" s="3">
        <v>2021</v>
      </c>
      <c r="N438" s="3">
        <v>2020</v>
      </c>
      <c r="O438" s="3">
        <v>2019</v>
      </c>
      <c r="P438" s="3">
        <v>2018</v>
      </c>
      <c r="Q438" s="3">
        <v>2017</v>
      </c>
      <c r="R438" s="7"/>
      <c r="U438" s="4" t="s">
        <v>12</v>
      </c>
      <c r="V438" s="4" t="s">
        <v>12</v>
      </c>
      <c r="W438" s="4" t="s">
        <v>13</v>
      </c>
      <c r="X438" s="21" t="s">
        <v>72</v>
      </c>
      <c r="Y438" s="3">
        <v>2022</v>
      </c>
      <c r="Z438" s="3">
        <v>2021</v>
      </c>
      <c r="AA438" s="3">
        <v>2020</v>
      </c>
      <c r="AB438" s="3">
        <v>2019</v>
      </c>
      <c r="AC438" s="3">
        <v>2018</v>
      </c>
      <c r="AD438" s="7"/>
      <c r="AE438" s="7"/>
      <c r="AF438" s="110">
        <v>2023</v>
      </c>
      <c r="AG438" s="110">
        <v>2023</v>
      </c>
      <c r="AH438" s="112">
        <v>2023</v>
      </c>
      <c r="AI438" s="110">
        <v>2022</v>
      </c>
      <c r="AJ438" s="110">
        <v>2022</v>
      </c>
      <c r="AK438" s="110">
        <v>2022</v>
      </c>
    </row>
    <row r="439" spans="1:37" x14ac:dyDescent="0.25">
      <c r="A439" s="14" t="s">
        <v>15</v>
      </c>
      <c r="B439" s="16">
        <f>C439+AG439-AJ439</f>
        <v>-3.6000000000000005</v>
      </c>
      <c r="C439" s="9">
        <v>-3.5</v>
      </c>
      <c r="D439" s="9">
        <v>-3.3</v>
      </c>
      <c r="E439" s="9">
        <v>-7.9</v>
      </c>
      <c r="F439" s="9">
        <v>-7.6</v>
      </c>
      <c r="G439" s="9">
        <v>-2.5</v>
      </c>
      <c r="H439" s="9">
        <v>-2.5</v>
      </c>
      <c r="I439" s="61">
        <v>-3.8</v>
      </c>
      <c r="J439" s="57"/>
      <c r="K439" s="58">
        <f>B439/$B$23</f>
        <v>-1.8861993083935874E-3</v>
      </c>
      <c r="L439" s="58">
        <f>C439/$C$23</f>
        <v>-2.0451092672665655E-3</v>
      </c>
      <c r="M439" s="58">
        <f>D439/$D$23</f>
        <v>-1.9856790420602921E-3</v>
      </c>
      <c r="N439" s="58">
        <f>E439/$E$23</f>
        <v>-4.941824096084073E-3</v>
      </c>
      <c r="O439" s="58">
        <f>F439/$F$23</f>
        <v>-4.8574715582257438E-3</v>
      </c>
      <c r="P439" s="58">
        <f>G439/$G$23</f>
        <v>-1.6893033313061692E-3</v>
      </c>
      <c r="Q439" s="58">
        <f>H439/$H$23</f>
        <v>-2.082986168971838E-3</v>
      </c>
      <c r="R439" s="58"/>
      <c r="S439" s="57"/>
      <c r="T439" s="57"/>
      <c r="U439" s="58">
        <f>_xlfn.RRI(5.5,H439,B439)</f>
        <v>6.8545895355792696E-2</v>
      </c>
      <c r="V439" s="58">
        <f>_xlfn.RRI(5,H439,C439)</f>
        <v>6.9610375725068785E-2</v>
      </c>
      <c r="W439" s="58">
        <f>AVERAGE(X439:AC439)</f>
        <v>-0.26439544872922627</v>
      </c>
      <c r="X439" s="58">
        <f t="shared" ref="X439:AC441" si="407">(C439-B439)/C439</f>
        <v>-2.8571428571428723E-2</v>
      </c>
      <c r="Y439" s="58">
        <f t="shared" si="407"/>
        <v>-6.0606060606060663E-2</v>
      </c>
      <c r="Z439" s="58">
        <f t="shared" si="407"/>
        <v>0.58227848101265822</v>
      </c>
      <c r="AA439" s="58">
        <f t="shared" si="407"/>
        <v>-3.9473684210526411E-2</v>
      </c>
      <c r="AB439" s="58">
        <f t="shared" si="407"/>
        <v>-2.04</v>
      </c>
      <c r="AC439" s="58">
        <f t="shared" si="407"/>
        <v>0</v>
      </c>
      <c r="AD439" s="58"/>
      <c r="AE439" s="57"/>
      <c r="AF439" s="132"/>
      <c r="AG439" s="9">
        <v>-3.4</v>
      </c>
      <c r="AH439" s="167">
        <v>-3.7</v>
      </c>
      <c r="AI439" s="53"/>
      <c r="AJ439" s="9">
        <v>-3.3</v>
      </c>
      <c r="AK439" s="9">
        <v>-3.5</v>
      </c>
    </row>
    <row r="440" spans="1:37" x14ac:dyDescent="0.25">
      <c r="A440" s="14" t="s">
        <v>16</v>
      </c>
      <c r="B440" s="16">
        <f>C440+AG440-AJ440</f>
        <v>248.09999999999997</v>
      </c>
      <c r="C440" s="10">
        <v>219.2</v>
      </c>
      <c r="D440" s="10">
        <v>186.1</v>
      </c>
      <c r="E440" s="10">
        <v>183</v>
      </c>
      <c r="F440" s="10">
        <v>171.5</v>
      </c>
      <c r="G440" s="10">
        <v>192.2</v>
      </c>
      <c r="H440" s="10">
        <v>161.69999999999999</v>
      </c>
      <c r="I440" s="337">
        <v>140.6</v>
      </c>
      <c r="J440" s="57"/>
      <c r="K440" s="59">
        <f>B440/$B$23</f>
        <v>0.12999056900345804</v>
      </c>
      <c r="L440" s="59">
        <f>C440/$C$23</f>
        <v>0.12808227182423745</v>
      </c>
      <c r="M440" s="59">
        <f>D440/$D$23</f>
        <v>0.11198026355376375</v>
      </c>
      <c r="N440" s="59">
        <f>E440/$E$23</f>
        <v>0.11447516577004878</v>
      </c>
      <c r="O440" s="59">
        <f>F440/$F$23</f>
        <v>0.10961268055733094</v>
      </c>
      <c r="P440" s="59">
        <f>G440/$G$23</f>
        <v>0.12987364011081828</v>
      </c>
      <c r="Q440" s="59">
        <f>H440/$H$23</f>
        <v>0.13472754540909848</v>
      </c>
      <c r="R440" s="80"/>
      <c r="S440" s="57"/>
      <c r="T440" s="57"/>
      <c r="U440" s="59">
        <f>_xlfn.RRI(5.5,H440,B440)</f>
        <v>8.094362466686289E-2</v>
      </c>
      <c r="V440" s="59">
        <f>_xlfn.RRI(5,H440,C440)</f>
        <v>6.2737745969493108E-2</v>
      </c>
      <c r="W440" s="59">
        <f t="shared" ref="W440:W494" si="408">AVERAGE(X440:AC440)</f>
        <v>-7.910338426320361E-2</v>
      </c>
      <c r="X440" s="59">
        <f t="shared" si="407"/>
        <v>-0.13184306569343057</v>
      </c>
      <c r="Y440" s="59">
        <f t="shared" si="407"/>
        <v>-0.17786136485760343</v>
      </c>
      <c r="Z440" s="59">
        <f t="shared" si="407"/>
        <v>-1.6939890710382481E-2</v>
      </c>
      <c r="AA440" s="59">
        <f t="shared" si="407"/>
        <v>-6.7055393586005832E-2</v>
      </c>
      <c r="AB440" s="59">
        <f t="shared" si="407"/>
        <v>0.10770031217481785</v>
      </c>
      <c r="AC440" s="59">
        <f t="shared" si="407"/>
        <v>-0.1886209029066172</v>
      </c>
      <c r="AD440" s="80"/>
      <c r="AE440" s="57"/>
      <c r="AF440" s="133"/>
      <c r="AG440" s="10">
        <v>261.7</v>
      </c>
      <c r="AH440" s="149">
        <v>245.3</v>
      </c>
      <c r="AI440" s="133"/>
      <c r="AJ440" s="10">
        <v>232.8</v>
      </c>
      <c r="AK440" s="10">
        <v>227</v>
      </c>
    </row>
    <row r="441" spans="1:37" ht="15.75" thickBot="1" x14ac:dyDescent="0.3">
      <c r="A441" s="6" t="s">
        <v>76</v>
      </c>
      <c r="B441" s="102">
        <f>SUM(B439:B440)</f>
        <v>244.49999999999997</v>
      </c>
      <c r="C441" s="102">
        <f>SUM(C439:C440)</f>
        <v>215.7</v>
      </c>
      <c r="D441" s="103">
        <f>SUM(D439:D440)</f>
        <v>182.79999999999998</v>
      </c>
      <c r="E441" s="103">
        <f t="shared" ref="E441:H441" si="409">SUM(E439:E440)</f>
        <v>175.1</v>
      </c>
      <c r="F441" s="103">
        <f t="shared" si="409"/>
        <v>163.9</v>
      </c>
      <c r="G441" s="103">
        <f t="shared" si="409"/>
        <v>189.7</v>
      </c>
      <c r="H441" s="103">
        <f t="shared" si="409"/>
        <v>159.19999999999999</v>
      </c>
      <c r="I441" s="103">
        <f>SUM(I439:I440)</f>
        <v>136.79999999999998</v>
      </c>
      <c r="J441" s="57"/>
      <c r="K441" s="19">
        <f>B441/$B$23</f>
        <v>0.12810436969506445</v>
      </c>
      <c r="L441" s="19">
        <f>C441/$C$23</f>
        <v>0.12603716255697089</v>
      </c>
      <c r="M441" s="19">
        <f>D441/$D$23</f>
        <v>0.10999458451170345</v>
      </c>
      <c r="N441" s="19">
        <f>E441/$E$23</f>
        <v>0.10953334167396471</v>
      </c>
      <c r="O441" s="19">
        <f>F441/$F$23</f>
        <v>0.1047552089991052</v>
      </c>
      <c r="P441" s="19">
        <f>G441/$G$23</f>
        <v>0.1281843367795121</v>
      </c>
      <c r="Q441" s="19">
        <f>H441/$H$23</f>
        <v>0.13264455924012664</v>
      </c>
      <c r="R441" s="32"/>
      <c r="S441" s="57"/>
      <c r="T441" s="57"/>
      <c r="U441" s="214">
        <f>_xlfn.RRI(5.5,H441,B441)</f>
        <v>8.1133280360158988E-2</v>
      </c>
      <c r="V441" s="214">
        <f>_xlfn.RRI(5,H441,C441)</f>
        <v>6.2628394073854121E-2</v>
      </c>
      <c r="W441" s="214">
        <f t="shared" si="408"/>
        <v>-8.0230802223865083E-2</v>
      </c>
      <c r="X441" s="214">
        <f t="shared" si="407"/>
        <v>-0.13351877607788587</v>
      </c>
      <c r="Y441" s="214">
        <f t="shared" si="407"/>
        <v>-0.17997811816192566</v>
      </c>
      <c r="Z441" s="214">
        <f t="shared" si="407"/>
        <v>-4.3974871501998795E-2</v>
      </c>
      <c r="AA441" s="214">
        <f t="shared" si="407"/>
        <v>-6.8334350213544767E-2</v>
      </c>
      <c r="AB441" s="214">
        <f t="shared" si="407"/>
        <v>0.13600421718502892</v>
      </c>
      <c r="AC441" s="214">
        <f t="shared" si="407"/>
        <v>-0.19158291457286433</v>
      </c>
      <c r="AD441" s="80"/>
      <c r="AE441" s="57"/>
      <c r="AF441" s="215"/>
      <c r="AG441" s="215">
        <f>SUM(AG439:AG440)</f>
        <v>258.3</v>
      </c>
      <c r="AH441" s="216">
        <f t="shared" ref="AH441:AK441" si="410">SUM(AH439:AH440)</f>
        <v>241.60000000000002</v>
      </c>
      <c r="AI441" s="215"/>
      <c r="AJ441" s="215">
        <f t="shared" si="410"/>
        <v>229.5</v>
      </c>
      <c r="AK441" s="215">
        <f t="shared" si="410"/>
        <v>223.5</v>
      </c>
    </row>
    <row r="442" spans="1:37" ht="15.75" thickTop="1" x14ac:dyDescent="0.25">
      <c r="B442" s="50"/>
      <c r="C442" s="61"/>
      <c r="D442" s="61"/>
      <c r="E442" s="61"/>
      <c r="F442" s="61"/>
      <c r="G442" s="61"/>
      <c r="H442" s="61"/>
      <c r="I442" s="61"/>
      <c r="J442" s="57"/>
      <c r="K442" s="80"/>
      <c r="L442" s="80"/>
      <c r="M442" s="80"/>
      <c r="N442" s="80"/>
      <c r="O442" s="80"/>
      <c r="P442" s="80"/>
      <c r="Q442" s="80"/>
      <c r="R442" s="80"/>
      <c r="S442" s="57"/>
      <c r="T442" s="57"/>
      <c r="U442" s="58"/>
      <c r="V442" s="58"/>
      <c r="W442" s="58"/>
      <c r="X442" s="58"/>
      <c r="Y442" s="58"/>
      <c r="Z442" s="58"/>
      <c r="AA442" s="58"/>
      <c r="AB442" s="58"/>
      <c r="AC442" s="58"/>
      <c r="AD442" s="58"/>
      <c r="AE442" s="57"/>
      <c r="AF442" s="132"/>
      <c r="AG442" s="132"/>
      <c r="AH442" s="168"/>
      <c r="AI442" s="132"/>
      <c r="AJ442" s="132"/>
      <c r="AK442" s="132"/>
    </row>
    <row r="443" spans="1:37" x14ac:dyDescent="0.25">
      <c r="A443" s="14" t="s">
        <v>18</v>
      </c>
      <c r="B443" s="16">
        <f>C443+AG443-AK443</f>
        <v>384.4</v>
      </c>
      <c r="C443" s="9">
        <v>318.5</v>
      </c>
      <c r="D443" s="9">
        <v>266.8</v>
      </c>
      <c r="E443" s="9">
        <v>233.7</v>
      </c>
      <c r="F443" s="9">
        <v>237</v>
      </c>
      <c r="G443" s="9">
        <v>199.5</v>
      </c>
      <c r="H443" s="9">
        <v>173.6</v>
      </c>
      <c r="I443" s="337">
        <v>157.69999999999999</v>
      </c>
      <c r="J443" s="57"/>
      <c r="K443" s="80">
        <f>B443/$B$23</f>
        <v>0.20140417059624857</v>
      </c>
      <c r="L443" s="80">
        <f>C443/$C$23</f>
        <v>0.18610494332125743</v>
      </c>
      <c r="M443" s="80">
        <f>D443/$D$23</f>
        <v>0.16053914194596547</v>
      </c>
      <c r="N443" s="80">
        <f>E443/$E$23</f>
        <v>0.14619041661453769</v>
      </c>
      <c r="O443" s="80">
        <f>F443/$F$23</f>
        <v>0.1514764156973028</v>
      </c>
      <c r="P443" s="80">
        <f>G443/$G$23</f>
        <v>0.13480640583823231</v>
      </c>
      <c r="Q443" s="80">
        <f>H443/$H$23</f>
        <v>0.14464255957340441</v>
      </c>
      <c r="R443" s="80"/>
      <c r="S443" s="57"/>
      <c r="T443" s="57"/>
      <c r="U443" s="58">
        <f>_xlfn.RRI(5.5,H443,B443)</f>
        <v>0.1554994844038815</v>
      </c>
      <c r="V443" s="58">
        <f>_xlfn.RRI(5,H443,C443)</f>
        <v>0.12904679733078961</v>
      </c>
      <c r="W443" s="58">
        <f t="shared" si="408"/>
        <v>-0.14425991434786201</v>
      </c>
      <c r="X443" s="58">
        <f t="shared" ref="X443:AC447" si="411">(C443-B443)/C443</f>
        <v>-0.20690737833594969</v>
      </c>
      <c r="Y443" s="58">
        <f t="shared" si="411"/>
        <v>-0.19377811094452768</v>
      </c>
      <c r="Z443" s="58">
        <f t="shared" si="411"/>
        <v>-0.14163457424047934</v>
      </c>
      <c r="AA443" s="58">
        <f t="shared" si="411"/>
        <v>1.3924050632911441E-2</v>
      </c>
      <c r="AB443" s="58">
        <f t="shared" si="411"/>
        <v>-0.18796992481203006</v>
      </c>
      <c r="AC443" s="58">
        <f t="shared" si="411"/>
        <v>-0.14919354838709681</v>
      </c>
      <c r="AD443" s="58"/>
      <c r="AE443" s="57"/>
      <c r="AF443" s="132"/>
      <c r="AG443" s="9">
        <v>341.4</v>
      </c>
      <c r="AH443" s="148">
        <v>345</v>
      </c>
      <c r="AI443" s="132"/>
      <c r="AJ443" s="9">
        <v>279.5</v>
      </c>
      <c r="AK443" s="9">
        <v>275.5</v>
      </c>
    </row>
    <row r="444" spans="1:37" x14ac:dyDescent="0.25">
      <c r="A444" s="14" t="s">
        <v>19</v>
      </c>
      <c r="B444" s="16">
        <f>C444+AG444-AK444</f>
        <v>9.1999999999999975</v>
      </c>
      <c r="C444" s="9">
        <v>10.199999999999999</v>
      </c>
      <c r="D444" s="9">
        <v>12.6</v>
      </c>
      <c r="E444" s="9">
        <v>12.4</v>
      </c>
      <c r="F444" s="9">
        <v>12</v>
      </c>
      <c r="G444" s="9">
        <v>16</v>
      </c>
      <c r="H444" s="9">
        <v>11.2</v>
      </c>
      <c r="I444" s="337">
        <v>14.2</v>
      </c>
      <c r="J444" s="57"/>
      <c r="K444" s="80">
        <f>B444/$B$23</f>
        <v>4.8202871214502773E-3</v>
      </c>
      <c r="L444" s="80">
        <f>C444/$C$23</f>
        <v>5.9600327217482754E-3</v>
      </c>
      <c r="M444" s="80">
        <f>D444/$D$23</f>
        <v>7.5816836151392977E-3</v>
      </c>
      <c r="N444" s="80">
        <f>E444/$E$23</f>
        <v>7.7567871887901912E-3</v>
      </c>
      <c r="O444" s="80">
        <f>F444/$F$23</f>
        <v>7.6696919340406488E-3</v>
      </c>
      <c r="P444" s="80">
        <f>G444/$G$23</f>
        <v>1.0811541320359483E-2</v>
      </c>
      <c r="Q444" s="80">
        <f>H444/$H$23</f>
        <v>9.331778036993834E-3</v>
      </c>
      <c r="R444" s="80"/>
      <c r="S444" s="57"/>
      <c r="T444" s="57"/>
      <c r="U444" s="58">
        <f>_xlfn.RRI(5.5,H444,B444)</f>
        <v>-3.5133479605173989E-2</v>
      </c>
      <c r="V444" s="58">
        <f>_xlfn.RRI(5,H444,C444)</f>
        <v>-1.8531354828478674E-2</v>
      </c>
      <c r="W444" s="58">
        <f t="shared" si="408"/>
        <v>1.0080268666606449E-2</v>
      </c>
      <c r="X444" s="58">
        <f t="shared" si="411"/>
        <v>9.8039215686274689E-2</v>
      </c>
      <c r="Y444" s="58">
        <f t="shared" si="411"/>
        <v>0.19047619047619052</v>
      </c>
      <c r="Z444" s="58">
        <f t="shared" si="411"/>
        <v>-1.6129032258064457E-2</v>
      </c>
      <c r="AA444" s="58">
        <f t="shared" si="411"/>
        <v>-3.3333333333333361E-2</v>
      </c>
      <c r="AB444" s="58">
        <f t="shared" si="411"/>
        <v>0.25</v>
      </c>
      <c r="AC444" s="58">
        <f t="shared" si="411"/>
        <v>-0.42857142857142866</v>
      </c>
      <c r="AD444" s="58"/>
      <c r="AE444" s="57"/>
      <c r="AF444" s="132"/>
      <c r="AG444" s="9">
        <v>10.1</v>
      </c>
      <c r="AH444" s="148">
        <v>11.8</v>
      </c>
      <c r="AI444" s="132"/>
      <c r="AJ444" s="9">
        <v>11.1</v>
      </c>
      <c r="AK444" s="9">
        <v>11.1</v>
      </c>
    </row>
    <row r="445" spans="1:37" x14ac:dyDescent="0.25">
      <c r="A445" s="14" t="s">
        <v>20</v>
      </c>
      <c r="B445" s="16">
        <f>C445+AG445-AK445</f>
        <v>133.4</v>
      </c>
      <c r="C445" s="9">
        <v>130.4</v>
      </c>
      <c r="D445" s="9">
        <v>112.1</v>
      </c>
      <c r="E445" s="9">
        <v>99.3</v>
      </c>
      <c r="F445" s="9">
        <v>113.4</v>
      </c>
      <c r="G445" s="9">
        <v>128.1</v>
      </c>
      <c r="H445" s="9">
        <v>98.4</v>
      </c>
      <c r="I445" s="337">
        <v>103.6</v>
      </c>
      <c r="J445" s="57"/>
      <c r="K445" s="80">
        <f>B445/$B$23</f>
        <v>6.9894163261029041E-2</v>
      </c>
      <c r="L445" s="80">
        <f>C445/$C$23</f>
        <v>7.6194928129017181E-2</v>
      </c>
      <c r="M445" s="80">
        <f>D445/$D$23</f>
        <v>6.7452915337866293E-2</v>
      </c>
      <c r="N445" s="80">
        <f>E445/$E$23</f>
        <v>6.211685224571499E-2</v>
      </c>
      <c r="O445" s="80">
        <f>F445/$F$23</f>
        <v>7.247858877668413E-2</v>
      </c>
      <c r="P445" s="80">
        <f>G445/$G$23</f>
        <v>8.6559902696128108E-2</v>
      </c>
      <c r="Q445" s="80">
        <f>H445/$H$23</f>
        <v>8.1986335610731542E-2</v>
      </c>
      <c r="R445" s="80"/>
      <c r="S445" s="57"/>
      <c r="T445" s="57"/>
      <c r="U445" s="58">
        <f>_xlfn.RRI(5.5,H445,B445)</f>
        <v>5.6888625269295057E-2</v>
      </c>
      <c r="V445" s="58">
        <f>_xlfn.RRI(5,H445,C445)</f>
        <v>5.7928942504797298E-2</v>
      </c>
      <c r="W445" s="58">
        <f t="shared" si="408"/>
        <v>-6.2982016263179508E-2</v>
      </c>
      <c r="X445" s="58">
        <f t="shared" si="411"/>
        <v>-2.3006134969325152E-2</v>
      </c>
      <c r="Y445" s="58">
        <f t="shared" si="411"/>
        <v>-0.16324710080285471</v>
      </c>
      <c r="Z445" s="58">
        <f t="shared" si="411"/>
        <v>-0.12890231621349443</v>
      </c>
      <c r="AA445" s="58">
        <f t="shared" si="411"/>
        <v>0.1243386243386244</v>
      </c>
      <c r="AB445" s="58">
        <f t="shared" si="411"/>
        <v>0.11475409836065566</v>
      </c>
      <c r="AC445" s="58">
        <f t="shared" si="411"/>
        <v>-0.30182926829268281</v>
      </c>
      <c r="AD445" s="58"/>
      <c r="AE445" s="57"/>
      <c r="AF445" s="132"/>
      <c r="AG445" s="9">
        <v>125.5</v>
      </c>
      <c r="AH445" s="148">
        <v>126.1</v>
      </c>
      <c r="AI445" s="132"/>
      <c r="AJ445" s="9">
        <v>120.5</v>
      </c>
      <c r="AK445" s="9">
        <v>122.5</v>
      </c>
    </row>
    <row r="446" spans="1:37" x14ac:dyDescent="0.25">
      <c r="A446" s="14" t="s">
        <v>21</v>
      </c>
      <c r="B446" s="49">
        <f>C446+AG446-AK446</f>
        <v>-127.9</v>
      </c>
      <c r="C446" s="10">
        <v>-103.4</v>
      </c>
      <c r="D446" s="10">
        <v>-77.7</v>
      </c>
      <c r="E446" s="10">
        <v>-49.6</v>
      </c>
      <c r="F446" s="10">
        <v>-63.3</v>
      </c>
      <c r="G446" s="10">
        <v>-58.9</v>
      </c>
      <c r="H446" s="10">
        <v>-46.3</v>
      </c>
      <c r="I446" s="337">
        <v>-46.8</v>
      </c>
      <c r="J446" s="57"/>
      <c r="K446" s="59">
        <f>B446/$B$23</f>
        <v>-6.7012469873205499E-2</v>
      </c>
      <c r="L446" s="59">
        <f>C446/$C$23</f>
        <v>-6.041837092438939E-2</v>
      </c>
      <c r="M446" s="59">
        <f>D446/$D$23</f>
        <v>-4.6753715626692338E-2</v>
      </c>
      <c r="N446" s="59">
        <f>E446/$E$23</f>
        <v>-3.1027148755160765E-2</v>
      </c>
      <c r="O446" s="59">
        <f>F446/$F$23</f>
        <v>-4.0457624952064418E-2</v>
      </c>
      <c r="P446" s="59">
        <f>G446/$G$23</f>
        <v>-3.9799986485573348E-2</v>
      </c>
      <c r="Q446" s="59">
        <f>H446/$H$23</f>
        <v>-3.8576903849358433E-2</v>
      </c>
      <c r="R446" s="80"/>
      <c r="S446" s="57"/>
      <c r="T446" s="57"/>
      <c r="U446" s="59">
        <f>_xlfn.RRI(5.5,H446,B446)</f>
        <v>0.20291368107378149</v>
      </c>
      <c r="V446" s="59">
        <f>_xlfn.RRI(5,H446,C446)</f>
        <v>0.17432392638022898</v>
      </c>
      <c r="W446" s="59">
        <f t="shared" si="408"/>
        <v>-0.21077448522134343</v>
      </c>
      <c r="X446" s="59">
        <f t="shared" si="411"/>
        <v>-0.2369439071566731</v>
      </c>
      <c r="Y446" s="59">
        <f t="shared" si="411"/>
        <v>-0.33075933075933078</v>
      </c>
      <c r="Z446" s="59">
        <f t="shared" si="411"/>
        <v>-0.56653225806451613</v>
      </c>
      <c r="AA446" s="59">
        <f t="shared" si="411"/>
        <v>0.21642969984202207</v>
      </c>
      <c r="AB446" s="59">
        <f t="shared" si="411"/>
        <v>-7.4702886247877742E-2</v>
      </c>
      <c r="AC446" s="59">
        <f t="shared" si="411"/>
        <v>-0.27213822894168471</v>
      </c>
      <c r="AD446" s="80"/>
      <c r="AE446" s="57"/>
      <c r="AF446" s="133"/>
      <c r="AG446" s="10">
        <v>-103.9</v>
      </c>
      <c r="AH446" s="149">
        <v>-103.7</v>
      </c>
      <c r="AI446" s="133"/>
      <c r="AJ446" s="10">
        <v>-84.5</v>
      </c>
      <c r="AK446" s="10">
        <v>-79.400000000000006</v>
      </c>
    </row>
    <row r="447" spans="1:37" ht="15.75" thickBot="1" x14ac:dyDescent="0.3">
      <c r="A447" s="6" t="s">
        <v>77</v>
      </c>
      <c r="B447" s="102">
        <f>SUM(B443:B446)</f>
        <v>399.1</v>
      </c>
      <c r="C447" s="102">
        <f>SUM(C443:C446)</f>
        <v>355.70000000000005</v>
      </c>
      <c r="D447" s="103">
        <f t="shared" ref="D447:H447" si="412">SUM(D443:D446)</f>
        <v>313.8</v>
      </c>
      <c r="E447" s="103">
        <f t="shared" si="412"/>
        <v>295.79999999999995</v>
      </c>
      <c r="F447" s="103">
        <f t="shared" si="412"/>
        <v>299.09999999999997</v>
      </c>
      <c r="G447" s="103">
        <f t="shared" si="412"/>
        <v>284.70000000000005</v>
      </c>
      <c r="H447" s="103">
        <f t="shared" si="412"/>
        <v>236.89999999999998</v>
      </c>
      <c r="I447" s="103">
        <f>SUM(I443:I446)</f>
        <v>228.7</v>
      </c>
      <c r="J447" s="57"/>
      <c r="K447" s="19">
        <f>B447/$B$23</f>
        <v>0.20910615110552241</v>
      </c>
      <c r="L447" s="19">
        <f>C447/$C$23</f>
        <v>0.20784153324763352</v>
      </c>
      <c r="M447" s="19">
        <f>D447/$D$23</f>
        <v>0.1888200252722787</v>
      </c>
      <c r="N447" s="19">
        <f>E447/$E$23</f>
        <v>0.18503690729388211</v>
      </c>
      <c r="O447" s="19">
        <f>F447/$F$23</f>
        <v>0.19116707145596315</v>
      </c>
      <c r="P447" s="19">
        <f>G447/$G$23</f>
        <v>0.19237786336914658</v>
      </c>
      <c r="Q447" s="19">
        <f>H447/$H$23</f>
        <v>0.19738376937177135</v>
      </c>
      <c r="R447" s="32"/>
      <c r="S447" s="57"/>
      <c r="T447" s="57"/>
      <c r="U447" s="214">
        <f>_xlfn.RRI(5.5,H447,B447)</f>
        <v>9.9473708334730793E-2</v>
      </c>
      <c r="V447" s="214">
        <f>_xlfn.RRI(5,H447,C447)</f>
        <v>8.4685315966525287E-2</v>
      </c>
      <c r="W447" s="214">
        <f t="shared" si="408"/>
        <v>-9.2951459205828854E-2</v>
      </c>
      <c r="X447" s="214">
        <f t="shared" si="411"/>
        <v>-0.12201293224627487</v>
      </c>
      <c r="Y447" s="214">
        <f t="shared" si="411"/>
        <v>-0.13352453792224356</v>
      </c>
      <c r="Z447" s="214">
        <f t="shared" si="411"/>
        <v>-6.0851926977687827E-2</v>
      </c>
      <c r="AA447" s="214">
        <f t="shared" si="411"/>
        <v>1.1033099297893719E-2</v>
      </c>
      <c r="AB447" s="214">
        <f t="shared" si="411"/>
        <v>-5.0579557428872213E-2</v>
      </c>
      <c r="AC447" s="214">
        <f t="shared" si="411"/>
        <v>-0.20177289995778841</v>
      </c>
      <c r="AD447" s="80"/>
      <c r="AE447" s="57"/>
      <c r="AF447" s="215"/>
      <c r="AG447" s="215">
        <f>SUM(AG443:AG446)</f>
        <v>373.1</v>
      </c>
      <c r="AH447" s="216">
        <f t="shared" ref="AH447:AK447" si="413">SUM(AH443:AH446)</f>
        <v>379.2</v>
      </c>
      <c r="AI447" s="215"/>
      <c r="AJ447" s="215">
        <f t="shared" si="413"/>
        <v>326.60000000000002</v>
      </c>
      <c r="AK447" s="215">
        <f t="shared" si="413"/>
        <v>329.70000000000005</v>
      </c>
    </row>
    <row r="448" spans="1:37" ht="15.75" thickTop="1" x14ac:dyDescent="0.25">
      <c r="AH448" s="217"/>
    </row>
    <row r="449" spans="1:37" x14ac:dyDescent="0.25">
      <c r="A449" s="14" t="s">
        <v>17</v>
      </c>
      <c r="B449" s="118">
        <f>AG449+AH449+C449-(AJ449+AK449)</f>
        <v>0</v>
      </c>
      <c r="C449" s="8">
        <v>0</v>
      </c>
      <c r="D449" s="8">
        <v>0.1</v>
      </c>
      <c r="E449" s="8">
        <v>1.2</v>
      </c>
      <c r="F449" s="8">
        <v>1.9</v>
      </c>
      <c r="G449" s="8">
        <v>2.8</v>
      </c>
      <c r="H449" s="8">
        <v>1.7</v>
      </c>
      <c r="I449" s="336">
        <v>3.8</v>
      </c>
      <c r="J449" s="57"/>
      <c r="K449" s="58">
        <f>B449/$B$23</f>
        <v>0</v>
      </c>
      <c r="L449" s="58">
        <f>C449/$C$23</f>
        <v>0</v>
      </c>
      <c r="M449" s="58">
        <f>D449/$D$23</f>
        <v>6.0172092183645224E-5</v>
      </c>
      <c r="N449" s="58">
        <f>E449/$E$23</f>
        <v>7.5065682472163131E-4</v>
      </c>
      <c r="O449" s="58">
        <f>F449/$F$23</f>
        <v>1.2143678895564359E-3</v>
      </c>
      <c r="P449" s="58">
        <f>G449/$G$23</f>
        <v>1.8920197310629094E-3</v>
      </c>
      <c r="Q449" s="58">
        <f>H449/$H$23</f>
        <v>1.4164305949008497E-3</v>
      </c>
      <c r="R449" s="58"/>
      <c r="S449" s="57"/>
      <c r="T449" s="57"/>
      <c r="U449" s="58"/>
      <c r="V449" s="58"/>
      <c r="W449" s="58"/>
      <c r="X449" s="58"/>
      <c r="Y449" s="58"/>
      <c r="Z449" s="58"/>
      <c r="AA449" s="58"/>
      <c r="AB449" s="58"/>
      <c r="AC449" s="58"/>
      <c r="AD449" s="58"/>
      <c r="AE449" s="57"/>
      <c r="AF449" s="57"/>
      <c r="AG449" s="61">
        <v>0</v>
      </c>
      <c r="AH449" s="145">
        <v>0</v>
      </c>
      <c r="AI449" s="61"/>
      <c r="AJ449" s="61">
        <v>0</v>
      </c>
      <c r="AK449" s="61">
        <v>0</v>
      </c>
    </row>
    <row r="450" spans="1:37" x14ac:dyDescent="0.25">
      <c r="A450" s="14" t="s">
        <v>22</v>
      </c>
      <c r="B450" s="118">
        <f>AG450+AH450+C450-(AJ450+AK450)</f>
        <v>0</v>
      </c>
      <c r="C450" s="8">
        <v>0</v>
      </c>
      <c r="D450" s="8">
        <v>0</v>
      </c>
      <c r="E450" s="8">
        <v>0</v>
      </c>
      <c r="F450" s="8">
        <v>0</v>
      </c>
      <c r="G450" s="8">
        <v>0</v>
      </c>
      <c r="H450" s="222">
        <v>0</v>
      </c>
      <c r="I450" s="336">
        <v>8.9</v>
      </c>
      <c r="J450" s="57"/>
      <c r="K450" s="58">
        <f>B450/$B$23</f>
        <v>0</v>
      </c>
      <c r="L450" s="58">
        <f>C450/$C$23</f>
        <v>0</v>
      </c>
      <c r="M450" s="58">
        <f>D450/$D$23</f>
        <v>0</v>
      </c>
      <c r="N450" s="58">
        <f>E450/$E$23</f>
        <v>0</v>
      </c>
      <c r="O450" s="58">
        <f>F450/$F$23</f>
        <v>0</v>
      </c>
      <c r="P450" s="58">
        <f>G450/$G$23</f>
        <v>0</v>
      </c>
      <c r="Q450" s="58">
        <f>H450/$H$23</f>
        <v>0</v>
      </c>
      <c r="R450" s="58"/>
      <c r="S450" s="57"/>
      <c r="T450" s="57"/>
      <c r="U450" s="58"/>
      <c r="V450" s="58"/>
      <c r="W450" s="58"/>
      <c r="X450" s="58"/>
      <c r="Y450" s="58"/>
      <c r="Z450" s="58"/>
      <c r="AA450" s="58"/>
      <c r="AB450" s="58"/>
      <c r="AC450" s="58"/>
      <c r="AD450" s="58"/>
      <c r="AE450" s="57"/>
      <c r="AF450" s="57"/>
      <c r="AG450" s="61">
        <v>0</v>
      </c>
      <c r="AH450" s="145">
        <v>0</v>
      </c>
      <c r="AI450" s="61"/>
      <c r="AJ450" s="61">
        <v>0</v>
      </c>
      <c r="AK450" s="61">
        <v>0</v>
      </c>
    </row>
    <row r="451" spans="1:37" x14ac:dyDescent="0.25">
      <c r="A451" s="14" t="s">
        <v>24</v>
      </c>
      <c r="B451" s="189">
        <f>AG451+AH451+C451-(AJ451+AK451)</f>
        <v>0</v>
      </c>
      <c r="C451" s="190">
        <v>0</v>
      </c>
      <c r="D451" s="190">
        <v>-0.1</v>
      </c>
      <c r="E451" s="190">
        <v>0</v>
      </c>
      <c r="F451" s="190">
        <v>0</v>
      </c>
      <c r="G451" s="190">
        <v>0</v>
      </c>
      <c r="H451" s="223">
        <v>0</v>
      </c>
      <c r="I451" s="113">
        <v>0</v>
      </c>
      <c r="J451" s="57"/>
      <c r="K451" s="58">
        <f>B451/$B$23</f>
        <v>0</v>
      </c>
      <c r="L451" s="58">
        <f>C451/$C$23</f>
        <v>0</v>
      </c>
      <c r="M451" s="58">
        <f>D451/$D$23</f>
        <v>-6.0172092183645224E-5</v>
      </c>
      <c r="N451" s="58">
        <f>E451/$E$23</f>
        <v>0</v>
      </c>
      <c r="O451" s="58">
        <f>F451/$F$23</f>
        <v>0</v>
      </c>
      <c r="P451" s="58">
        <f>G451/$G$23</f>
        <v>0</v>
      </c>
      <c r="Q451" s="58">
        <f>H451/$H$23</f>
        <v>0</v>
      </c>
      <c r="R451" s="58"/>
      <c r="S451" s="57"/>
      <c r="T451" s="57"/>
      <c r="U451" s="58"/>
      <c r="V451" s="58"/>
      <c r="W451" s="58"/>
      <c r="X451" s="58"/>
      <c r="Y451" s="58"/>
      <c r="Z451" s="58"/>
      <c r="AA451" s="58"/>
      <c r="AB451" s="58"/>
      <c r="AC451" s="58"/>
      <c r="AD451" s="58"/>
      <c r="AE451" s="57"/>
      <c r="AF451" s="57"/>
      <c r="AG451" s="61">
        <v>0</v>
      </c>
      <c r="AH451" s="145">
        <v>0</v>
      </c>
      <c r="AI451" s="61"/>
      <c r="AJ451" s="61">
        <v>0</v>
      </c>
      <c r="AK451" s="61">
        <v>0</v>
      </c>
    </row>
    <row r="452" spans="1:37" x14ac:dyDescent="0.25">
      <c r="A452" s="188" t="s">
        <v>25</v>
      </c>
      <c r="B452" s="187">
        <f>AG452+AH452+C452-(AJ452+AK452)</f>
        <v>-55.5</v>
      </c>
      <c r="C452" s="113">
        <v>3.1</v>
      </c>
      <c r="D452" s="113">
        <v>61</v>
      </c>
      <c r="E452" s="113">
        <v>38.5</v>
      </c>
      <c r="F452" s="113">
        <v>0</v>
      </c>
      <c r="G452" s="113">
        <v>0</v>
      </c>
      <c r="H452" s="113">
        <v>0</v>
      </c>
      <c r="I452" s="113">
        <v>0</v>
      </c>
      <c r="J452" s="57"/>
      <c r="K452" s="80">
        <f>B452/$B$23</f>
        <v>-2.9078906004401137E-2</v>
      </c>
      <c r="L452" s="80">
        <f>C452/$C$23</f>
        <v>1.8113824938646721E-3</v>
      </c>
      <c r="M452" s="80">
        <f>D452/$D$23</f>
        <v>3.6704976232023588E-2</v>
      </c>
      <c r="N452" s="80">
        <f>E452/$E$23</f>
        <v>2.4083573126485673E-2</v>
      </c>
      <c r="O452" s="80">
        <f>F452/$F$23</f>
        <v>0</v>
      </c>
      <c r="P452" s="80">
        <f>G452/$G$23</f>
        <v>0</v>
      </c>
      <c r="Q452" s="80">
        <f>H452/$H$23</f>
        <v>0</v>
      </c>
      <c r="R452" s="80"/>
      <c r="S452" s="57"/>
      <c r="T452" s="57"/>
      <c r="U452" s="80"/>
      <c r="V452" s="80"/>
      <c r="W452" s="80"/>
      <c r="X452" s="80"/>
      <c r="Y452" s="80"/>
      <c r="Z452" s="80"/>
      <c r="AA452" s="80"/>
      <c r="AB452" s="80"/>
      <c r="AC452" s="80"/>
      <c r="AD452" s="80"/>
      <c r="AE452" s="57"/>
      <c r="AF452" s="57"/>
      <c r="AG452" s="113">
        <v>3.7</v>
      </c>
      <c r="AH452" s="150">
        <v>9.6999999999999993</v>
      </c>
      <c r="AI452" s="113"/>
      <c r="AJ452" s="113">
        <v>17</v>
      </c>
      <c r="AK452" s="113">
        <v>55</v>
      </c>
    </row>
    <row r="453" spans="1:37" x14ac:dyDescent="0.25">
      <c r="A453" s="188" t="s">
        <v>23</v>
      </c>
      <c r="B453" s="191">
        <f>AG453+AH453+C453-(AJ453+AK453)</f>
        <v>38.200000000000003</v>
      </c>
      <c r="C453" s="84">
        <v>29</v>
      </c>
      <c r="D453" s="84">
        <v>25</v>
      </c>
      <c r="E453" s="84">
        <v>15.4</v>
      </c>
      <c r="F453" s="84">
        <v>21.6</v>
      </c>
      <c r="G453" s="84">
        <v>22.5</v>
      </c>
      <c r="H453" s="84">
        <v>48.6</v>
      </c>
      <c r="I453" s="341">
        <v>39.1</v>
      </c>
      <c r="J453" s="57"/>
      <c r="K453" s="59">
        <f>B453/$B$23</f>
        <v>2.0014670439065289E-2</v>
      </c>
      <c r="L453" s="59">
        <f>C453/$C$23</f>
        <v>1.6945191071637253E-2</v>
      </c>
      <c r="M453" s="59">
        <f>D453/$D$23</f>
        <v>1.5043023045911305E-2</v>
      </c>
      <c r="N453" s="59">
        <f>E453/$E$23</f>
        <v>9.6334292505942699E-3</v>
      </c>
      <c r="O453" s="59">
        <f>F453/$F$23</f>
        <v>1.3805445481273168E-2</v>
      </c>
      <c r="P453" s="59">
        <f>G453/$G$23</f>
        <v>1.5203729981755523E-2</v>
      </c>
      <c r="Q453" s="59">
        <f>H453/$H$23</f>
        <v>4.0493251124812529E-2</v>
      </c>
      <c r="R453" s="80"/>
      <c r="S453" s="57"/>
      <c r="T453" s="57"/>
      <c r="U453" s="59">
        <f>_xlfn.RRI(5.5,H453,B453)</f>
        <v>-4.2835144098040012E-2</v>
      </c>
      <c r="V453" s="59">
        <f>_xlfn.RRI(5,H453,C453)</f>
        <v>-9.8112545678620156E-2</v>
      </c>
      <c r="W453" s="59">
        <f>AVERAGE(X453:AC453)</f>
        <v>3.9423988102149032E-2</v>
      </c>
      <c r="X453" s="59">
        <f t="shared" ref="X453:AC453" si="414">(B453-C453)/C453</f>
        <v>0.31724137931034491</v>
      </c>
      <c r="Y453" s="59">
        <f t="shared" si="414"/>
        <v>0.16</v>
      </c>
      <c r="Z453" s="59">
        <f t="shared" si="414"/>
        <v>0.62337662337662336</v>
      </c>
      <c r="AA453" s="59">
        <f t="shared" si="414"/>
        <v>-0.28703703703703709</v>
      </c>
      <c r="AB453" s="59">
        <f t="shared" si="414"/>
        <v>-3.9999999999999938E-2</v>
      </c>
      <c r="AC453" s="59">
        <f t="shared" si="414"/>
        <v>-0.53703703703703709</v>
      </c>
      <c r="AD453" s="80"/>
      <c r="AE453" s="57"/>
      <c r="AF453" s="73"/>
      <c r="AG453" s="84">
        <v>30.2</v>
      </c>
      <c r="AH453" s="218">
        <v>33.700000000000003</v>
      </c>
      <c r="AI453" s="84"/>
      <c r="AJ453" s="84">
        <v>27.9</v>
      </c>
      <c r="AK453" s="84">
        <v>26.8</v>
      </c>
    </row>
    <row r="454" spans="1:37" ht="15.75" thickBot="1" x14ac:dyDescent="0.3">
      <c r="A454" s="192" t="s">
        <v>313</v>
      </c>
      <c r="B454" s="215">
        <f>SUM(B449:B453)</f>
        <v>-17.299999999999997</v>
      </c>
      <c r="C454" s="215">
        <f t="shared" ref="C454:H454" si="415">SUM(C449:C453)</f>
        <v>32.1</v>
      </c>
      <c r="D454" s="215">
        <f t="shared" si="415"/>
        <v>86</v>
      </c>
      <c r="E454" s="215">
        <f t="shared" si="415"/>
        <v>55.1</v>
      </c>
      <c r="F454" s="215">
        <f t="shared" si="415"/>
        <v>23.5</v>
      </c>
      <c r="G454" s="215">
        <f t="shared" si="415"/>
        <v>25.3</v>
      </c>
      <c r="H454" s="215">
        <f t="shared" si="415"/>
        <v>50.300000000000004</v>
      </c>
      <c r="I454" s="215">
        <f>SUM(I449:I453)</f>
        <v>51.8</v>
      </c>
      <c r="K454" s="219"/>
      <c r="L454" s="220"/>
      <c r="M454" s="220"/>
      <c r="N454" s="220"/>
      <c r="O454" s="220"/>
      <c r="P454" s="220"/>
      <c r="Q454" s="220"/>
      <c r="U454" s="220"/>
      <c r="V454" s="220"/>
      <c r="W454" s="220"/>
      <c r="X454" s="220"/>
      <c r="Y454" s="220"/>
      <c r="Z454" s="220"/>
      <c r="AA454" s="220"/>
      <c r="AB454" s="220"/>
      <c r="AC454" s="220"/>
      <c r="AF454" s="220"/>
      <c r="AG454" s="215">
        <f>SUM(AG449:AG453)</f>
        <v>33.9</v>
      </c>
      <c r="AH454" s="216">
        <f t="shared" ref="AH454:AK454" si="416">SUM(AH449:AH453)</f>
        <v>43.400000000000006</v>
      </c>
      <c r="AI454" s="215"/>
      <c r="AJ454" s="215">
        <f t="shared" si="416"/>
        <v>44.9</v>
      </c>
      <c r="AK454" s="215">
        <f t="shared" si="416"/>
        <v>81.8</v>
      </c>
    </row>
    <row r="455" spans="1:37" ht="15.75" thickTop="1" x14ac:dyDescent="0.25">
      <c r="B455" s="50"/>
      <c r="C455" s="61"/>
      <c r="D455" s="61"/>
      <c r="E455" s="61"/>
      <c r="F455" s="61"/>
      <c r="G455" s="61"/>
      <c r="H455" s="61"/>
      <c r="I455" s="61"/>
      <c r="J455" s="57"/>
      <c r="K455" s="80"/>
      <c r="L455" s="80"/>
      <c r="M455" s="80"/>
      <c r="N455" s="80"/>
      <c r="O455" s="80"/>
      <c r="P455" s="80"/>
      <c r="Q455" s="80"/>
      <c r="R455" s="80"/>
      <c r="S455" s="57"/>
      <c r="T455" s="57"/>
      <c r="U455" s="58"/>
      <c r="V455" s="58"/>
      <c r="W455" s="58"/>
      <c r="X455" s="58"/>
      <c r="Y455" s="58"/>
      <c r="Z455" s="58"/>
      <c r="AA455" s="58"/>
      <c r="AB455" s="58"/>
      <c r="AC455" s="58"/>
      <c r="AD455" s="58"/>
      <c r="AE455" s="57"/>
      <c r="AF455" s="132"/>
      <c r="AG455" s="132"/>
      <c r="AH455" s="168"/>
      <c r="AI455" s="132"/>
      <c r="AJ455" s="132"/>
      <c r="AK455" s="132"/>
    </row>
    <row r="456" spans="1:37" x14ac:dyDescent="0.25">
      <c r="A456" s="14" t="s">
        <v>36</v>
      </c>
      <c r="B456" s="16"/>
      <c r="C456" s="9">
        <v>224.9</v>
      </c>
      <c r="D456" s="9">
        <v>226.9</v>
      </c>
      <c r="E456" s="9">
        <v>228.5</v>
      </c>
      <c r="F456" s="9">
        <v>227</v>
      </c>
      <c r="G456" s="9">
        <v>228.8</v>
      </c>
      <c r="H456" s="224">
        <v>154.69999999999999</v>
      </c>
      <c r="I456" s="337">
        <v>152.5</v>
      </c>
      <c r="J456" s="57"/>
      <c r="K456" s="80">
        <f t="shared" ref="K456:K466" si="417">B456/$B$23</f>
        <v>0</v>
      </c>
      <c r="L456" s="80">
        <f t="shared" ref="L456:L466" si="418">C456/$C$23</f>
        <v>0.13141287834521445</v>
      </c>
      <c r="M456" s="80">
        <f t="shared" ref="M456:M466" si="419">D456/$D$23</f>
        <v>0.13653047716469102</v>
      </c>
      <c r="N456" s="80">
        <f t="shared" ref="N456:N466" si="420">E456/$E$23</f>
        <v>0.14293757037407731</v>
      </c>
      <c r="O456" s="80">
        <f t="shared" ref="O456:O466" si="421">F456/$F$23</f>
        <v>0.14508500575226893</v>
      </c>
      <c r="P456" s="80">
        <f t="shared" ref="P456:P466" si="422">G456/$G$23</f>
        <v>0.1546050408811406</v>
      </c>
      <c r="Q456" s="80">
        <f t="shared" ref="Q456:Q466" si="423">H456/$H$23</f>
        <v>0.12889518413597734</v>
      </c>
      <c r="R456" s="80"/>
      <c r="S456" s="57"/>
      <c r="T456" s="57"/>
      <c r="U456" s="58">
        <f t="shared" ref="U456:U466" si="424">_xlfn.RRI(5.5,H456,B456)</f>
        <v>-1</v>
      </c>
      <c r="V456" s="58">
        <f t="shared" ref="V456:V466" si="425">_xlfn.RRI(5,H456,C456)</f>
        <v>7.7704827736732041E-2</v>
      </c>
      <c r="W456" s="58">
        <f t="shared" si="408"/>
        <v>8.9680708434037734E-2</v>
      </c>
      <c r="X456" s="58">
        <f t="shared" ref="X456:X466" si="426">(C456-B456)/C456</f>
        <v>1</v>
      </c>
      <c r="Y456" s="58">
        <f t="shared" ref="Y456:Y466" si="427">(D456-C456)/D456</f>
        <v>8.8144557073600704E-3</v>
      </c>
      <c r="Z456" s="58">
        <f t="shared" ref="Z456:Z466" si="428">(E456-D456)/E456</f>
        <v>7.0021881838074149E-3</v>
      </c>
      <c r="AA456" s="58">
        <f t="shared" ref="AA456:AA466" si="429">(F456-E456)/F456</f>
        <v>-6.6079295154185024E-3</v>
      </c>
      <c r="AB456" s="58">
        <f t="shared" ref="AB456:AB466" si="430">(G456-F456)/G456</f>
        <v>7.8671328671329165E-3</v>
      </c>
      <c r="AC456" s="58">
        <f t="shared" ref="AC456:AC466" si="431">(H456-G456)/H456</f>
        <v>-0.47899159663865565</v>
      </c>
      <c r="AD456" s="58"/>
      <c r="AE456" s="57"/>
      <c r="AF456" s="132"/>
      <c r="AG456" s="132"/>
      <c r="AH456" s="168"/>
      <c r="AI456" s="132"/>
      <c r="AJ456" s="132"/>
      <c r="AK456" s="132"/>
    </row>
    <row r="457" spans="1:37" x14ac:dyDescent="0.25">
      <c r="A457" s="14" t="s">
        <v>37</v>
      </c>
      <c r="B457" s="16"/>
      <c r="C457" s="9">
        <v>-110.5</v>
      </c>
      <c r="D457" s="9">
        <v>-97.6</v>
      </c>
      <c r="E457" s="9">
        <v>-84.7</v>
      </c>
      <c r="F457" s="9">
        <v>-69.5</v>
      </c>
      <c r="G457" s="9">
        <v>-56.5</v>
      </c>
      <c r="H457" s="224">
        <v>-43.9</v>
      </c>
      <c r="I457" s="337">
        <v>-33.6</v>
      </c>
      <c r="J457" s="57"/>
      <c r="K457" s="80">
        <f t="shared" si="417"/>
        <v>0</v>
      </c>
      <c r="L457" s="80">
        <f t="shared" si="418"/>
        <v>-6.4567021152272988E-2</v>
      </c>
      <c r="M457" s="80">
        <f t="shared" si="419"/>
        <v>-5.8727961971237731E-2</v>
      </c>
      <c r="N457" s="80">
        <f t="shared" si="420"/>
        <v>-5.2983860878268479E-2</v>
      </c>
      <c r="O457" s="80">
        <f t="shared" si="421"/>
        <v>-4.4420299117985423E-2</v>
      </c>
      <c r="P457" s="80">
        <f t="shared" si="422"/>
        <v>-3.8178255287519426E-2</v>
      </c>
      <c r="Q457" s="80">
        <f t="shared" si="423"/>
        <v>-3.6577237127145473E-2</v>
      </c>
      <c r="R457" s="80"/>
      <c r="S457" s="57"/>
      <c r="T457" s="57"/>
      <c r="U457" s="58">
        <f t="shared" si="424"/>
        <v>-1</v>
      </c>
      <c r="V457" s="58">
        <f t="shared" si="425"/>
        <v>0.20276159285545092</v>
      </c>
      <c r="W457" s="58">
        <f t="shared" si="408"/>
        <v>-3.380641872602582E-3</v>
      </c>
      <c r="X457" s="58">
        <f t="shared" si="426"/>
        <v>1</v>
      </c>
      <c r="Y457" s="58">
        <f t="shared" si="427"/>
        <v>-0.13217213114754106</v>
      </c>
      <c r="Z457" s="58">
        <f t="shared" si="428"/>
        <v>-0.15230224321133401</v>
      </c>
      <c r="AA457" s="58">
        <f t="shared" si="429"/>
        <v>-0.21870503597122307</v>
      </c>
      <c r="AB457" s="58">
        <f t="shared" si="430"/>
        <v>-0.23008849557522124</v>
      </c>
      <c r="AC457" s="58">
        <f t="shared" si="431"/>
        <v>-0.28701594533029617</v>
      </c>
      <c r="AD457" s="58"/>
      <c r="AE457" s="57"/>
      <c r="AF457" s="132"/>
      <c r="AG457" s="132"/>
      <c r="AH457" s="168"/>
      <c r="AI457" s="132"/>
      <c r="AJ457" s="132"/>
      <c r="AK457" s="132"/>
    </row>
    <row r="458" spans="1:37" x14ac:dyDescent="0.25">
      <c r="A458" s="14" t="s">
        <v>38</v>
      </c>
      <c r="B458" s="16"/>
      <c r="C458" s="9">
        <v>26.4</v>
      </c>
      <c r="D458" s="9">
        <v>26.5</v>
      </c>
      <c r="E458" s="9">
        <v>26.8</v>
      </c>
      <c r="F458" s="9">
        <v>26.7</v>
      </c>
      <c r="G458" s="9">
        <v>26.7</v>
      </c>
      <c r="H458" s="224">
        <v>26.8</v>
      </c>
      <c r="I458" s="337">
        <v>26.7</v>
      </c>
      <c r="J458" s="57"/>
      <c r="K458" s="80">
        <f t="shared" si="417"/>
        <v>0</v>
      </c>
      <c r="L458" s="80">
        <f t="shared" si="418"/>
        <v>1.5425967044524948E-2</v>
      </c>
      <c r="M458" s="80">
        <f t="shared" si="419"/>
        <v>1.5945604428665983E-2</v>
      </c>
      <c r="N458" s="80">
        <f t="shared" si="420"/>
        <v>1.6764669085449768E-2</v>
      </c>
      <c r="O458" s="80">
        <f t="shared" si="421"/>
        <v>1.7065064553240444E-2</v>
      </c>
      <c r="P458" s="80">
        <f t="shared" si="422"/>
        <v>1.8041759578349886E-2</v>
      </c>
      <c r="Q458" s="80">
        <f t="shared" si="423"/>
        <v>2.2329611731378103E-2</v>
      </c>
      <c r="R458" s="80"/>
      <c r="S458" s="57"/>
      <c r="T458" s="57"/>
      <c r="U458" s="58">
        <f t="shared" si="424"/>
        <v>-1</v>
      </c>
      <c r="V458" s="58">
        <f t="shared" si="425"/>
        <v>-3.0030572485640894E-3</v>
      </c>
      <c r="W458" s="58">
        <f t="shared" si="408"/>
        <v>0.16915893994798814</v>
      </c>
      <c r="X458" s="58">
        <f t="shared" si="426"/>
        <v>1</v>
      </c>
      <c r="Y458" s="58">
        <f t="shared" si="427"/>
        <v>3.7735849056604312E-3</v>
      </c>
      <c r="Z458" s="58">
        <f t="shared" si="428"/>
        <v>1.1194029850746294E-2</v>
      </c>
      <c r="AA458" s="58">
        <f t="shared" si="429"/>
        <v>-3.7453183520599785E-3</v>
      </c>
      <c r="AB458" s="58">
        <f t="shared" si="430"/>
        <v>0</v>
      </c>
      <c r="AC458" s="58">
        <f t="shared" si="431"/>
        <v>3.7313432835821424E-3</v>
      </c>
      <c r="AD458" s="58"/>
      <c r="AE458" s="57"/>
      <c r="AF458" s="132"/>
      <c r="AG458" s="132"/>
      <c r="AH458" s="168"/>
      <c r="AI458" s="132"/>
      <c r="AJ458" s="132"/>
      <c r="AK458" s="132"/>
    </row>
    <row r="459" spans="1:37" x14ac:dyDescent="0.25">
      <c r="A459" s="14" t="s">
        <v>39</v>
      </c>
      <c r="B459" s="16"/>
      <c r="C459" s="9">
        <v>-26</v>
      </c>
      <c r="D459" s="9">
        <v>-25.9</v>
      </c>
      <c r="E459" s="9">
        <v>-23.6</v>
      </c>
      <c r="F459" s="9">
        <v>-19.899999999999999</v>
      </c>
      <c r="G459" s="9">
        <v>-16.2</v>
      </c>
      <c r="H459" s="224">
        <v>-12.5</v>
      </c>
      <c r="I459" s="337">
        <v>-8.8000000000000007</v>
      </c>
      <c r="J459" s="57"/>
      <c r="K459" s="80">
        <f t="shared" si="417"/>
        <v>0</v>
      </c>
      <c r="L459" s="80">
        <f t="shared" si="418"/>
        <v>-1.5192240271123056E-2</v>
      </c>
      <c r="M459" s="80">
        <f t="shared" si="419"/>
        <v>-1.5584571875564111E-2</v>
      </c>
      <c r="N459" s="80">
        <f t="shared" si="420"/>
        <v>-1.4762917552858751E-2</v>
      </c>
      <c r="O459" s="80">
        <f t="shared" si="421"/>
        <v>-1.2718905790617407E-2</v>
      </c>
      <c r="P459" s="80">
        <f t="shared" si="422"/>
        <v>-1.0946685586863977E-2</v>
      </c>
      <c r="Q459" s="80">
        <f t="shared" si="423"/>
        <v>-1.0414930844859189E-2</v>
      </c>
      <c r="R459" s="80"/>
      <c r="S459" s="57"/>
      <c r="T459" s="57"/>
      <c r="U459" s="58">
        <f t="shared" si="424"/>
        <v>-1</v>
      </c>
      <c r="V459" s="58">
        <f t="shared" si="425"/>
        <v>0.15774434135315829</v>
      </c>
      <c r="W459" s="58">
        <f t="shared" si="408"/>
        <v>3.1392776508458502E-2</v>
      </c>
      <c r="X459" s="58">
        <f t="shared" si="426"/>
        <v>1</v>
      </c>
      <c r="Y459" s="58">
        <f t="shared" si="427"/>
        <v>-3.8610038610039162E-3</v>
      </c>
      <c r="Z459" s="58">
        <f t="shared" si="428"/>
        <v>-9.7457627118643947E-2</v>
      </c>
      <c r="AA459" s="58">
        <f t="shared" si="429"/>
        <v>-0.1859296482412062</v>
      </c>
      <c r="AB459" s="58">
        <f t="shared" si="430"/>
        <v>-0.22839506172839502</v>
      </c>
      <c r="AC459" s="58">
        <f t="shared" si="431"/>
        <v>-0.29599999999999993</v>
      </c>
      <c r="AD459" s="58"/>
      <c r="AE459" s="57"/>
      <c r="AF459" s="132"/>
      <c r="AG459" s="132"/>
      <c r="AH459" s="168"/>
      <c r="AI459" s="132"/>
      <c r="AJ459" s="132"/>
      <c r="AK459" s="132"/>
    </row>
    <row r="460" spans="1:37" x14ac:dyDescent="0.25">
      <c r="A460" s="14" t="s">
        <v>40</v>
      </c>
      <c r="B460" s="16"/>
      <c r="C460" s="9">
        <v>7.7</v>
      </c>
      <c r="D460" s="9">
        <v>7.6</v>
      </c>
      <c r="E460" s="9">
        <v>7.9</v>
      </c>
      <c r="F460" s="9">
        <v>7.6</v>
      </c>
      <c r="G460" s="9">
        <v>7.6</v>
      </c>
      <c r="H460" s="224">
        <v>6.5</v>
      </c>
      <c r="I460" s="337">
        <v>6.1</v>
      </c>
      <c r="J460" s="57"/>
      <c r="K460" s="80">
        <f t="shared" si="417"/>
        <v>0</v>
      </c>
      <c r="L460" s="80">
        <f t="shared" si="418"/>
        <v>4.499240387986444E-3</v>
      </c>
      <c r="M460" s="80">
        <f t="shared" si="419"/>
        <v>4.5730790059570368E-3</v>
      </c>
      <c r="N460" s="80">
        <f t="shared" si="420"/>
        <v>4.941824096084073E-3</v>
      </c>
      <c r="O460" s="80">
        <f t="shared" si="421"/>
        <v>4.8574715582257438E-3</v>
      </c>
      <c r="P460" s="80">
        <f t="shared" si="422"/>
        <v>5.1354821271707542E-3</v>
      </c>
      <c r="Q460" s="80">
        <f t="shared" si="423"/>
        <v>5.4157640393267788E-3</v>
      </c>
      <c r="R460" s="80"/>
      <c r="S460" s="57"/>
      <c r="T460" s="57"/>
      <c r="U460" s="58">
        <f t="shared" si="424"/>
        <v>-1</v>
      </c>
      <c r="V460" s="58">
        <f t="shared" si="425"/>
        <v>3.4464219527427398E-2</v>
      </c>
      <c r="W460" s="58">
        <f t="shared" si="408"/>
        <v>0.13601872256102768</v>
      </c>
      <c r="X460" s="58">
        <f t="shared" si="426"/>
        <v>1</v>
      </c>
      <c r="Y460" s="58">
        <f t="shared" si="427"/>
        <v>-1.3157894736842176E-2</v>
      </c>
      <c r="Z460" s="58">
        <f t="shared" si="428"/>
        <v>3.7974683544303889E-2</v>
      </c>
      <c r="AA460" s="58">
        <f t="shared" si="429"/>
        <v>-3.9473684210526411E-2</v>
      </c>
      <c r="AB460" s="58">
        <f t="shared" si="430"/>
        <v>0</v>
      </c>
      <c r="AC460" s="58">
        <f t="shared" si="431"/>
        <v>-0.16923076923076918</v>
      </c>
      <c r="AD460" s="58"/>
      <c r="AE460" s="57"/>
      <c r="AF460" s="132"/>
      <c r="AG460" s="132"/>
      <c r="AH460" s="168"/>
      <c r="AI460" s="132"/>
      <c r="AJ460" s="132"/>
      <c r="AK460" s="132"/>
    </row>
    <row r="461" spans="1:37" x14ac:dyDescent="0.25">
      <c r="A461" s="14" t="s">
        <v>41</v>
      </c>
      <c r="B461" s="16"/>
      <c r="C461" s="9">
        <v>-6.5</v>
      </c>
      <c r="D461" s="9">
        <v>-6.4</v>
      </c>
      <c r="E461" s="9">
        <v>-5.8</v>
      </c>
      <c r="F461" s="9">
        <v>-4.4000000000000004</v>
      </c>
      <c r="G461" s="9">
        <v>-3.5</v>
      </c>
      <c r="H461" s="224">
        <v>-2.7</v>
      </c>
      <c r="I461" s="337">
        <v>-1.9</v>
      </c>
      <c r="J461" s="57"/>
      <c r="K461" s="80">
        <f t="shared" si="417"/>
        <v>0</v>
      </c>
      <c r="L461" s="80">
        <f t="shared" si="418"/>
        <v>-3.7980600677807639E-3</v>
      </c>
      <c r="M461" s="80">
        <f t="shared" si="419"/>
        <v>-3.8510138997532944E-3</v>
      </c>
      <c r="N461" s="80">
        <f t="shared" si="420"/>
        <v>-3.6281746528212182E-3</v>
      </c>
      <c r="O461" s="80">
        <f t="shared" si="421"/>
        <v>-2.8122203758149046E-3</v>
      </c>
      <c r="P461" s="80">
        <f t="shared" si="422"/>
        <v>-2.3650246638286369E-3</v>
      </c>
      <c r="Q461" s="80">
        <f t="shared" si="423"/>
        <v>-2.249625062489585E-3</v>
      </c>
      <c r="R461" s="80"/>
      <c r="S461" s="57"/>
      <c r="T461" s="57"/>
      <c r="U461" s="58">
        <f t="shared" si="424"/>
        <v>-1</v>
      </c>
      <c r="V461" s="58">
        <f t="shared" si="425"/>
        <v>0.1920923980459821</v>
      </c>
      <c r="W461" s="58">
        <f t="shared" si="408"/>
        <v>1.5509587528265794E-3</v>
      </c>
      <c r="X461" s="58">
        <f t="shared" si="426"/>
        <v>1</v>
      </c>
      <c r="Y461" s="58">
        <f t="shared" si="427"/>
        <v>-1.5624999999999944E-2</v>
      </c>
      <c r="Z461" s="58">
        <f t="shared" si="428"/>
        <v>-0.10344827586206906</v>
      </c>
      <c r="AA461" s="58">
        <f t="shared" si="429"/>
        <v>-0.31818181818181801</v>
      </c>
      <c r="AB461" s="58">
        <f t="shared" si="430"/>
        <v>-0.25714285714285723</v>
      </c>
      <c r="AC461" s="58">
        <f t="shared" si="431"/>
        <v>-0.29629629629629622</v>
      </c>
      <c r="AD461" s="58"/>
      <c r="AE461" s="57"/>
      <c r="AF461" s="132"/>
      <c r="AG461" s="132"/>
      <c r="AH461" s="168"/>
      <c r="AI461" s="132"/>
      <c r="AJ461" s="132"/>
      <c r="AK461" s="132"/>
    </row>
    <row r="462" spans="1:37" x14ac:dyDescent="0.25">
      <c r="A462" s="14" t="s">
        <v>42</v>
      </c>
      <c r="B462" s="16"/>
      <c r="C462" s="9">
        <v>2.4</v>
      </c>
      <c r="D462" s="9">
        <v>2.4</v>
      </c>
      <c r="E462" s="9">
        <v>2.6</v>
      </c>
      <c r="F462" s="9">
        <v>2.4</v>
      </c>
      <c r="G462" s="9">
        <v>2.4</v>
      </c>
      <c r="H462" s="224">
        <v>2.5</v>
      </c>
      <c r="I462" s="337">
        <v>2.2000000000000002</v>
      </c>
      <c r="J462" s="57"/>
      <c r="K462" s="80">
        <f t="shared" si="417"/>
        <v>0</v>
      </c>
      <c r="L462" s="80">
        <f t="shared" si="418"/>
        <v>1.402360640411359E-3</v>
      </c>
      <c r="M462" s="80">
        <f t="shared" si="419"/>
        <v>1.4441302124074853E-3</v>
      </c>
      <c r="N462" s="80">
        <f t="shared" si="420"/>
        <v>1.6264231202302013E-3</v>
      </c>
      <c r="O462" s="80">
        <f t="shared" si="421"/>
        <v>1.5339383868081297E-3</v>
      </c>
      <c r="P462" s="80">
        <f t="shared" si="422"/>
        <v>1.6217311980539224E-3</v>
      </c>
      <c r="Q462" s="80">
        <f t="shared" si="423"/>
        <v>2.082986168971838E-3</v>
      </c>
      <c r="R462" s="80"/>
      <c r="S462" s="57"/>
      <c r="T462" s="57"/>
      <c r="U462" s="58">
        <f t="shared" si="424"/>
        <v>-1</v>
      </c>
      <c r="V462" s="58">
        <f t="shared" si="425"/>
        <v>-8.1311607174336942E-3</v>
      </c>
      <c r="W462" s="58">
        <f t="shared" si="408"/>
        <v>0.17226495726495727</v>
      </c>
      <c r="X462" s="58">
        <f t="shared" si="426"/>
        <v>1</v>
      </c>
      <c r="Y462" s="58">
        <f t="shared" si="427"/>
        <v>0</v>
      </c>
      <c r="Z462" s="58">
        <f t="shared" si="428"/>
        <v>7.6923076923076983E-2</v>
      </c>
      <c r="AA462" s="58">
        <f t="shared" si="429"/>
        <v>-8.3333333333333412E-2</v>
      </c>
      <c r="AB462" s="58">
        <f t="shared" si="430"/>
        <v>0</v>
      </c>
      <c r="AC462" s="58">
        <f t="shared" si="431"/>
        <v>4.0000000000000036E-2</v>
      </c>
      <c r="AD462" s="58"/>
      <c r="AE462" s="57"/>
      <c r="AF462" s="132"/>
      <c r="AG462" s="132"/>
      <c r="AH462" s="168"/>
      <c r="AI462" s="132"/>
      <c r="AJ462" s="132"/>
      <c r="AK462" s="132"/>
    </row>
    <row r="463" spans="1:37" x14ac:dyDescent="0.25">
      <c r="A463" s="14" t="s">
        <v>43</v>
      </c>
      <c r="B463" s="16"/>
      <c r="C463" s="9">
        <v>-2.4</v>
      </c>
      <c r="D463" s="9">
        <v>-2.4</v>
      </c>
      <c r="E463" s="9">
        <v>-2.6</v>
      </c>
      <c r="F463" s="9">
        <v>-2.2999999999999998</v>
      </c>
      <c r="G463" s="9">
        <v>-2.1</v>
      </c>
      <c r="H463" s="224">
        <v>-2</v>
      </c>
      <c r="I463" s="337">
        <v>-1.5</v>
      </c>
      <c r="J463" s="57"/>
      <c r="K463" s="80">
        <f t="shared" si="417"/>
        <v>0</v>
      </c>
      <c r="L463" s="80">
        <f t="shared" si="418"/>
        <v>-1.402360640411359E-3</v>
      </c>
      <c r="M463" s="80">
        <f t="shared" si="419"/>
        <v>-1.4441302124074853E-3</v>
      </c>
      <c r="N463" s="80">
        <f t="shared" si="420"/>
        <v>-1.6264231202302013E-3</v>
      </c>
      <c r="O463" s="80">
        <f t="shared" si="421"/>
        <v>-1.4700242873577909E-3</v>
      </c>
      <c r="P463" s="80">
        <f t="shared" si="422"/>
        <v>-1.4190147982971822E-3</v>
      </c>
      <c r="Q463" s="80">
        <f t="shared" si="423"/>
        <v>-1.6663889351774704E-3</v>
      </c>
      <c r="R463" s="80"/>
      <c r="S463" s="57"/>
      <c r="T463" s="57"/>
      <c r="U463" s="58">
        <f t="shared" si="424"/>
        <v>-1</v>
      </c>
      <c r="V463" s="58">
        <f t="shared" si="425"/>
        <v>3.7137289336648172E-2</v>
      </c>
      <c r="W463" s="58">
        <f t="shared" si="408"/>
        <v>0.13354169984604769</v>
      </c>
      <c r="X463" s="58">
        <f t="shared" si="426"/>
        <v>1</v>
      </c>
      <c r="Y463" s="58">
        <f t="shared" si="427"/>
        <v>0</v>
      </c>
      <c r="Z463" s="58">
        <f t="shared" si="428"/>
        <v>7.6923076923076983E-2</v>
      </c>
      <c r="AA463" s="58">
        <f t="shared" si="429"/>
        <v>-0.13043478260869579</v>
      </c>
      <c r="AB463" s="58">
        <f t="shared" si="430"/>
        <v>-9.5238095238095108E-2</v>
      </c>
      <c r="AC463" s="58">
        <f t="shared" si="431"/>
        <v>-5.0000000000000044E-2</v>
      </c>
      <c r="AD463" s="58"/>
      <c r="AE463" s="57"/>
      <c r="AF463" s="132"/>
      <c r="AG463" s="132"/>
      <c r="AH463" s="168"/>
      <c r="AI463" s="132"/>
      <c r="AJ463" s="132"/>
      <c r="AK463" s="132"/>
    </row>
    <row r="464" spans="1:37" x14ac:dyDescent="0.25">
      <c r="A464" s="14" t="s">
        <v>44</v>
      </c>
      <c r="B464" s="51"/>
      <c r="C464" s="9">
        <v>1.6</v>
      </c>
      <c r="D464" s="9">
        <v>1.7</v>
      </c>
      <c r="E464" s="9">
        <v>1.7</v>
      </c>
      <c r="F464" s="9">
        <v>1.6</v>
      </c>
      <c r="G464" s="9">
        <v>1.6</v>
      </c>
      <c r="H464" s="224">
        <v>1.4</v>
      </c>
      <c r="I464" s="337">
        <v>1.3</v>
      </c>
      <c r="J464" s="57"/>
      <c r="K464" s="80">
        <f t="shared" si="417"/>
        <v>0</v>
      </c>
      <c r="L464" s="80">
        <f t="shared" si="418"/>
        <v>9.3490709360757277E-4</v>
      </c>
      <c r="M464" s="80">
        <f t="shared" si="419"/>
        <v>1.0229255671219688E-3</v>
      </c>
      <c r="N464" s="80">
        <f t="shared" si="420"/>
        <v>1.0634305016889777E-3</v>
      </c>
      <c r="O464" s="80">
        <f t="shared" si="421"/>
        <v>1.0226255912054198E-3</v>
      </c>
      <c r="P464" s="80">
        <f t="shared" si="422"/>
        <v>1.0811541320359483E-3</v>
      </c>
      <c r="Q464" s="80">
        <f t="shared" si="423"/>
        <v>1.1664722546242292E-3</v>
      </c>
      <c r="R464" s="80"/>
      <c r="S464" s="57"/>
      <c r="T464" s="57"/>
      <c r="U464" s="58">
        <f t="shared" si="424"/>
        <v>-1</v>
      </c>
      <c r="V464" s="58">
        <f t="shared" si="425"/>
        <v>2.7066087089351765E-2</v>
      </c>
      <c r="W464" s="58">
        <f t="shared" si="408"/>
        <v>0.14224439775910364</v>
      </c>
      <c r="X464" s="58">
        <f t="shared" si="426"/>
        <v>1</v>
      </c>
      <c r="Y464" s="58">
        <f t="shared" si="427"/>
        <v>5.8823529411764629E-2</v>
      </c>
      <c r="Z464" s="58">
        <f t="shared" si="428"/>
        <v>0</v>
      </c>
      <c r="AA464" s="58">
        <f t="shared" si="429"/>
        <v>-6.2499999999999917E-2</v>
      </c>
      <c r="AB464" s="58">
        <f t="shared" si="430"/>
        <v>0</v>
      </c>
      <c r="AC464" s="58">
        <f t="shared" si="431"/>
        <v>-0.14285714285714299</v>
      </c>
      <c r="AD464" s="58"/>
      <c r="AE464" s="57"/>
      <c r="AF464" s="132"/>
      <c r="AG464" s="132"/>
      <c r="AH464" s="168"/>
      <c r="AI464" s="132"/>
      <c r="AJ464" s="132"/>
      <c r="AK464" s="132"/>
    </row>
    <row r="465" spans="1:37" x14ac:dyDescent="0.25">
      <c r="A465" s="188" t="s">
        <v>271</v>
      </c>
      <c r="B465" s="52"/>
      <c r="C465" s="53">
        <v>-1.5</v>
      </c>
      <c r="D465" s="9">
        <v>-1.3</v>
      </c>
      <c r="E465" s="9">
        <v>-1</v>
      </c>
      <c r="F465" s="9">
        <v>-0.8</v>
      </c>
      <c r="G465" s="9">
        <v>-0.8</v>
      </c>
      <c r="H465" s="224">
        <v>-1.2</v>
      </c>
      <c r="I465" s="337">
        <v>-1.1000000000000001</v>
      </c>
      <c r="J465" s="57"/>
      <c r="K465" s="59">
        <f t="shared" si="417"/>
        <v>0</v>
      </c>
      <c r="L465" s="59">
        <f t="shared" si="418"/>
        <v>-8.7647540025709942E-4</v>
      </c>
      <c r="M465" s="59">
        <f t="shared" si="419"/>
        <v>-7.8223719838738787E-4</v>
      </c>
      <c r="N465" s="59">
        <f t="shared" si="420"/>
        <v>-6.2554735393469281E-4</v>
      </c>
      <c r="O465" s="59">
        <f t="shared" si="421"/>
        <v>-5.1131279560270989E-4</v>
      </c>
      <c r="P465" s="59">
        <f t="shared" si="422"/>
        <v>-5.4057706601797417E-4</v>
      </c>
      <c r="Q465" s="59">
        <f t="shared" si="423"/>
        <v>-9.9983336110648227E-4</v>
      </c>
      <c r="R465" s="80"/>
      <c r="S465" s="57"/>
      <c r="T465" s="57"/>
      <c r="U465" s="59">
        <f t="shared" si="424"/>
        <v>-1</v>
      </c>
      <c r="V465" s="59">
        <f t="shared" si="425"/>
        <v>4.5639552591273169E-2</v>
      </c>
      <c r="W465" s="59">
        <f t="shared" si="408"/>
        <v>0.10491452991452992</v>
      </c>
      <c r="X465" s="59">
        <f t="shared" si="426"/>
        <v>1</v>
      </c>
      <c r="Y465" s="59">
        <f t="shared" si="427"/>
        <v>-0.1538461538461538</v>
      </c>
      <c r="Z465" s="59">
        <f t="shared" si="428"/>
        <v>-0.30000000000000004</v>
      </c>
      <c r="AA465" s="59">
        <f t="shared" si="429"/>
        <v>-0.24999999999999994</v>
      </c>
      <c r="AB465" s="59">
        <f t="shared" si="430"/>
        <v>0</v>
      </c>
      <c r="AC465" s="59">
        <f t="shared" si="431"/>
        <v>0.33333333333333326</v>
      </c>
      <c r="AD465" s="80"/>
      <c r="AE465" s="57"/>
      <c r="AF465" s="133"/>
      <c r="AG465" s="133"/>
      <c r="AH465" s="210"/>
      <c r="AI465" s="133"/>
      <c r="AJ465" s="133"/>
      <c r="AK465" s="133"/>
    </row>
    <row r="466" spans="1:37" ht="15.75" thickBot="1" x14ac:dyDescent="0.3">
      <c r="A466" s="85" t="s">
        <v>78</v>
      </c>
      <c r="B466" s="104"/>
      <c r="C466" s="103">
        <f t="shared" ref="C466:H466" si="432">SUM(C456:C465)</f>
        <v>116.10000000000001</v>
      </c>
      <c r="D466" s="103">
        <f t="shared" si="432"/>
        <v>131.49999999999997</v>
      </c>
      <c r="E466" s="103">
        <f t="shared" si="432"/>
        <v>149.80000000000001</v>
      </c>
      <c r="F466" s="103">
        <f t="shared" si="432"/>
        <v>168.39999999999995</v>
      </c>
      <c r="G466" s="103">
        <f t="shared" si="432"/>
        <v>188</v>
      </c>
      <c r="H466" s="103">
        <f t="shared" si="432"/>
        <v>129.60000000000002</v>
      </c>
      <c r="I466" s="103">
        <f>SUM(I456:I465)</f>
        <v>141.89999999999998</v>
      </c>
      <c r="J466" s="57"/>
      <c r="K466" s="19">
        <f t="shared" si="417"/>
        <v>0</v>
      </c>
      <c r="L466" s="19">
        <f t="shared" si="418"/>
        <v>6.78391959798995E-2</v>
      </c>
      <c r="M466" s="19">
        <f t="shared" si="419"/>
        <v>7.9126301221493445E-2</v>
      </c>
      <c r="N466" s="19">
        <f t="shared" si="420"/>
        <v>9.3706993619416992E-2</v>
      </c>
      <c r="O466" s="19">
        <f t="shared" si="421"/>
        <v>0.10763134347437041</v>
      </c>
      <c r="P466" s="19">
        <f t="shared" si="422"/>
        <v>0.12703561051422393</v>
      </c>
      <c r="Q466" s="19">
        <f t="shared" si="423"/>
        <v>0.1079820029995001</v>
      </c>
      <c r="R466" s="32"/>
      <c r="S466" s="57"/>
      <c r="T466" s="57"/>
      <c r="U466" s="211">
        <f t="shared" si="424"/>
        <v>-1</v>
      </c>
      <c r="V466" s="211">
        <f t="shared" si="425"/>
        <v>-2.1759940095709362E-2</v>
      </c>
      <c r="W466" s="211">
        <f t="shared" si="408"/>
        <v>0.16722708193607391</v>
      </c>
      <c r="X466" s="211">
        <f t="shared" si="426"/>
        <v>1</v>
      </c>
      <c r="Y466" s="211">
        <f t="shared" si="427"/>
        <v>0.11711026615969557</v>
      </c>
      <c r="Z466" s="211">
        <f t="shared" si="428"/>
        <v>0.12216288384512709</v>
      </c>
      <c r="AA466" s="211">
        <f t="shared" si="429"/>
        <v>0.11045130641330132</v>
      </c>
      <c r="AB466" s="211">
        <f t="shared" si="430"/>
        <v>0.10425531914893645</v>
      </c>
      <c r="AC466" s="211">
        <f t="shared" si="431"/>
        <v>-0.45061728395061701</v>
      </c>
      <c r="AD466" s="80"/>
      <c r="AE466" s="57"/>
      <c r="AF466" s="212"/>
      <c r="AG466" s="212"/>
      <c r="AH466" s="213"/>
      <c r="AI466" s="212"/>
      <c r="AJ466" s="212"/>
      <c r="AK466" s="212"/>
    </row>
    <row r="467" spans="1:37" ht="15.75" thickTop="1" x14ac:dyDescent="0.25">
      <c r="AH467" s="217"/>
    </row>
    <row r="468" spans="1:37" x14ac:dyDescent="0.25">
      <c r="A468" s="14" t="s">
        <v>34</v>
      </c>
      <c r="B468" s="118">
        <f>AG468+AH468+C468-(AJ468+AK468)</f>
        <v>6.5000000000000036</v>
      </c>
      <c r="C468" s="8">
        <v>11.7</v>
      </c>
      <c r="D468" s="8">
        <v>15</v>
      </c>
      <c r="E468" s="8">
        <v>18.399999999999999</v>
      </c>
      <c r="F468" s="8">
        <v>23.7</v>
      </c>
      <c r="G468" s="8">
        <v>15.5</v>
      </c>
      <c r="H468" s="222">
        <v>18.399999999999999</v>
      </c>
      <c r="I468" s="336">
        <v>27.1</v>
      </c>
      <c r="J468" s="57"/>
      <c r="K468" s="58">
        <f t="shared" ref="K468:K473" si="433">B468/$B$23</f>
        <v>3.4056376401550899E-3</v>
      </c>
      <c r="L468" s="58">
        <f>C468/$C$23</f>
        <v>6.8365081220053752E-3</v>
      </c>
      <c r="M468" s="58">
        <f>D468/$D$23</f>
        <v>9.0258138275467834E-3</v>
      </c>
      <c r="N468" s="58">
        <f>E468/$E$23</f>
        <v>1.1510071312398347E-2</v>
      </c>
      <c r="O468" s="58">
        <f>F468/$F$23</f>
        <v>1.514764156973028E-2</v>
      </c>
      <c r="P468" s="58">
        <f>G468/$G$23</f>
        <v>1.0473680654098249E-2</v>
      </c>
      <c r="Q468" s="58">
        <f>H468/$H$23</f>
        <v>1.5330778203632727E-2</v>
      </c>
      <c r="R468" s="58"/>
      <c r="S468" s="57"/>
      <c r="T468" s="57"/>
      <c r="U468" s="58">
        <f>_xlfn.RRI(5.5,H468,B468)</f>
        <v>-0.17237128262505452</v>
      </c>
      <c r="V468" s="58">
        <f>_xlfn.RRI(5,H468,C468)</f>
        <v>-8.6573498530291615E-2</v>
      </c>
      <c r="W468" s="58">
        <f>AVERAGE(X468:AC468)</f>
        <v>-0.1169053637851461</v>
      </c>
      <c r="X468" s="58">
        <f t="shared" ref="X468:AC468" si="434">(B468-C468)/C468</f>
        <v>-0.44444444444444409</v>
      </c>
      <c r="Y468" s="58">
        <f t="shared" si="434"/>
        <v>-0.22000000000000006</v>
      </c>
      <c r="Z468" s="58">
        <f t="shared" si="434"/>
        <v>-0.18478260869565211</v>
      </c>
      <c r="AA468" s="58">
        <f t="shared" si="434"/>
        <v>-0.22362869198312241</v>
      </c>
      <c r="AB468" s="58">
        <f t="shared" si="434"/>
        <v>0.52903225806451604</v>
      </c>
      <c r="AC468" s="58">
        <f t="shared" si="434"/>
        <v>-0.15760869565217384</v>
      </c>
      <c r="AD468" s="58"/>
      <c r="AE468" s="57"/>
      <c r="AF468" s="57"/>
      <c r="AG468" s="8">
        <v>11.3</v>
      </c>
      <c r="AH468" s="144">
        <v>11.7</v>
      </c>
      <c r="AI468" s="135"/>
      <c r="AJ468" s="8">
        <v>13.5</v>
      </c>
      <c r="AK468" s="8">
        <v>14.7</v>
      </c>
    </row>
    <row r="469" spans="1:37" x14ac:dyDescent="0.25">
      <c r="A469" s="14" t="s">
        <v>45</v>
      </c>
      <c r="B469" s="118">
        <f>AG469+AH469+C469-(AJ469+AK469)</f>
        <v>0</v>
      </c>
      <c r="C469" s="8">
        <v>0</v>
      </c>
      <c r="D469" s="9">
        <v>0</v>
      </c>
      <c r="E469" s="9">
        <v>0.8</v>
      </c>
      <c r="F469" s="9">
        <v>0.7</v>
      </c>
      <c r="G469" s="9">
        <v>0.7</v>
      </c>
      <c r="H469" s="224">
        <v>0.7</v>
      </c>
      <c r="I469" s="337">
        <v>0.6</v>
      </c>
      <c r="J469" s="57"/>
      <c r="K469" s="58">
        <f t="shared" si="433"/>
        <v>0</v>
      </c>
      <c r="L469" s="58">
        <f>C469/$C$23</f>
        <v>0</v>
      </c>
      <c r="M469" s="58">
        <f>D469/$D$23</f>
        <v>0</v>
      </c>
      <c r="N469" s="58">
        <f>E469/$E$23</f>
        <v>5.0043788314775431E-4</v>
      </c>
      <c r="O469" s="58">
        <f>F469/$F$23</f>
        <v>4.4739869615237116E-4</v>
      </c>
      <c r="P469" s="58">
        <f>G469/$G$23</f>
        <v>4.7300493276572736E-4</v>
      </c>
      <c r="Q469" s="58">
        <f>H469/$H$23</f>
        <v>5.8323612731211462E-4</v>
      </c>
      <c r="R469" s="58"/>
      <c r="S469" s="57"/>
      <c r="T469" s="57"/>
      <c r="U469" s="58"/>
      <c r="V469" s="58"/>
      <c r="W469" s="58"/>
      <c r="X469" s="58"/>
      <c r="Y469" s="58"/>
      <c r="Z469" s="58"/>
      <c r="AA469" s="58"/>
      <c r="AB469" s="58"/>
      <c r="AC469" s="58"/>
      <c r="AD469" s="58"/>
      <c r="AE469" s="57"/>
      <c r="AF469" s="57"/>
      <c r="AG469" s="113">
        <v>0</v>
      </c>
      <c r="AH469" s="150">
        <v>0</v>
      </c>
      <c r="AI469" s="113"/>
      <c r="AJ469" s="113">
        <v>0</v>
      </c>
      <c r="AK469" s="113">
        <v>0</v>
      </c>
    </row>
    <row r="470" spans="1:37" x14ac:dyDescent="0.25">
      <c r="A470" s="14" t="s">
        <v>70</v>
      </c>
      <c r="B470" s="118">
        <f>AG470+AH470+C470-(AJ470+AK470)</f>
        <v>0</v>
      </c>
      <c r="C470" s="8">
        <v>0</v>
      </c>
      <c r="D470" s="9">
        <v>0</v>
      </c>
      <c r="E470" s="9">
        <v>-0.8</v>
      </c>
      <c r="F470" s="9">
        <v>-0.7</v>
      </c>
      <c r="G470" s="9">
        <v>-0.7</v>
      </c>
      <c r="H470" s="224">
        <v>-0.7</v>
      </c>
      <c r="I470" s="337">
        <v>-0.6</v>
      </c>
      <c r="J470" s="57"/>
      <c r="K470" s="58">
        <f t="shared" si="433"/>
        <v>0</v>
      </c>
      <c r="L470" s="58">
        <f>C470/$C$23</f>
        <v>0</v>
      </c>
      <c r="M470" s="58">
        <f>D470/$D$23</f>
        <v>0</v>
      </c>
      <c r="N470" s="58">
        <f>E470/$E$23</f>
        <v>-5.0043788314775431E-4</v>
      </c>
      <c r="O470" s="58">
        <f>F470/$F$23</f>
        <v>-4.4739869615237116E-4</v>
      </c>
      <c r="P470" s="58">
        <f>G470/$G$23</f>
        <v>-4.7300493276572736E-4</v>
      </c>
      <c r="Q470" s="58">
        <f>H470/$H$23</f>
        <v>-5.8323612731211462E-4</v>
      </c>
      <c r="R470" s="58"/>
      <c r="S470" s="57"/>
      <c r="T470" s="57"/>
      <c r="U470" s="58"/>
      <c r="V470" s="58"/>
      <c r="W470" s="58"/>
      <c r="X470" s="58"/>
      <c r="Y470" s="58"/>
      <c r="Z470" s="58"/>
      <c r="AA470" s="58"/>
      <c r="AB470" s="58"/>
      <c r="AC470" s="58"/>
      <c r="AD470" s="58"/>
      <c r="AE470" s="57"/>
      <c r="AF470" s="57"/>
      <c r="AG470" s="113">
        <v>0</v>
      </c>
      <c r="AH470" s="150">
        <v>0</v>
      </c>
      <c r="AI470" s="113"/>
      <c r="AJ470" s="113">
        <v>0</v>
      </c>
      <c r="AK470" s="113">
        <v>0</v>
      </c>
    </row>
    <row r="471" spans="1:37" x14ac:dyDescent="0.25">
      <c r="A471" s="14" t="s">
        <v>46</v>
      </c>
      <c r="B471" s="189">
        <f>AG471+AH471+C471-(AJ471+AK471)</f>
        <v>0</v>
      </c>
      <c r="C471" s="190">
        <v>0</v>
      </c>
      <c r="D471" s="190">
        <v>0</v>
      </c>
      <c r="E471" s="190">
        <v>31.9</v>
      </c>
      <c r="F471" s="190">
        <v>0</v>
      </c>
      <c r="G471" s="190">
        <v>0</v>
      </c>
      <c r="H471" s="223">
        <v>0</v>
      </c>
      <c r="I471" s="113">
        <v>0</v>
      </c>
      <c r="J471" s="57"/>
      <c r="K471" s="80">
        <f t="shared" si="433"/>
        <v>0</v>
      </c>
      <c r="L471" s="80">
        <f>C471/$C$23</f>
        <v>0</v>
      </c>
      <c r="M471" s="80">
        <f>D471/$D$23</f>
        <v>0</v>
      </c>
      <c r="N471" s="80">
        <f>E471/$E$23</f>
        <v>1.9954960590516699E-2</v>
      </c>
      <c r="O471" s="80">
        <f>F471/$F$23</f>
        <v>0</v>
      </c>
      <c r="P471" s="80">
        <f>G471/$G$23</f>
        <v>0</v>
      </c>
      <c r="Q471" s="80">
        <f>H471/$H$23</f>
        <v>0</v>
      </c>
      <c r="R471" s="80"/>
      <c r="S471" s="57"/>
      <c r="T471" s="57"/>
      <c r="U471" s="80"/>
      <c r="V471" s="80"/>
      <c r="W471" s="80"/>
      <c r="X471" s="80"/>
      <c r="Y471" s="80"/>
      <c r="Z471" s="80"/>
      <c r="AA471" s="80"/>
      <c r="AB471" s="80"/>
      <c r="AC471" s="80"/>
      <c r="AD471" s="80"/>
      <c r="AE471" s="57"/>
      <c r="AF471" s="57"/>
      <c r="AG471" s="113">
        <v>0</v>
      </c>
      <c r="AH471" s="150">
        <v>0</v>
      </c>
      <c r="AI471" s="113"/>
      <c r="AJ471" s="113">
        <v>0</v>
      </c>
      <c r="AK471" s="113">
        <v>0</v>
      </c>
    </row>
    <row r="472" spans="1:37" x14ac:dyDescent="0.25">
      <c r="A472" s="188" t="s">
        <v>35</v>
      </c>
      <c r="B472" s="191">
        <f>AG472+AH472+C472-(AJ472+AK472)</f>
        <v>8.7999999999999972</v>
      </c>
      <c r="C472" s="84">
        <v>9.1999999999999993</v>
      </c>
      <c r="D472" s="84">
        <v>11</v>
      </c>
      <c r="E472" s="84">
        <v>24.6</v>
      </c>
      <c r="F472" s="84">
        <v>28</v>
      </c>
      <c r="G472" s="84">
        <v>21.7</v>
      </c>
      <c r="H472" s="84">
        <v>29.3</v>
      </c>
      <c r="I472" s="352">
        <v>13.2</v>
      </c>
      <c r="J472" s="57"/>
      <c r="K472" s="59">
        <f t="shared" si="433"/>
        <v>4.6107094205176564E-3</v>
      </c>
      <c r="L472" s="59">
        <f>C472/$C$23</f>
        <v>5.375715788243543E-3</v>
      </c>
      <c r="M472" s="59">
        <f>D472/$D$23</f>
        <v>6.6189301402009744E-3</v>
      </c>
      <c r="N472" s="59">
        <f>E472/$E$23</f>
        <v>1.5388464906793443E-2</v>
      </c>
      <c r="O472" s="59">
        <f>F472/$F$23</f>
        <v>1.7895947846094846E-2</v>
      </c>
      <c r="P472" s="59">
        <f>G472/$G$23</f>
        <v>1.4663152915737549E-2</v>
      </c>
      <c r="Q472" s="59">
        <f>H472/$H$23</f>
        <v>2.4412597900349942E-2</v>
      </c>
      <c r="R472" s="80"/>
      <c r="S472" s="57"/>
      <c r="T472" s="57"/>
      <c r="U472" s="59">
        <f>_xlfn.RRI(5.5,H472,B472)</f>
        <v>-0.19643517372434927</v>
      </c>
      <c r="V472" s="59">
        <f>_xlfn.RRI(5,H472,C472)</f>
        <v>-0.20679756015834672</v>
      </c>
      <c r="W472" s="59">
        <f>AVERAGE(X472:AC472)</f>
        <v>-0.14174196821227233</v>
      </c>
      <c r="X472" s="59">
        <f t="shared" ref="X472:AC472" si="435">(B472-C472)/C472</f>
        <v>-4.3478260869565452E-2</v>
      </c>
      <c r="Y472" s="59">
        <f t="shared" si="435"/>
        <v>-0.16363636363636369</v>
      </c>
      <c r="Z472" s="59">
        <f t="shared" si="435"/>
        <v>-0.55284552845528456</v>
      </c>
      <c r="AA472" s="59">
        <f t="shared" si="435"/>
        <v>-0.12142857142857137</v>
      </c>
      <c r="AB472" s="59">
        <f t="shared" si="435"/>
        <v>0.29032258064516131</v>
      </c>
      <c r="AC472" s="59">
        <f t="shared" si="435"/>
        <v>-0.25938566552901027</v>
      </c>
      <c r="AD472" s="80"/>
      <c r="AE472" s="57"/>
      <c r="AF472" s="73"/>
      <c r="AG472" s="84">
        <v>9.1999999999999993</v>
      </c>
      <c r="AH472" s="218">
        <v>10</v>
      </c>
      <c r="AI472" s="84"/>
      <c r="AJ472" s="84">
        <v>9.1999999999999993</v>
      </c>
      <c r="AK472" s="84">
        <v>10.4</v>
      </c>
    </row>
    <row r="473" spans="1:37" ht="15.75" thickBot="1" x14ac:dyDescent="0.3">
      <c r="A473" s="192" t="s">
        <v>315</v>
      </c>
      <c r="B473" s="215">
        <f>SUM(B468:B472)</f>
        <v>15.3</v>
      </c>
      <c r="C473" s="215">
        <f t="shared" ref="C473:H473" si="436">SUM(C468:C472)</f>
        <v>20.9</v>
      </c>
      <c r="D473" s="215">
        <f t="shared" si="436"/>
        <v>26</v>
      </c>
      <c r="E473" s="215">
        <f t="shared" si="436"/>
        <v>74.900000000000006</v>
      </c>
      <c r="F473" s="215">
        <f t="shared" si="436"/>
        <v>51.7</v>
      </c>
      <c r="G473" s="215">
        <f t="shared" si="436"/>
        <v>37.200000000000003</v>
      </c>
      <c r="H473" s="215">
        <f t="shared" si="436"/>
        <v>47.7</v>
      </c>
      <c r="I473" s="215">
        <f>SUM(I468:I472)</f>
        <v>40.299999999999997</v>
      </c>
      <c r="K473" s="219">
        <f t="shared" si="433"/>
        <v>8.0163470606727464E-3</v>
      </c>
      <c r="L473" s="220"/>
      <c r="M473" s="220"/>
      <c r="N473" s="220"/>
      <c r="O473" s="220"/>
      <c r="P473" s="220"/>
      <c r="Q473" s="220"/>
      <c r="U473" s="220"/>
      <c r="V473" s="220"/>
      <c r="W473" s="220"/>
      <c r="X473" s="220"/>
      <c r="Y473" s="220"/>
      <c r="Z473" s="220"/>
      <c r="AA473" s="220"/>
      <c r="AB473" s="220"/>
      <c r="AC473" s="220"/>
      <c r="AF473" s="220"/>
      <c r="AG473" s="215">
        <f>SUM(AG468:AG472)</f>
        <v>20.5</v>
      </c>
      <c r="AH473" s="216">
        <f t="shared" ref="AH473:AK473" si="437">SUM(AH468:AH472)</f>
        <v>21.7</v>
      </c>
      <c r="AI473" s="215"/>
      <c r="AJ473" s="215">
        <f t="shared" si="437"/>
        <v>22.7</v>
      </c>
      <c r="AK473" s="215">
        <f t="shared" si="437"/>
        <v>25.1</v>
      </c>
    </row>
    <row r="474" spans="1:37" ht="15.75" thickTop="1" x14ac:dyDescent="0.25">
      <c r="AH474" s="217"/>
    </row>
    <row r="475" spans="1:37" x14ac:dyDescent="0.25">
      <c r="A475" s="14" t="s">
        <v>51</v>
      </c>
      <c r="B475" s="118">
        <f>AG475+AH475+C475-(AJ475+AK475)</f>
        <v>20.799999999999997</v>
      </c>
      <c r="C475" s="8">
        <v>20.5</v>
      </c>
      <c r="D475" s="8">
        <v>21.3</v>
      </c>
      <c r="E475" s="8">
        <v>21.2</v>
      </c>
      <c r="F475" s="8">
        <v>22.1</v>
      </c>
      <c r="G475" s="8">
        <v>0</v>
      </c>
      <c r="H475" s="222">
        <v>0</v>
      </c>
      <c r="I475" s="113">
        <v>0</v>
      </c>
      <c r="J475" s="57"/>
      <c r="K475" s="58">
        <f>B475/$B$23</f>
        <v>1.089804044849628E-2</v>
      </c>
      <c r="L475" s="58">
        <f>C475/$C$23</f>
        <v>1.1978497136847024E-2</v>
      </c>
      <c r="M475" s="58">
        <f>D475/$D$23</f>
        <v>1.2816655635116433E-2</v>
      </c>
      <c r="N475" s="58">
        <f>E475/$E$23</f>
        <v>1.3261603903415487E-2</v>
      </c>
      <c r="O475" s="58">
        <f>F475/$F$23</f>
        <v>1.4125015978524863E-2</v>
      </c>
      <c r="P475" s="58">
        <f>G475/$G$23</f>
        <v>0</v>
      </c>
      <c r="Q475" s="58">
        <f>H475/$H$23</f>
        <v>0</v>
      </c>
      <c r="R475" s="58"/>
      <c r="S475" s="57"/>
      <c r="T475" s="57"/>
      <c r="U475" s="58"/>
      <c r="V475" s="58"/>
      <c r="W475" s="58"/>
      <c r="X475" s="58"/>
      <c r="Y475" s="58"/>
      <c r="Z475" s="58"/>
      <c r="AA475" s="58"/>
      <c r="AB475" s="58"/>
      <c r="AC475" s="58"/>
      <c r="AD475" s="58"/>
      <c r="AE475" s="57"/>
      <c r="AF475" s="57"/>
      <c r="AG475" s="8">
        <v>21.7</v>
      </c>
      <c r="AH475" s="144">
        <v>20.9</v>
      </c>
      <c r="AI475" s="135"/>
      <c r="AJ475" s="8">
        <v>20.9</v>
      </c>
      <c r="AK475" s="8">
        <v>21.4</v>
      </c>
    </row>
    <row r="476" spans="1:37" x14ac:dyDescent="0.25">
      <c r="A476" s="14" t="s">
        <v>52</v>
      </c>
      <c r="B476" s="120">
        <f>AG476+AH476+C476-(AJ476+AK476)</f>
        <v>4</v>
      </c>
      <c r="C476" s="23">
        <v>0</v>
      </c>
      <c r="D476" s="23">
        <v>2</v>
      </c>
      <c r="E476" s="23">
        <v>10.1</v>
      </c>
      <c r="F476" s="23">
        <v>10.199999999999999</v>
      </c>
      <c r="G476" s="23">
        <v>11.6</v>
      </c>
      <c r="H476" s="225">
        <v>11.4</v>
      </c>
      <c r="I476" s="341">
        <v>42.6</v>
      </c>
      <c r="J476" s="57"/>
      <c r="K476" s="59">
        <f>B476/$B$23</f>
        <v>2.0957770093262078E-3</v>
      </c>
      <c r="L476" s="59">
        <f>C476/$C$23</f>
        <v>0</v>
      </c>
      <c r="M476" s="59">
        <f>D476/$D$23</f>
        <v>1.2034418436729045E-3</v>
      </c>
      <c r="N476" s="59">
        <f>E476/$E$23</f>
        <v>6.3180282747403969E-3</v>
      </c>
      <c r="O476" s="59">
        <f>F476/$F$23</f>
        <v>6.519238143934551E-3</v>
      </c>
      <c r="P476" s="59">
        <f>G476/$G$23</f>
        <v>7.8383674572606258E-3</v>
      </c>
      <c r="Q476" s="59">
        <f>H476/$H$23</f>
        <v>9.4984169305115818E-3</v>
      </c>
      <c r="R476" s="80"/>
      <c r="S476" s="57"/>
      <c r="T476" s="57"/>
      <c r="U476" s="59">
        <f>_xlfn.RRI(5.5,H476,B476)</f>
        <v>-0.17338946774223929</v>
      </c>
      <c r="V476" s="59">
        <f>_xlfn.RRI(5,H476,C476)</f>
        <v>-1</v>
      </c>
      <c r="W476" s="59"/>
      <c r="X476" s="59"/>
      <c r="Y476" s="59"/>
      <c r="Z476" s="59"/>
      <c r="AA476" s="59"/>
      <c r="AB476" s="59"/>
      <c r="AC476" s="59"/>
      <c r="AD476" s="80"/>
      <c r="AE476" s="57"/>
      <c r="AF476" s="73"/>
      <c r="AG476" s="23">
        <v>4</v>
      </c>
      <c r="AH476" s="146">
        <v>0</v>
      </c>
      <c r="AI476" s="136"/>
      <c r="AJ476" s="23">
        <v>0</v>
      </c>
      <c r="AK476" s="23">
        <v>0</v>
      </c>
    </row>
    <row r="477" spans="1:37" ht="15.75" thickBot="1" x14ac:dyDescent="0.3">
      <c r="A477" s="195" t="s">
        <v>316</v>
      </c>
      <c r="B477" s="215">
        <f>SUM(B475:B476)</f>
        <v>24.799999999999997</v>
      </c>
      <c r="C477" s="215">
        <f t="shared" ref="C477:H477" si="438">SUM(C475:C476)</f>
        <v>20.5</v>
      </c>
      <c r="D477" s="215">
        <f t="shared" si="438"/>
        <v>23.3</v>
      </c>
      <c r="E477" s="215">
        <f t="shared" si="438"/>
        <v>31.299999999999997</v>
      </c>
      <c r="F477" s="215">
        <f t="shared" si="438"/>
        <v>32.299999999999997</v>
      </c>
      <c r="G477" s="215">
        <f t="shared" si="438"/>
        <v>11.6</v>
      </c>
      <c r="H477" s="215">
        <f t="shared" si="438"/>
        <v>11.4</v>
      </c>
      <c r="I477" s="215">
        <f>SUM(I475:I476)</f>
        <v>42.6</v>
      </c>
      <c r="K477" s="220"/>
      <c r="L477" s="220"/>
      <c r="M477" s="220"/>
      <c r="N477" s="220"/>
      <c r="O477" s="220"/>
      <c r="P477" s="220"/>
      <c r="Q477" s="220"/>
      <c r="U477" s="220"/>
      <c r="V477" s="220"/>
      <c r="W477" s="220"/>
      <c r="X477" s="220"/>
      <c r="Y477" s="220"/>
      <c r="Z477" s="220"/>
      <c r="AA477" s="220"/>
      <c r="AB477" s="220"/>
      <c r="AC477" s="220"/>
      <c r="AF477" s="220"/>
      <c r="AG477" s="215">
        <f>SUM(AG475:AG476)</f>
        <v>25.7</v>
      </c>
      <c r="AH477" s="216">
        <f t="shared" ref="AH477:AK477" si="439">SUM(AH475:AH476)</f>
        <v>20.9</v>
      </c>
      <c r="AI477" s="215"/>
      <c r="AJ477" s="215">
        <f t="shared" si="439"/>
        <v>20.9</v>
      </c>
      <c r="AK477" s="215">
        <f t="shared" si="439"/>
        <v>21.4</v>
      </c>
    </row>
    <row r="478" spans="1:37" ht="15.75" thickTop="1" x14ac:dyDescent="0.25">
      <c r="AH478" s="217"/>
    </row>
    <row r="479" spans="1:37" x14ac:dyDescent="0.25">
      <c r="A479" s="14" t="s">
        <v>55</v>
      </c>
      <c r="B479" s="118">
        <f>AG479+AH479+C479-(AJ479+AK479)</f>
        <v>29.600000000000009</v>
      </c>
      <c r="C479" s="8">
        <v>34.700000000000003</v>
      </c>
      <c r="D479" s="8">
        <v>38.6</v>
      </c>
      <c r="E479" s="8">
        <v>46.2</v>
      </c>
      <c r="F479" s="8">
        <v>46.6</v>
      </c>
      <c r="G479" s="8">
        <v>48.2</v>
      </c>
      <c r="H479" s="222">
        <v>46.3</v>
      </c>
      <c r="I479" s="336">
        <v>51.6</v>
      </c>
      <c r="J479" s="57"/>
      <c r="K479" s="58">
        <f>B479/$B$23</f>
        <v>1.5508749869013945E-2</v>
      </c>
      <c r="L479" s="58">
        <f>C479/$C$23</f>
        <v>2.0275797592614234E-2</v>
      </c>
      <c r="M479" s="58">
        <f>D479/$D$23</f>
        <v>2.3226427582887055E-2</v>
      </c>
      <c r="N479" s="58">
        <f>E479/$E$23</f>
        <v>2.890028775178281E-2</v>
      </c>
      <c r="O479" s="58">
        <f>F479/$F$23</f>
        <v>2.9783970343857852E-2</v>
      </c>
      <c r="P479" s="58">
        <f>G479/$G$23</f>
        <v>3.2569768227582944E-2</v>
      </c>
      <c r="Q479" s="58">
        <f>H479/$H$23</f>
        <v>3.8576903849358433E-2</v>
      </c>
      <c r="R479" s="58"/>
      <c r="S479" s="57"/>
      <c r="T479" s="57"/>
      <c r="U479" s="58">
        <f>_xlfn.RRI(5.5,H479,B479)</f>
        <v>-7.811939879878127E-2</v>
      </c>
      <c r="V479" s="58">
        <f>_xlfn.RRI(5,H479,C479)</f>
        <v>-5.6048465595558539E-2</v>
      </c>
      <c r="W479" s="58">
        <f>AVERAGE(X479:AC479)</f>
        <v>-6.8875748667361639E-2</v>
      </c>
      <c r="X479" s="58">
        <f t="shared" ref="X479:AC481" si="440">(B479-C479)/C479</f>
        <v>-0.1469740634005762</v>
      </c>
      <c r="Y479" s="58">
        <f t="shared" si="440"/>
        <v>-0.10103626943005177</v>
      </c>
      <c r="Z479" s="58">
        <f t="shared" si="440"/>
        <v>-0.16450216450216451</v>
      </c>
      <c r="AA479" s="58">
        <f t="shared" si="440"/>
        <v>-8.5836909871244323E-3</v>
      </c>
      <c r="AB479" s="58">
        <f t="shared" si="440"/>
        <v>-3.3195020746887995E-2</v>
      </c>
      <c r="AC479" s="58">
        <f t="shared" si="440"/>
        <v>4.1036717062635113E-2</v>
      </c>
      <c r="AD479" s="58"/>
      <c r="AE479" s="57"/>
      <c r="AF479" s="57"/>
      <c r="AG479" s="8">
        <v>35.299999999999997</v>
      </c>
      <c r="AH479" s="144">
        <v>35.1</v>
      </c>
      <c r="AI479" s="135"/>
      <c r="AJ479" s="8">
        <v>37.4</v>
      </c>
      <c r="AK479" s="8">
        <v>38.1</v>
      </c>
    </row>
    <row r="480" spans="1:37" x14ac:dyDescent="0.25">
      <c r="A480" s="14" t="s">
        <v>56</v>
      </c>
      <c r="B480" s="118">
        <f>AG480+AH480+C480-(AJ480+AK480)</f>
        <v>10.600000000000001</v>
      </c>
      <c r="C480" s="8">
        <v>21.5</v>
      </c>
      <c r="D480" s="8">
        <v>33.4</v>
      </c>
      <c r="E480" s="8">
        <v>21.3</v>
      </c>
      <c r="F480" s="8">
        <v>7.4</v>
      </c>
      <c r="G480" s="8">
        <v>6.8</v>
      </c>
      <c r="H480" s="222">
        <v>7.3</v>
      </c>
      <c r="I480" s="336">
        <v>6.3</v>
      </c>
      <c r="J480" s="57"/>
      <c r="K480" s="58">
        <f>B480/$B$23</f>
        <v>5.5538090747144523E-3</v>
      </c>
      <c r="L480" s="58">
        <f>C480/$C$23</f>
        <v>1.2562814070351758E-2</v>
      </c>
      <c r="M480" s="58">
        <f>D480/$D$23</f>
        <v>2.0097478789337504E-2</v>
      </c>
      <c r="N480" s="58">
        <f>E480/$E$23</f>
        <v>1.3324158638808958E-2</v>
      </c>
      <c r="O480" s="58">
        <f>F480/$F$23</f>
        <v>4.7296433593250666E-3</v>
      </c>
      <c r="P480" s="58">
        <f>G480/$G$23</f>
        <v>4.5949050611527806E-3</v>
      </c>
      <c r="Q480" s="58">
        <f>H480/$H$23</f>
        <v>6.0823196133977667E-3</v>
      </c>
      <c r="R480" s="58"/>
      <c r="S480" s="57"/>
      <c r="T480" s="57"/>
      <c r="U480" s="58">
        <f>_xlfn.RRI(5.5,H480,B480)</f>
        <v>7.0166755247763835E-2</v>
      </c>
      <c r="V480" s="58">
        <f>_xlfn.RRI(5,H480,C480)</f>
        <v>0.24114670873730493</v>
      </c>
      <c r="W480" s="58">
        <f>AVERAGE(X480:AC480)</f>
        <v>0.26715524497437315</v>
      </c>
      <c r="X480" s="58">
        <f t="shared" si="440"/>
        <v>-0.50697674418604644</v>
      </c>
      <c r="Y480" s="58">
        <f t="shared" si="440"/>
        <v>-0.35628742514970058</v>
      </c>
      <c r="Z480" s="58">
        <f t="shared" si="440"/>
        <v>0.56807511737089189</v>
      </c>
      <c r="AA480" s="58">
        <f t="shared" si="440"/>
        <v>1.8783783783783783</v>
      </c>
      <c r="AB480" s="58">
        <f t="shared" si="440"/>
        <v>8.8235294117647134E-2</v>
      </c>
      <c r="AC480" s="58">
        <f t="shared" si="440"/>
        <v>-6.8493150684931503E-2</v>
      </c>
      <c r="AD480" s="58"/>
      <c r="AE480" s="57"/>
      <c r="AF480" s="57"/>
      <c r="AG480" s="8">
        <v>22</v>
      </c>
      <c r="AH480" s="144">
        <v>23.2</v>
      </c>
      <c r="AI480" s="135"/>
      <c r="AJ480" s="8">
        <v>24.1</v>
      </c>
      <c r="AK480" s="8">
        <v>32</v>
      </c>
    </row>
    <row r="481" spans="1:37" x14ac:dyDescent="0.25">
      <c r="A481" s="14" t="s">
        <v>58</v>
      </c>
      <c r="B481" s="120">
        <f>AG481+AH481+C481-(AJ481+AK481)</f>
        <v>46.999999999999986</v>
      </c>
      <c r="C481" s="23">
        <v>44.2</v>
      </c>
      <c r="D481" s="23">
        <v>41.6</v>
      </c>
      <c r="E481" s="23">
        <v>45.9</v>
      </c>
      <c r="F481" s="23">
        <v>72.099999999999994</v>
      </c>
      <c r="G481" s="23">
        <v>80.400000000000006</v>
      </c>
      <c r="H481" s="225">
        <v>94</v>
      </c>
      <c r="I481" s="341">
        <v>82.1</v>
      </c>
      <c r="J481" s="57"/>
      <c r="K481" s="59">
        <f>B481/$B$23</f>
        <v>2.4625379859582935E-2</v>
      </c>
      <c r="L481" s="59">
        <f>C481/$C$23</f>
        <v>2.5826808460909196E-2</v>
      </c>
      <c r="M481" s="59">
        <f>D481/$D$23</f>
        <v>2.5031590348396412E-2</v>
      </c>
      <c r="N481" s="59">
        <f>E481/$E$23</f>
        <v>2.87126235456024E-2</v>
      </c>
      <c r="O481" s="59">
        <f>F481/$F$23</f>
        <v>4.6082065703694226E-2</v>
      </c>
      <c r="P481" s="59">
        <f>G481/$G$23</f>
        <v>5.4327995134806406E-2</v>
      </c>
      <c r="Q481" s="59">
        <f>H481/$H$23</f>
        <v>7.8320279953341107E-2</v>
      </c>
      <c r="R481" s="80"/>
      <c r="S481" s="57"/>
      <c r="T481" s="57"/>
      <c r="U481" s="59">
        <f>_xlfn.RRI(5.5,H481,B481)</f>
        <v>-0.11840874500397891</v>
      </c>
      <c r="V481" s="59">
        <f>_xlfn.RRI(5,H481,C481)</f>
        <v>-0.14007835008706104</v>
      </c>
      <c r="W481" s="59">
        <f>AVERAGE(X481:AC481)</f>
        <v>-9.6522061909707427E-2</v>
      </c>
      <c r="X481" s="59">
        <f t="shared" si="440"/>
        <v>6.3348416289592369E-2</v>
      </c>
      <c r="Y481" s="59">
        <f t="shared" si="440"/>
        <v>6.2500000000000028E-2</v>
      </c>
      <c r="Z481" s="59">
        <f t="shared" si="440"/>
        <v>-9.3681917211328916E-2</v>
      </c>
      <c r="AA481" s="59">
        <f t="shared" si="440"/>
        <v>-0.36338418862690702</v>
      </c>
      <c r="AB481" s="59">
        <f t="shared" si="440"/>
        <v>-0.10323383084577128</v>
      </c>
      <c r="AC481" s="59">
        <f t="shared" si="440"/>
        <v>-0.14468085106382972</v>
      </c>
      <c r="AD481" s="80"/>
      <c r="AE481" s="57"/>
      <c r="AF481" s="73"/>
      <c r="AG481" s="23">
        <v>43</v>
      </c>
      <c r="AH481" s="146">
        <v>45</v>
      </c>
      <c r="AI481" s="136"/>
      <c r="AJ481" s="23">
        <v>42.6</v>
      </c>
      <c r="AK481" s="23">
        <v>42.6</v>
      </c>
    </row>
    <row r="482" spans="1:37" ht="15.75" thickBot="1" x14ac:dyDescent="0.3">
      <c r="A482" s="195" t="s">
        <v>317</v>
      </c>
      <c r="B482" s="215">
        <f>SUM(B479:B481)</f>
        <v>87.199999999999989</v>
      </c>
      <c r="C482" s="215">
        <f t="shared" ref="C482:H482" si="441">SUM(C479:C481)</f>
        <v>100.4</v>
      </c>
      <c r="D482" s="215">
        <f t="shared" si="441"/>
        <v>113.6</v>
      </c>
      <c r="E482" s="215">
        <f t="shared" si="441"/>
        <v>113.4</v>
      </c>
      <c r="F482" s="215">
        <f t="shared" si="441"/>
        <v>126.1</v>
      </c>
      <c r="G482" s="215">
        <f t="shared" si="441"/>
        <v>135.4</v>
      </c>
      <c r="H482" s="215">
        <f t="shared" si="441"/>
        <v>147.6</v>
      </c>
      <c r="I482" s="215">
        <f>SUM(I479:I481)</f>
        <v>140</v>
      </c>
      <c r="K482" s="220"/>
      <c r="L482" s="220"/>
      <c r="M482" s="220"/>
      <c r="N482" s="220"/>
      <c r="O482" s="220"/>
      <c r="P482" s="220"/>
      <c r="Q482" s="220"/>
      <c r="U482" s="220"/>
      <c r="V482" s="220"/>
      <c r="W482" s="220"/>
      <c r="X482" s="220"/>
      <c r="Y482" s="220"/>
      <c r="Z482" s="220"/>
      <c r="AA482" s="220"/>
      <c r="AB482" s="220"/>
      <c r="AC482" s="220"/>
      <c r="AF482" s="220"/>
      <c r="AG482" s="215">
        <f>SUM(AG479:AG481)</f>
        <v>100.3</v>
      </c>
      <c r="AH482" s="216">
        <f t="shared" ref="AH482:AK482" si="442">SUM(AH479:AH481)</f>
        <v>103.3</v>
      </c>
      <c r="AI482" s="215"/>
      <c r="AJ482" s="215">
        <f t="shared" si="442"/>
        <v>104.1</v>
      </c>
      <c r="AK482" s="215">
        <f t="shared" si="442"/>
        <v>112.69999999999999</v>
      </c>
    </row>
    <row r="483" spans="1:37" ht="15.75" thickTop="1" x14ac:dyDescent="0.25">
      <c r="B483" s="61"/>
      <c r="C483" s="61"/>
      <c r="D483" s="61"/>
      <c r="E483" s="61"/>
      <c r="F483" s="61"/>
      <c r="G483" s="61"/>
      <c r="H483" s="61"/>
      <c r="I483" s="61"/>
      <c r="J483" s="57"/>
      <c r="K483" s="80"/>
      <c r="L483" s="80"/>
      <c r="M483" s="80"/>
      <c r="N483" s="80"/>
      <c r="O483" s="80"/>
      <c r="P483" s="80"/>
      <c r="Q483" s="80"/>
      <c r="R483" s="80"/>
      <c r="S483" s="57"/>
      <c r="T483" s="57"/>
      <c r="U483" s="58"/>
      <c r="V483" s="58"/>
      <c r="W483" s="58"/>
      <c r="X483" s="58"/>
      <c r="Y483" s="58"/>
      <c r="Z483" s="58"/>
      <c r="AA483" s="58"/>
      <c r="AB483" s="58"/>
      <c r="AC483" s="58"/>
      <c r="AD483" s="58"/>
      <c r="AE483" s="57"/>
      <c r="AF483" s="132"/>
      <c r="AG483" s="132"/>
      <c r="AH483" s="168"/>
      <c r="AI483" s="132"/>
      <c r="AJ483" s="132"/>
      <c r="AK483" s="132"/>
    </row>
    <row r="484" spans="1:37" ht="15" customHeight="1" x14ac:dyDescent="0.25">
      <c r="A484" s="14" t="s">
        <v>109</v>
      </c>
      <c r="B484" s="61">
        <f>C484+AG484-AJ484</f>
        <v>142.6</v>
      </c>
      <c r="C484" s="9">
        <v>140.1</v>
      </c>
      <c r="D484" s="9">
        <v>135.9</v>
      </c>
      <c r="E484" s="9">
        <v>131.80000000000001</v>
      </c>
      <c r="F484" s="9">
        <v>136.19999999999999</v>
      </c>
      <c r="G484" s="9">
        <v>145.69999999999999</v>
      </c>
      <c r="H484" s="224">
        <v>121.9</v>
      </c>
      <c r="I484" s="337">
        <v>116.8</v>
      </c>
      <c r="J484" s="57"/>
      <c r="K484" s="80">
        <f>B484/$B$23</f>
        <v>7.4714450382479314E-2</v>
      </c>
      <c r="L484" s="80">
        <f>C484/$C$23</f>
        <v>8.1862802384013084E-2</v>
      </c>
      <c r="M484" s="80">
        <f>D484/$D$23</f>
        <v>8.1773873277573864E-2</v>
      </c>
      <c r="N484" s="80">
        <f>E484/$E$23</f>
        <v>8.2447141248592523E-2</v>
      </c>
      <c r="O484" s="80">
        <f>F484/$F$23</f>
        <v>8.7051003451361353E-2</v>
      </c>
      <c r="P484" s="80">
        <f>G484/$G$23</f>
        <v>9.8452598148523529E-2</v>
      </c>
      <c r="Q484" s="80">
        <f>H484/$H$23</f>
        <v>0.10156640559906682</v>
      </c>
      <c r="R484" s="80"/>
      <c r="S484" s="57"/>
      <c r="T484" s="57"/>
      <c r="U484" s="58">
        <f>_xlfn.RRI(5.5,H484,B484)</f>
        <v>2.8927310042646148E-2</v>
      </c>
      <c r="V484" s="58">
        <f>_xlfn.RRI(5,H484,C484)</f>
        <v>2.8221985959977935E-2</v>
      </c>
      <c r="W484" s="58">
        <f t="shared" si="408"/>
        <v>-2.9598551790714467E-2</v>
      </c>
      <c r="X484" s="58">
        <f t="shared" ref="X484:AC486" si="443">(C484-B484)/C484</f>
        <v>-1.7844396859386154E-2</v>
      </c>
      <c r="Y484" s="58">
        <f t="shared" si="443"/>
        <v>-3.0905077262693072E-2</v>
      </c>
      <c r="Z484" s="58">
        <f t="shared" si="443"/>
        <v>-3.1107738998482504E-2</v>
      </c>
      <c r="AA484" s="58">
        <f t="shared" si="443"/>
        <v>3.230543318649029E-2</v>
      </c>
      <c r="AB484" s="58">
        <f t="shared" si="443"/>
        <v>6.5202470830473577E-2</v>
      </c>
      <c r="AC484" s="58">
        <f t="shared" si="443"/>
        <v>-0.19524200164068894</v>
      </c>
      <c r="AD484" s="58"/>
      <c r="AE484" s="57"/>
      <c r="AF484" s="132"/>
      <c r="AG484" s="9">
        <v>39.9</v>
      </c>
      <c r="AH484" s="148">
        <v>37.6</v>
      </c>
      <c r="AI484" s="53"/>
      <c r="AJ484" s="9">
        <v>37.4</v>
      </c>
      <c r="AK484" s="9">
        <v>35.6</v>
      </c>
    </row>
    <row r="485" spans="1:37" ht="15" customHeight="1" x14ac:dyDescent="0.25">
      <c r="A485" s="14" t="s">
        <v>86</v>
      </c>
      <c r="B485" s="68">
        <f>C485+AG485-AJ485</f>
        <v>13.8</v>
      </c>
      <c r="C485" s="10">
        <v>13.2</v>
      </c>
      <c r="D485" s="10">
        <v>13</v>
      </c>
      <c r="E485" s="10">
        <v>11.3</v>
      </c>
      <c r="F485" s="10">
        <v>12.1</v>
      </c>
      <c r="G485" s="10">
        <v>12.5</v>
      </c>
      <c r="H485" s="226">
        <v>10.6</v>
      </c>
      <c r="I485" s="337">
        <v>8.9</v>
      </c>
      <c r="J485" s="57"/>
      <c r="K485" s="59">
        <f>B485/$B$23</f>
        <v>7.2304306821754181E-3</v>
      </c>
      <c r="L485" s="59">
        <f>C485/$C$23</f>
        <v>7.7129835222624742E-3</v>
      </c>
      <c r="M485" s="59">
        <f>D485/$D$23</f>
        <v>7.822371983873878E-3</v>
      </c>
      <c r="N485" s="59">
        <f>E485/$E$23</f>
        <v>7.0686850994620288E-3</v>
      </c>
      <c r="O485" s="59">
        <f>F485/$F$23</f>
        <v>7.7336060334909874E-3</v>
      </c>
      <c r="P485" s="59">
        <f>G485/$G$23</f>
        <v>8.4465166565308464E-3</v>
      </c>
      <c r="Q485" s="59">
        <f>H485/$H$23</f>
        <v>8.8318613564405922E-3</v>
      </c>
      <c r="R485" s="80"/>
      <c r="S485" s="57"/>
      <c r="T485" s="57"/>
      <c r="U485" s="59">
        <f>_xlfn.RRI(5.5,H485,B485)</f>
        <v>4.9135287623395474E-2</v>
      </c>
      <c r="V485" s="59">
        <f>_xlfn.RRI(5,H485,C485)</f>
        <v>4.4849196772801969E-2</v>
      </c>
      <c r="W485" s="59">
        <f t="shared" si="408"/>
        <v>-4.8735203209132695E-2</v>
      </c>
      <c r="X485" s="59">
        <f t="shared" si="443"/>
        <v>-4.5454545454545567E-2</v>
      </c>
      <c r="Y485" s="59">
        <f t="shared" si="443"/>
        <v>-1.538461538461533E-2</v>
      </c>
      <c r="Z485" s="59">
        <f t="shared" si="443"/>
        <v>-0.15044247787610612</v>
      </c>
      <c r="AA485" s="59">
        <f t="shared" si="443"/>
        <v>6.6115702479338762E-2</v>
      </c>
      <c r="AB485" s="59">
        <f t="shared" si="443"/>
        <v>3.2000000000000028E-2</v>
      </c>
      <c r="AC485" s="59">
        <f t="shared" si="443"/>
        <v>-0.17924528301886797</v>
      </c>
      <c r="AD485" s="80"/>
      <c r="AE485" s="57"/>
      <c r="AF485" s="173"/>
      <c r="AG485" s="10">
        <v>3.8</v>
      </c>
      <c r="AH485" s="149">
        <v>4</v>
      </c>
      <c r="AI485" s="54"/>
      <c r="AJ485" s="10">
        <v>3.2</v>
      </c>
      <c r="AK485" s="10">
        <v>3.5</v>
      </c>
    </row>
    <row r="486" spans="1:37" ht="15.75" thickBot="1" x14ac:dyDescent="0.3">
      <c r="A486" s="6" t="s">
        <v>110</v>
      </c>
      <c r="B486" s="103">
        <f>SUM(B484:B485)</f>
        <v>156.4</v>
      </c>
      <c r="C486" s="103">
        <f>SUM(C484:C485)</f>
        <v>153.29999999999998</v>
      </c>
      <c r="D486" s="103">
        <f t="shared" ref="D486:H486" si="444">SUM(D484:D485)</f>
        <v>148.9</v>
      </c>
      <c r="E486" s="103">
        <f t="shared" si="444"/>
        <v>143.10000000000002</v>
      </c>
      <c r="F486" s="103">
        <f t="shared" si="444"/>
        <v>148.29999999999998</v>
      </c>
      <c r="G486" s="103">
        <f t="shared" si="444"/>
        <v>158.19999999999999</v>
      </c>
      <c r="H486" s="103">
        <f t="shared" si="444"/>
        <v>132.5</v>
      </c>
      <c r="I486" s="103">
        <f>SUM(I484:I485)</f>
        <v>125.7</v>
      </c>
      <c r="J486" s="57"/>
      <c r="K486" s="19">
        <f>B486/$B$23</f>
        <v>8.1944881064654737E-2</v>
      </c>
      <c r="L486" s="19">
        <f>C486/$C$23</f>
        <v>8.9575785906275546E-2</v>
      </c>
      <c r="M486" s="19">
        <f>D486/$D$23</f>
        <v>8.9596245261447743E-2</v>
      </c>
      <c r="N486" s="19">
        <f>E486/$E$23</f>
        <v>8.951582634805455E-2</v>
      </c>
      <c r="O486" s="19">
        <f>F486/$F$23</f>
        <v>9.4784609484852345E-2</v>
      </c>
      <c r="P486" s="19">
        <f>G486/$G$23</f>
        <v>0.10689911480505439</v>
      </c>
      <c r="Q486" s="19">
        <f>H486/$H$23</f>
        <v>0.11039826695550742</v>
      </c>
      <c r="R486" s="32"/>
      <c r="S486" s="57"/>
      <c r="T486" s="57"/>
      <c r="U486" s="211">
        <f>_xlfn.RRI(5.5,H486,B486)</f>
        <v>3.0610834411654242E-2</v>
      </c>
      <c r="V486" s="211">
        <f>_xlfn.RRI(5,H486,C486)</f>
        <v>2.9592227363256507E-2</v>
      </c>
      <c r="W486" s="211">
        <f t="shared" si="408"/>
        <v>-3.1103684827474647E-2</v>
      </c>
      <c r="X486" s="211">
        <f t="shared" si="443"/>
        <v>-2.0221787345075168E-2</v>
      </c>
      <c r="Y486" s="211">
        <f t="shared" si="443"/>
        <v>-2.9550033579583461E-2</v>
      </c>
      <c r="Z486" s="211">
        <f t="shared" si="443"/>
        <v>-4.0531097134870596E-2</v>
      </c>
      <c r="AA486" s="211">
        <f t="shared" si="443"/>
        <v>3.5064059339177077E-2</v>
      </c>
      <c r="AB486" s="211">
        <f t="shared" si="443"/>
        <v>6.2579013906447573E-2</v>
      </c>
      <c r="AC486" s="211">
        <f t="shared" si="443"/>
        <v>-0.19396226415094331</v>
      </c>
      <c r="AD486" s="80"/>
      <c r="AE486" s="57"/>
      <c r="AF486" s="212"/>
      <c r="AG486" s="212">
        <f>SUM(AG484:AG485)</f>
        <v>43.699999999999996</v>
      </c>
      <c r="AH486" s="213">
        <f t="shared" ref="AH486" si="445">SUM(AH484:AH485)</f>
        <v>41.6</v>
      </c>
      <c r="AI486" s="212"/>
      <c r="AJ486" s="212">
        <f>SUM(AJ484:AJ485)</f>
        <v>40.6</v>
      </c>
      <c r="AK486" s="212">
        <f>SUM(AK484:AK485)</f>
        <v>39.1</v>
      </c>
    </row>
    <row r="487" spans="1:37" ht="15.75" thickTop="1" x14ac:dyDescent="0.25">
      <c r="B487" s="61"/>
      <c r="C487" s="61"/>
      <c r="D487" s="61"/>
      <c r="E487" s="61"/>
      <c r="F487" s="61"/>
      <c r="G487" s="61"/>
      <c r="H487" s="61"/>
      <c r="I487" s="61"/>
      <c r="J487" s="57"/>
      <c r="K487" s="57"/>
      <c r="L487" s="57"/>
      <c r="M487" s="57"/>
      <c r="N487" s="57"/>
      <c r="O487" s="57"/>
      <c r="P487" s="57"/>
      <c r="Q487" s="57"/>
      <c r="R487" s="57"/>
      <c r="S487" s="57"/>
      <c r="T487" s="57"/>
      <c r="U487" s="58"/>
      <c r="V487" s="58"/>
      <c r="W487" s="58"/>
      <c r="X487" s="58"/>
      <c r="Y487" s="58"/>
      <c r="Z487" s="58"/>
      <c r="AA487" s="58"/>
      <c r="AB487" s="58"/>
      <c r="AC487" s="58"/>
      <c r="AD487" s="58"/>
      <c r="AE487" s="57"/>
      <c r="AF487" s="132"/>
      <c r="AG487" s="132"/>
      <c r="AH487" s="168"/>
      <c r="AI487" s="132"/>
      <c r="AJ487" s="132"/>
      <c r="AK487" s="132"/>
    </row>
    <row r="488" spans="1:37" s="35" customFormat="1" ht="15" customHeight="1" x14ac:dyDescent="0.25">
      <c r="A488" s="37" t="s">
        <v>95</v>
      </c>
      <c r="B488" s="38"/>
      <c r="C488" s="9">
        <v>3</v>
      </c>
      <c r="D488" s="9">
        <v>5.2</v>
      </c>
      <c r="E488" s="9">
        <v>0.7</v>
      </c>
      <c r="F488" s="9">
        <v>-14.9</v>
      </c>
      <c r="G488" s="9">
        <v>-0.5</v>
      </c>
      <c r="H488" s="224">
        <v>0.2</v>
      </c>
      <c r="I488" s="337">
        <v>-0.2</v>
      </c>
      <c r="U488" s="58">
        <f t="shared" ref="U488:U494" si="446">_xlfn.RRI(5.5,H488,B488)</f>
        <v>-1</v>
      </c>
      <c r="V488" s="58">
        <f t="shared" ref="V488:V494" si="447">_xlfn.RRI(5,H488,C488)</f>
        <v>0.71877192758747888</v>
      </c>
      <c r="W488" s="58">
        <f t="shared" si="408"/>
        <v>-4.8764191066204488</v>
      </c>
      <c r="X488" s="58">
        <f t="shared" ref="X488:AC494" si="448">(C488-B488)/C488</f>
        <v>1</v>
      </c>
      <c r="Y488" s="58">
        <f t="shared" si="448"/>
        <v>0.42307692307692307</v>
      </c>
      <c r="Z488" s="58">
        <f t="shared" si="448"/>
        <v>-6.4285714285714288</v>
      </c>
      <c r="AA488" s="58">
        <f t="shared" si="448"/>
        <v>1.0469798657718121</v>
      </c>
      <c r="AB488" s="58">
        <f t="shared" si="448"/>
        <v>-28.8</v>
      </c>
      <c r="AC488" s="58">
        <f t="shared" si="448"/>
        <v>3.4999999999999996</v>
      </c>
      <c r="AD488" s="58"/>
      <c r="AF488" s="38"/>
      <c r="AG488" s="38"/>
      <c r="AH488" s="158"/>
      <c r="AI488" s="38"/>
      <c r="AJ488" s="38"/>
      <c r="AK488" s="38"/>
    </row>
    <row r="489" spans="1:37" s="35" customFormat="1" ht="15" customHeight="1" x14ac:dyDescent="0.25">
      <c r="A489" s="37" t="s">
        <v>96</v>
      </c>
      <c r="B489" s="38"/>
      <c r="C489" s="9">
        <v>-0.6</v>
      </c>
      <c r="D489" s="9">
        <v>1.1000000000000001</v>
      </c>
      <c r="E489" s="9">
        <v>1.6</v>
      </c>
      <c r="F489" s="9">
        <v>0.4</v>
      </c>
      <c r="G489" s="9">
        <v>-0.2</v>
      </c>
      <c r="H489" s="224">
        <v>-1.2</v>
      </c>
      <c r="I489" s="337">
        <v>0.5</v>
      </c>
      <c r="U489" s="58">
        <f t="shared" si="446"/>
        <v>-1</v>
      </c>
      <c r="V489" s="58">
        <f t="shared" si="447"/>
        <v>-0.12944943670387588</v>
      </c>
      <c r="W489" s="58">
        <f t="shared" si="408"/>
        <v>0.61521464646464652</v>
      </c>
      <c r="X489" s="58">
        <f t="shared" si="448"/>
        <v>1</v>
      </c>
      <c r="Y489" s="58">
        <f t="shared" si="448"/>
        <v>1.5454545454545454</v>
      </c>
      <c r="Z489" s="58">
        <f t="shared" si="448"/>
        <v>0.3125</v>
      </c>
      <c r="AA489" s="58">
        <f t="shared" si="448"/>
        <v>-3.0000000000000004</v>
      </c>
      <c r="AB489" s="58">
        <f t="shared" si="448"/>
        <v>3.0000000000000004</v>
      </c>
      <c r="AC489" s="58">
        <f t="shared" si="448"/>
        <v>0.83333333333333337</v>
      </c>
      <c r="AD489" s="58"/>
      <c r="AF489" s="38"/>
      <c r="AG489" s="38"/>
      <c r="AH489" s="158"/>
      <c r="AI489" s="38"/>
      <c r="AJ489" s="38"/>
      <c r="AK489" s="38"/>
    </row>
    <row r="490" spans="1:37" s="35" customFormat="1" ht="15" customHeight="1" x14ac:dyDescent="0.25">
      <c r="A490" s="37" t="s">
        <v>97</v>
      </c>
      <c r="B490" s="38"/>
      <c r="C490" s="9">
        <v>0.2</v>
      </c>
      <c r="D490" s="9">
        <v>10.6</v>
      </c>
      <c r="E490" s="9">
        <v>6.1</v>
      </c>
      <c r="F490" s="9">
        <v>3.1</v>
      </c>
      <c r="G490" s="9">
        <v>9.6</v>
      </c>
      <c r="H490" s="224">
        <v>2.6</v>
      </c>
      <c r="I490" s="337">
        <v>-1.6</v>
      </c>
      <c r="U490" s="58">
        <f t="shared" si="446"/>
        <v>-1</v>
      </c>
      <c r="V490" s="58">
        <f t="shared" si="447"/>
        <v>-0.40129714445850229</v>
      </c>
      <c r="W490" s="58">
        <f t="shared" si="408"/>
        <v>-0.28992318950321971</v>
      </c>
      <c r="X490" s="58">
        <f t="shared" si="448"/>
        <v>1</v>
      </c>
      <c r="Y490" s="58">
        <f t="shared" si="448"/>
        <v>0.98113207547169823</v>
      </c>
      <c r="Z490" s="58">
        <f t="shared" si="448"/>
        <v>-0.73770491803278693</v>
      </c>
      <c r="AA490" s="58">
        <f t="shared" si="448"/>
        <v>-0.96774193548387077</v>
      </c>
      <c r="AB490" s="58">
        <f t="shared" si="448"/>
        <v>0.67708333333333337</v>
      </c>
      <c r="AC490" s="58">
        <f t="shared" si="448"/>
        <v>-2.6923076923076921</v>
      </c>
      <c r="AD490" s="58"/>
      <c r="AF490" s="38"/>
      <c r="AG490" s="38"/>
      <c r="AH490" s="158"/>
      <c r="AI490" s="38"/>
      <c r="AJ490" s="38"/>
      <c r="AK490" s="38"/>
    </row>
    <row r="491" spans="1:37" s="35" customFormat="1" ht="15" customHeight="1" x14ac:dyDescent="0.25">
      <c r="A491" s="37" t="s">
        <v>98</v>
      </c>
      <c r="B491" s="38"/>
      <c r="C491" s="9">
        <v>28.4</v>
      </c>
      <c r="D491" s="9">
        <v>18.2</v>
      </c>
      <c r="E491" s="9">
        <v>11.1</v>
      </c>
      <c r="F491" s="9">
        <v>14.4</v>
      </c>
      <c r="G491" s="9">
        <v>17.899999999999999</v>
      </c>
      <c r="H491" s="224">
        <v>15.7</v>
      </c>
      <c r="I491" s="337">
        <v>13.3</v>
      </c>
      <c r="U491" s="58">
        <f t="shared" si="446"/>
        <v>-1</v>
      </c>
      <c r="V491" s="58">
        <f t="shared" si="447"/>
        <v>0.12585830952313648</v>
      </c>
      <c r="W491" s="58">
        <f t="shared" si="408"/>
        <v>1.4081800718236323E-2</v>
      </c>
      <c r="X491" s="58">
        <f t="shared" si="448"/>
        <v>1</v>
      </c>
      <c r="Y491" s="58">
        <f t="shared" si="448"/>
        <v>-0.56043956043956045</v>
      </c>
      <c r="Z491" s="58">
        <f t="shared" si="448"/>
        <v>-0.63963963963963966</v>
      </c>
      <c r="AA491" s="58">
        <f t="shared" si="448"/>
        <v>0.22916666666666671</v>
      </c>
      <c r="AB491" s="58">
        <f t="shared" si="448"/>
        <v>0.19553072625698315</v>
      </c>
      <c r="AC491" s="58">
        <f t="shared" si="448"/>
        <v>-0.14012738853503182</v>
      </c>
      <c r="AD491" s="58"/>
      <c r="AF491" s="38"/>
      <c r="AG491" s="38"/>
      <c r="AH491" s="158"/>
      <c r="AI491" s="38"/>
      <c r="AJ491" s="38"/>
      <c r="AK491" s="38"/>
    </row>
    <row r="492" spans="1:37" s="35" customFormat="1" ht="15" customHeight="1" x14ac:dyDescent="0.25">
      <c r="A492" s="196" t="s">
        <v>99</v>
      </c>
      <c r="B492" s="38"/>
      <c r="C492" s="53">
        <v>0.6</v>
      </c>
      <c r="D492" s="9">
        <v>0.9</v>
      </c>
      <c r="E492" s="9">
        <v>0.7</v>
      </c>
      <c r="F492" s="9">
        <v>0.5</v>
      </c>
      <c r="G492" s="9">
        <v>0.1</v>
      </c>
      <c r="H492" s="9">
        <v>0.6</v>
      </c>
      <c r="I492" s="337">
        <v>1.3</v>
      </c>
      <c r="U492" s="58">
        <f t="shared" si="446"/>
        <v>-1</v>
      </c>
      <c r="V492" s="58">
        <f t="shared" si="447"/>
        <v>0</v>
      </c>
      <c r="W492" s="58">
        <f t="shared" si="408"/>
        <v>-0.41984126984126974</v>
      </c>
      <c r="X492" s="58">
        <f t="shared" si="448"/>
        <v>1</v>
      </c>
      <c r="Y492" s="58">
        <f t="shared" si="448"/>
        <v>0.33333333333333337</v>
      </c>
      <c r="Z492" s="58">
        <f t="shared" si="448"/>
        <v>-0.28571428571428581</v>
      </c>
      <c r="AA492" s="58">
        <f t="shared" si="448"/>
        <v>-0.39999999999999991</v>
      </c>
      <c r="AB492" s="58">
        <f t="shared" si="448"/>
        <v>-4</v>
      </c>
      <c r="AC492" s="58">
        <f t="shared" si="448"/>
        <v>0.83333333333333337</v>
      </c>
      <c r="AD492" s="58"/>
      <c r="AF492" s="38"/>
      <c r="AG492" s="38"/>
      <c r="AH492" s="158"/>
      <c r="AI492" s="38"/>
      <c r="AJ492" s="38"/>
      <c r="AK492" s="38"/>
    </row>
    <row r="493" spans="1:37" s="35" customFormat="1" ht="15" customHeight="1" x14ac:dyDescent="0.25">
      <c r="A493" s="196" t="s">
        <v>100</v>
      </c>
      <c r="B493" s="48"/>
      <c r="C493" s="54">
        <v>0</v>
      </c>
      <c r="D493" s="10">
        <v>-1.5</v>
      </c>
      <c r="E493" s="10">
        <v>0.8</v>
      </c>
      <c r="F493" s="10">
        <v>-3.5</v>
      </c>
      <c r="G493" s="10">
        <v>-1.2</v>
      </c>
      <c r="H493" s="10">
        <v>11.1</v>
      </c>
      <c r="I493" s="337">
        <v>-1.9</v>
      </c>
      <c r="K493" s="169"/>
      <c r="L493" s="169"/>
      <c r="M493" s="169"/>
      <c r="N493" s="169"/>
      <c r="O493" s="169"/>
      <c r="P493" s="169"/>
      <c r="Q493" s="169"/>
      <c r="U493" s="59">
        <f t="shared" si="446"/>
        <v>-1</v>
      </c>
      <c r="V493" s="59">
        <f t="shared" si="447"/>
        <v>-1</v>
      </c>
      <c r="W493" s="59" t="e">
        <f t="shared" si="408"/>
        <v>#DIV/0!</v>
      </c>
      <c r="X493" s="59" t="e">
        <f t="shared" si="448"/>
        <v>#DIV/0!</v>
      </c>
      <c r="Y493" s="59">
        <f t="shared" si="448"/>
        <v>1</v>
      </c>
      <c r="Z493" s="59">
        <f t="shared" si="448"/>
        <v>2.8749999999999996</v>
      </c>
      <c r="AA493" s="59">
        <f t="shared" si="448"/>
        <v>1.2285714285714284</v>
      </c>
      <c r="AB493" s="59">
        <f t="shared" si="448"/>
        <v>-1.9166666666666665</v>
      </c>
      <c r="AC493" s="59">
        <f t="shared" si="448"/>
        <v>1.1081081081081081</v>
      </c>
      <c r="AD493" s="80"/>
      <c r="AF493" s="48"/>
      <c r="AG493" s="48"/>
      <c r="AH493" s="227"/>
      <c r="AI493" s="48"/>
      <c r="AJ493" s="48"/>
      <c r="AK493" s="48"/>
    </row>
    <row r="494" spans="1:37" ht="15.75" thickBot="1" x14ac:dyDescent="0.3">
      <c r="A494" s="105" t="s">
        <v>113</v>
      </c>
      <c r="B494" s="106"/>
      <c r="C494" s="103">
        <f>SUM(C488:C493)</f>
        <v>31.6</v>
      </c>
      <c r="D494" s="103">
        <f t="shared" ref="D494:H494" si="449">SUM(D488:D493)</f>
        <v>34.499999999999993</v>
      </c>
      <c r="E494" s="103">
        <f t="shared" si="449"/>
        <v>21</v>
      </c>
      <c r="F494" s="103">
        <f t="shared" si="449"/>
        <v>0</v>
      </c>
      <c r="G494" s="103">
        <f t="shared" si="449"/>
        <v>25.7</v>
      </c>
      <c r="H494" s="103">
        <f t="shared" si="449"/>
        <v>29</v>
      </c>
      <c r="I494" s="103">
        <f>SUM(I488:I493)</f>
        <v>11.4</v>
      </c>
      <c r="J494" s="57"/>
      <c r="K494" s="221"/>
      <c r="L494" s="221"/>
      <c r="M494" s="221"/>
      <c r="N494" s="221"/>
      <c r="O494" s="221"/>
      <c r="P494" s="221"/>
      <c r="Q494" s="221"/>
      <c r="R494" s="57"/>
      <c r="S494" s="57"/>
      <c r="T494" s="57"/>
      <c r="U494" s="214">
        <f t="shared" si="446"/>
        <v>-1</v>
      </c>
      <c r="V494" s="214">
        <f t="shared" si="447"/>
        <v>1.7320548959203874E-2</v>
      </c>
      <c r="W494" s="214" t="e">
        <f t="shared" si="408"/>
        <v>#DIV/0!</v>
      </c>
      <c r="X494" s="214">
        <f t="shared" si="448"/>
        <v>1</v>
      </c>
      <c r="Y494" s="214">
        <f t="shared" si="448"/>
        <v>8.4057971014492527E-2</v>
      </c>
      <c r="Z494" s="214">
        <f t="shared" si="448"/>
        <v>-0.64285714285714257</v>
      </c>
      <c r="AA494" s="214" t="e">
        <f t="shared" si="448"/>
        <v>#DIV/0!</v>
      </c>
      <c r="AB494" s="214">
        <f t="shared" si="448"/>
        <v>1</v>
      </c>
      <c r="AC494" s="214">
        <f t="shared" si="448"/>
        <v>0.11379310344827588</v>
      </c>
      <c r="AD494" s="80"/>
      <c r="AE494" s="57"/>
      <c r="AF494" s="215"/>
      <c r="AG494" s="215"/>
      <c r="AH494" s="216"/>
      <c r="AI494" s="215"/>
      <c r="AJ494" s="215"/>
      <c r="AK494" s="215"/>
    </row>
    <row r="495" spans="1:37" ht="15.75" thickTop="1" x14ac:dyDescent="0.25"/>
  </sheetData>
  <hyperlinks>
    <hyperlink ref="G182" location="'10K Info'!A1" display="'10K Info'!A1" xr:uid="{F02C9E30-CDEC-4923-8315-7164AA0B3CF2}"/>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5592D-111C-4881-B272-D5DCE9EA3D29}">
  <dimension ref="A1:AK511"/>
  <sheetViews>
    <sheetView tabSelected="1" topLeftCell="A48" zoomScaleNormal="100" workbookViewId="0">
      <pane xSplit="1" topLeftCell="B1" activePane="topRight" state="frozen"/>
      <selection pane="topRight" activeCell="F447" sqref="F447"/>
    </sheetView>
  </sheetViews>
  <sheetFormatPr defaultRowHeight="15" x14ac:dyDescent="0.25"/>
  <cols>
    <col min="1" max="1" width="56.140625" bestFit="1" customWidth="1"/>
    <col min="2" max="3" width="10.28515625" customWidth="1"/>
    <col min="4" max="8" width="11" bestFit="1" customWidth="1"/>
    <col min="9" max="9" width="11" customWidth="1"/>
    <col min="10" max="10" width="3.42578125" bestFit="1" customWidth="1"/>
    <col min="11" max="11" width="9.5703125" customWidth="1"/>
    <col min="12" max="12" width="9.42578125" customWidth="1"/>
    <col min="13" max="14" width="9.5703125" bestFit="1" customWidth="1"/>
    <col min="19" max="19" width="2.85546875" customWidth="1"/>
    <col min="20" max="20" width="9.28515625" customWidth="1"/>
    <col min="31" max="31" width="2.28515625" customWidth="1"/>
    <col min="32" max="32" width="11.7109375" customWidth="1"/>
    <col min="33" max="33" width="11" bestFit="1" customWidth="1"/>
    <col min="34" max="35" width="11" customWidth="1"/>
    <col min="36" max="36" width="11" bestFit="1" customWidth="1"/>
    <col min="37" max="37" width="11" customWidth="1"/>
  </cols>
  <sheetData>
    <row r="1" spans="1:37" s="1" customFormat="1" x14ac:dyDescent="0.25">
      <c r="A1" s="1" t="s">
        <v>111</v>
      </c>
      <c r="B1" s="1" t="s">
        <v>476</v>
      </c>
      <c r="K1" s="1" t="s">
        <v>476</v>
      </c>
      <c r="U1" s="1" t="s">
        <v>476</v>
      </c>
      <c r="AF1" s="1" t="s">
        <v>476</v>
      </c>
    </row>
    <row r="2" spans="1:37" s="1" customFormat="1" x14ac:dyDescent="0.25">
      <c r="A2" s="1" t="s">
        <v>1</v>
      </c>
      <c r="K2" s="1" t="s">
        <v>2</v>
      </c>
      <c r="U2" s="1" t="s">
        <v>74</v>
      </c>
      <c r="AF2" s="1" t="s">
        <v>73</v>
      </c>
    </row>
    <row r="3" spans="1:37" s="1" customFormat="1" x14ac:dyDescent="0.25">
      <c r="A3" s="1" t="s">
        <v>3</v>
      </c>
      <c r="H3" s="2"/>
      <c r="I3" s="2"/>
      <c r="Q3" s="2"/>
      <c r="R3" s="2"/>
      <c r="T3" s="1" t="s">
        <v>536</v>
      </c>
      <c r="U3" s="1" t="s">
        <v>263</v>
      </c>
      <c r="V3" s="1" t="s">
        <v>4</v>
      </c>
      <c r="W3" s="1" t="s">
        <v>5</v>
      </c>
      <c r="X3" s="22" t="s">
        <v>75</v>
      </c>
      <c r="Y3" s="1" t="s">
        <v>6</v>
      </c>
      <c r="Z3" s="1" t="s">
        <v>7</v>
      </c>
      <c r="AA3" s="1" t="s">
        <v>8</v>
      </c>
      <c r="AB3" s="1" t="s">
        <v>9</v>
      </c>
      <c r="AC3" s="1" t="s">
        <v>10</v>
      </c>
      <c r="AD3" s="1" t="s">
        <v>537</v>
      </c>
      <c r="AF3" s="109" t="s">
        <v>262</v>
      </c>
      <c r="AG3" s="109" t="s">
        <v>260</v>
      </c>
      <c r="AH3" s="111" t="s">
        <v>261</v>
      </c>
      <c r="AI3" s="109" t="s">
        <v>262</v>
      </c>
      <c r="AJ3" s="109" t="s">
        <v>260</v>
      </c>
      <c r="AK3" s="109" t="s">
        <v>261</v>
      </c>
    </row>
    <row r="4" spans="1:37" s="1" customFormat="1" ht="15.75" thickBot="1" x14ac:dyDescent="0.3">
      <c r="A4" s="2" t="s">
        <v>11</v>
      </c>
      <c r="B4" s="17" t="s">
        <v>72</v>
      </c>
      <c r="C4" s="3">
        <v>2022</v>
      </c>
      <c r="D4" s="3">
        <v>2021</v>
      </c>
      <c r="E4" s="3">
        <v>2020</v>
      </c>
      <c r="F4" s="3">
        <v>2019</v>
      </c>
      <c r="G4" s="3">
        <v>2018</v>
      </c>
      <c r="H4" s="3">
        <v>2017</v>
      </c>
      <c r="I4" s="3">
        <v>2016</v>
      </c>
      <c r="K4" s="17" t="s">
        <v>72</v>
      </c>
      <c r="L4" s="3">
        <v>2022</v>
      </c>
      <c r="M4" s="3">
        <v>2021</v>
      </c>
      <c r="N4" s="3">
        <v>2020</v>
      </c>
      <c r="O4" s="3">
        <v>2019</v>
      </c>
      <c r="P4" s="3">
        <v>2018</v>
      </c>
      <c r="Q4" s="3">
        <v>2017</v>
      </c>
      <c r="R4" s="3">
        <v>2016</v>
      </c>
      <c r="T4" s="4" t="s">
        <v>12</v>
      </c>
      <c r="U4" s="4" t="s">
        <v>12</v>
      </c>
      <c r="V4" s="4" t="s">
        <v>12</v>
      </c>
      <c r="W4" s="4" t="s">
        <v>13</v>
      </c>
      <c r="X4" s="21" t="s">
        <v>72</v>
      </c>
      <c r="Y4" s="3">
        <v>2022</v>
      </c>
      <c r="Z4" s="3">
        <v>2021</v>
      </c>
      <c r="AA4" s="3">
        <v>2020</v>
      </c>
      <c r="AB4" s="3">
        <v>2019</v>
      </c>
      <c r="AC4" s="3">
        <v>2018</v>
      </c>
      <c r="AD4" s="3">
        <v>2017</v>
      </c>
      <c r="AE4" s="7"/>
      <c r="AF4" s="110">
        <v>2023</v>
      </c>
      <c r="AG4" s="110">
        <v>2023</v>
      </c>
      <c r="AH4" s="112">
        <v>2023</v>
      </c>
      <c r="AI4" s="110">
        <v>2022</v>
      </c>
      <c r="AJ4" s="110">
        <v>2022</v>
      </c>
      <c r="AK4" s="110">
        <v>2022</v>
      </c>
    </row>
    <row r="5" spans="1:37" x14ac:dyDescent="0.25">
      <c r="A5" s="33" t="s">
        <v>79</v>
      </c>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142"/>
      <c r="AI5" s="57"/>
      <c r="AJ5" s="57"/>
      <c r="AK5" s="57"/>
    </row>
    <row r="6" spans="1:37" x14ac:dyDescent="0.25">
      <c r="A6" s="14" t="s">
        <v>14</v>
      </c>
      <c r="B6" s="27">
        <f>AG6+AH6+C6-(AJ6+AK6)</f>
        <v>38.299999999999997</v>
      </c>
      <c r="C6" s="28">
        <v>33.299999999999997</v>
      </c>
      <c r="D6" s="28">
        <v>45.5</v>
      </c>
      <c r="E6" s="28">
        <v>38.5</v>
      </c>
      <c r="F6" s="28">
        <v>33</v>
      </c>
      <c r="G6" s="28">
        <v>40.6</v>
      </c>
      <c r="H6" s="28">
        <v>60.3</v>
      </c>
      <c r="I6" s="336">
        <v>20.8</v>
      </c>
      <c r="J6" s="57"/>
      <c r="K6" s="58">
        <f>B6/$B$23</f>
        <v>2.0067064864298441E-2</v>
      </c>
      <c r="L6" s="58">
        <f>C6/$C$23</f>
        <v>1.9457753885707606E-2</v>
      </c>
      <c r="M6" s="58">
        <f>D6/$D$23</f>
        <v>2.7378301943558576E-2</v>
      </c>
      <c r="N6" s="58">
        <f>E6/$E$23</f>
        <v>2.4083573126485673E-2</v>
      </c>
      <c r="O6" s="58">
        <f>F6/$F$23</f>
        <v>2.1091652818611785E-2</v>
      </c>
      <c r="P6" s="58">
        <f>G6/$G$23</f>
        <v>2.7434286100412188E-2</v>
      </c>
      <c r="Q6" s="58">
        <f>H6/$H$23</f>
        <v>5.024162639560073E-2</v>
      </c>
      <c r="R6" s="58">
        <f>I6/$I$23</f>
        <v>1.9126436781609198E-2</v>
      </c>
      <c r="S6" s="57"/>
      <c r="T6" s="58">
        <f>_xlfn.RRI(6,I6,C6)</f>
        <v>8.1592041695750739E-2</v>
      </c>
      <c r="U6" s="58">
        <f>_xlfn.RRI(5.5,H6,B6)</f>
        <v>-7.921069609917375E-2</v>
      </c>
      <c r="V6" s="58">
        <f>_xlfn.RRI(5,H6,C6)</f>
        <v>-0.11197460759608902</v>
      </c>
      <c r="W6" s="58">
        <f>AVERAGE(X6:AC6)</f>
        <v>-4.7231470314331871E-2</v>
      </c>
      <c r="X6" s="58">
        <f t="shared" ref="X6:AD6" si="0">(B6-C6)/C6</f>
        <v>0.15015015015015015</v>
      </c>
      <c r="Y6" s="58">
        <f t="shared" si="0"/>
        <v>-0.26813186813186818</v>
      </c>
      <c r="Z6" s="58">
        <f t="shared" si="0"/>
        <v>0.18181818181818182</v>
      </c>
      <c r="AA6" s="58">
        <f t="shared" si="0"/>
        <v>0.16666666666666666</v>
      </c>
      <c r="AB6" s="58">
        <f t="shared" si="0"/>
        <v>-0.18719211822660101</v>
      </c>
      <c r="AC6" s="58">
        <f t="shared" si="0"/>
        <v>-0.32669983416252069</v>
      </c>
      <c r="AD6" s="58">
        <f t="shared" si="0"/>
        <v>1.8990384615384615</v>
      </c>
      <c r="AE6" s="57"/>
      <c r="AF6" s="57"/>
      <c r="AG6" s="28">
        <v>48.2</v>
      </c>
      <c r="AH6" s="143">
        <v>46.4</v>
      </c>
      <c r="AI6" s="134"/>
      <c r="AJ6" s="28">
        <v>40.4</v>
      </c>
      <c r="AK6" s="28">
        <v>49.2</v>
      </c>
    </row>
    <row r="7" spans="1:37" x14ac:dyDescent="0.25">
      <c r="A7" s="14" t="s">
        <v>312</v>
      </c>
      <c r="B7" s="118">
        <f>AG7+AH7+C7-(AJ7+AK7)</f>
        <v>0</v>
      </c>
      <c r="C7" s="186">
        <v>0</v>
      </c>
      <c r="D7" s="186">
        <v>0</v>
      </c>
      <c r="E7" s="186">
        <v>0</v>
      </c>
      <c r="F7" s="186">
        <v>0</v>
      </c>
      <c r="G7" s="186">
        <v>0</v>
      </c>
      <c r="H7" s="186">
        <v>0</v>
      </c>
      <c r="I7" s="334">
        <v>0</v>
      </c>
      <c r="J7" s="57"/>
      <c r="K7" s="58"/>
      <c r="L7" s="58"/>
      <c r="M7" s="58"/>
      <c r="N7" s="58"/>
      <c r="O7" s="58"/>
      <c r="P7" s="58"/>
      <c r="Q7" s="58"/>
      <c r="R7" s="58"/>
      <c r="S7" s="57"/>
      <c r="T7" s="58"/>
      <c r="U7" s="58"/>
      <c r="V7" s="58"/>
      <c r="W7" s="58"/>
      <c r="X7" s="58"/>
      <c r="Y7" s="58"/>
      <c r="Z7" s="58"/>
      <c r="AA7" s="58"/>
      <c r="AB7" s="58"/>
      <c r="AC7" s="58"/>
      <c r="AD7" s="58"/>
      <c r="AE7" s="57"/>
      <c r="AF7" s="57"/>
      <c r="AG7" s="28"/>
      <c r="AH7" s="143"/>
      <c r="AI7" s="134"/>
      <c r="AJ7" s="28"/>
      <c r="AK7" s="28"/>
    </row>
    <row r="8" spans="1:37" x14ac:dyDescent="0.25">
      <c r="A8" s="14" t="str">
        <f>A457</f>
        <v>Accounts receivable, net (See Note)</v>
      </c>
      <c r="B8" s="118">
        <f>AG8+AH8+C8-(AJ8+AK8)</f>
        <v>262.60000000000002</v>
      </c>
      <c r="C8" s="8">
        <f t="shared" ref="C8:I8" si="1">C457</f>
        <v>215.7</v>
      </c>
      <c r="D8" s="8">
        <f t="shared" si="1"/>
        <v>182.79999999999998</v>
      </c>
      <c r="E8" s="8">
        <f t="shared" si="1"/>
        <v>175.1</v>
      </c>
      <c r="F8" s="8">
        <f t="shared" si="1"/>
        <v>163.9</v>
      </c>
      <c r="G8" s="8">
        <f t="shared" si="1"/>
        <v>189.7</v>
      </c>
      <c r="H8" s="8">
        <f>H457</f>
        <v>159.19999999999999</v>
      </c>
      <c r="I8" s="8">
        <f t="shared" si="1"/>
        <v>136.79999999999998</v>
      </c>
      <c r="J8" s="57"/>
      <c r="K8" s="58">
        <f t="shared" ref="K8:K23" si="2">B8/$B$23</f>
        <v>0.13758776066226558</v>
      </c>
      <c r="L8" s="58">
        <f t="shared" ref="L8:L23" si="3">C8/$C$23</f>
        <v>0.12603716255697089</v>
      </c>
      <c r="M8" s="58">
        <f t="shared" ref="M8:M23" si="4">D8/$D$23</f>
        <v>0.10999458451170345</v>
      </c>
      <c r="N8" s="58">
        <f t="shared" ref="N8:N23" si="5">E8/$E$23</f>
        <v>0.10953334167396471</v>
      </c>
      <c r="O8" s="58">
        <f t="shared" ref="O8:O23" si="6">F8/$F$23</f>
        <v>0.1047552089991052</v>
      </c>
      <c r="P8" s="58">
        <f t="shared" ref="P8:P23" si="7">G8/$G$23</f>
        <v>0.1281843367795121</v>
      </c>
      <c r="Q8" s="58">
        <f t="shared" ref="Q8:Q23" si="8">H8/$H$23</f>
        <v>0.13264455924012664</v>
      </c>
      <c r="R8" s="58">
        <f t="shared" ref="R8:R42" si="9">I8/$I$23</f>
        <v>0.12579310344827585</v>
      </c>
      <c r="S8" s="57"/>
      <c r="T8" s="58">
        <f t="shared" ref="T8:T42" si="10">_xlfn.RRI(6,I8,C8)</f>
        <v>7.8849027990233411E-2</v>
      </c>
      <c r="U8" s="58">
        <f>_xlfn.RRI(5.5,H8,B8)</f>
        <v>9.5263168178929103E-2</v>
      </c>
      <c r="V8" s="58">
        <f t="shared" ref="V8:V17" si="11">_xlfn.RRI(5,H8,C8)</f>
        <v>6.2628394073854121E-2</v>
      </c>
      <c r="W8" s="58">
        <f t="shared" ref="W8:W42" si="12">AVERAGE(X8:AC8)</f>
        <v>9.4216275875541836E-2</v>
      </c>
      <c r="X8" s="58">
        <f t="shared" ref="X8:AD17" si="13">(B8-C8)/C8</f>
        <v>0.21743161798794639</v>
      </c>
      <c r="Y8" s="58">
        <f t="shared" si="13"/>
        <v>0.17997811816192566</v>
      </c>
      <c r="Z8" s="58">
        <f t="shared" si="13"/>
        <v>4.3974871501998795E-2</v>
      </c>
      <c r="AA8" s="58">
        <f t="shared" si="13"/>
        <v>6.8334350213544767E-2</v>
      </c>
      <c r="AB8" s="58">
        <f t="shared" si="13"/>
        <v>-0.13600421718502892</v>
      </c>
      <c r="AC8" s="58">
        <f t="shared" si="13"/>
        <v>0.19158291457286433</v>
      </c>
      <c r="AD8" s="58">
        <f t="shared" si="13"/>
        <v>0.16374269005847961</v>
      </c>
      <c r="AE8" s="57"/>
      <c r="AF8" s="57"/>
      <c r="AG8" s="8">
        <f>AG457</f>
        <v>258.3</v>
      </c>
      <c r="AH8" s="144">
        <f>AH457</f>
        <v>241.60000000000002</v>
      </c>
      <c r="AI8" s="135"/>
      <c r="AJ8" s="8">
        <f t="shared" ref="AJ8:AK8" si="14">AJ457</f>
        <v>229.5</v>
      </c>
      <c r="AK8" s="8">
        <f t="shared" si="14"/>
        <v>223.5</v>
      </c>
    </row>
    <row r="9" spans="1:37" x14ac:dyDescent="0.25">
      <c r="A9" s="14" t="str">
        <f>A463</f>
        <v>Inventories, net (See Note)</v>
      </c>
      <c r="B9" s="118">
        <f>AG9+AH9+C9-(AJ9+AK9)</f>
        <v>451.69999999999993</v>
      </c>
      <c r="C9" s="8">
        <f t="shared" ref="C9:I9" si="15">C463</f>
        <v>355.70000000000005</v>
      </c>
      <c r="D9" s="8">
        <f t="shared" si="15"/>
        <v>313.8</v>
      </c>
      <c r="E9" s="8">
        <f t="shared" si="15"/>
        <v>295.79999999999995</v>
      </c>
      <c r="F9" s="8">
        <f t="shared" si="15"/>
        <v>299.09999999999997</v>
      </c>
      <c r="G9" s="8">
        <f t="shared" si="15"/>
        <v>284.70000000000005</v>
      </c>
      <c r="H9" s="8">
        <f t="shared" si="15"/>
        <v>236.89999999999998</v>
      </c>
      <c r="I9" s="8">
        <f t="shared" si="15"/>
        <v>228.7</v>
      </c>
      <c r="J9" s="57"/>
      <c r="K9" s="58">
        <f t="shared" si="2"/>
        <v>0.236665618778162</v>
      </c>
      <c r="L9" s="58">
        <f t="shared" si="3"/>
        <v>0.20784153324763352</v>
      </c>
      <c r="M9" s="58">
        <f t="shared" si="4"/>
        <v>0.1888200252722787</v>
      </c>
      <c r="N9" s="58">
        <f t="shared" si="5"/>
        <v>0.18503690729388211</v>
      </c>
      <c r="O9" s="58">
        <f t="shared" si="6"/>
        <v>0.19116707145596315</v>
      </c>
      <c r="P9" s="58">
        <f t="shared" si="7"/>
        <v>0.19237786336914658</v>
      </c>
      <c r="Q9" s="58">
        <f t="shared" si="8"/>
        <v>0.19738376937177135</v>
      </c>
      <c r="R9" s="58">
        <f t="shared" si="9"/>
        <v>0.21029885057471262</v>
      </c>
      <c r="S9" s="57"/>
      <c r="T9" s="58">
        <f t="shared" si="10"/>
        <v>7.6389906770458982E-2</v>
      </c>
      <c r="U9" s="58">
        <f>_xlfn.RRI(5.5,H9,B9)</f>
        <v>0.12450376671350205</v>
      </c>
      <c r="V9" s="58">
        <f t="shared" si="11"/>
        <v>8.4685315966525287E-2</v>
      </c>
      <c r="W9" s="58">
        <f>AVERAGE(X9:AC9)</f>
        <v>0.11759769667185822</v>
      </c>
      <c r="X9" s="58">
        <f t="shared" si="13"/>
        <v>0.26989035704245112</v>
      </c>
      <c r="Y9" s="58">
        <f t="shared" si="13"/>
        <v>0.13352453792224356</v>
      </c>
      <c r="Z9" s="58">
        <f t="shared" si="13"/>
        <v>6.0851926977687827E-2</v>
      </c>
      <c r="AA9" s="58">
        <f t="shared" si="13"/>
        <v>-1.1033099297893719E-2</v>
      </c>
      <c r="AB9" s="58">
        <f t="shared" si="13"/>
        <v>5.0579557428872213E-2</v>
      </c>
      <c r="AC9" s="58">
        <f t="shared" si="13"/>
        <v>0.20177289995778841</v>
      </c>
      <c r="AD9" s="58">
        <f t="shared" si="13"/>
        <v>3.5854831657192783E-2</v>
      </c>
      <c r="AE9" s="57"/>
      <c r="AF9" s="57"/>
      <c r="AG9" s="8">
        <f>AG463</f>
        <v>373.1</v>
      </c>
      <c r="AH9" s="144">
        <f>AH463</f>
        <v>379.2</v>
      </c>
      <c r="AI9" s="135"/>
      <c r="AJ9" s="8">
        <f>AJ463</f>
        <v>326.60000000000002</v>
      </c>
      <c r="AK9" s="8">
        <f>AK463</f>
        <v>329.70000000000005</v>
      </c>
    </row>
    <row r="10" spans="1:37" x14ac:dyDescent="0.25">
      <c r="A10" s="14" t="str">
        <f t="shared" ref="A10:I10" si="16">A470</f>
        <v>Other Current Assets (See Note)</v>
      </c>
      <c r="B10" s="120">
        <f t="shared" si="16"/>
        <v>-17.299999999999997</v>
      </c>
      <c r="C10" s="120">
        <f t="shared" si="16"/>
        <v>32.1</v>
      </c>
      <c r="D10" s="120">
        <f t="shared" si="16"/>
        <v>86</v>
      </c>
      <c r="E10" s="120">
        <f t="shared" si="16"/>
        <v>55.1</v>
      </c>
      <c r="F10" s="120">
        <f t="shared" si="16"/>
        <v>23.5</v>
      </c>
      <c r="G10" s="120">
        <f t="shared" si="16"/>
        <v>25.3</v>
      </c>
      <c r="H10" s="120">
        <f t="shared" si="16"/>
        <v>50.300000000000004</v>
      </c>
      <c r="I10" s="120">
        <f t="shared" si="16"/>
        <v>51.8</v>
      </c>
      <c r="J10" s="57"/>
      <c r="K10" s="59">
        <f t="shared" si="2"/>
        <v>-9.0642355653358479E-3</v>
      </c>
      <c r="L10" s="59">
        <f t="shared" si="3"/>
        <v>1.8756573565501929E-2</v>
      </c>
      <c r="M10" s="59">
        <f t="shared" si="4"/>
        <v>5.1747999277934893E-2</v>
      </c>
      <c r="N10" s="59">
        <f t="shared" si="5"/>
        <v>3.4467659201801573E-2</v>
      </c>
      <c r="O10" s="59">
        <f t="shared" si="6"/>
        <v>1.5019813370829603E-2</v>
      </c>
      <c r="P10" s="59">
        <f t="shared" si="7"/>
        <v>1.7095749712818433E-2</v>
      </c>
      <c r="Q10" s="59">
        <f t="shared" si="8"/>
        <v>4.1909681719713383E-2</v>
      </c>
      <c r="R10" s="59">
        <f t="shared" si="9"/>
        <v>4.7632183908045973E-2</v>
      </c>
      <c r="S10" s="57"/>
      <c r="T10" s="59">
        <f t="shared" si="10"/>
        <v>-7.6658096295565636E-2</v>
      </c>
      <c r="U10" s="59"/>
      <c r="V10" s="59">
        <f t="shared" si="11"/>
        <v>-8.5913258989770425E-2</v>
      </c>
      <c r="W10" s="59">
        <f>AVERAGE(X10:AC10)</f>
        <v>-0.13806162242676315</v>
      </c>
      <c r="X10" s="59">
        <f t="shared" si="13"/>
        <v>-1.5389408099688473</v>
      </c>
      <c r="Y10" s="59">
        <f t="shared" si="13"/>
        <v>-0.62674418604651161</v>
      </c>
      <c r="Z10" s="59">
        <f t="shared" si="13"/>
        <v>0.56079854809437379</v>
      </c>
      <c r="AA10" s="59">
        <f t="shared" si="13"/>
        <v>1.34468085106383</v>
      </c>
      <c r="AB10" s="59">
        <f t="shared" si="13"/>
        <v>-7.1146245059288557E-2</v>
      </c>
      <c r="AC10" s="59">
        <f t="shared" si="13"/>
        <v>-0.49701789264413521</v>
      </c>
      <c r="AD10" s="59">
        <f t="shared" si="13"/>
        <v>-2.8957528957528823E-2</v>
      </c>
      <c r="AE10" s="57"/>
      <c r="AF10" s="73"/>
      <c r="AG10" s="23">
        <f>AG470</f>
        <v>33.9</v>
      </c>
      <c r="AH10" s="146">
        <f>AH470</f>
        <v>43.400000000000006</v>
      </c>
      <c r="AI10" s="136"/>
      <c r="AJ10" s="23">
        <f>AJ470</f>
        <v>44.9</v>
      </c>
      <c r="AK10" s="23">
        <f>AK470</f>
        <v>81.8</v>
      </c>
    </row>
    <row r="11" spans="1:37" x14ac:dyDescent="0.25">
      <c r="A11" s="6" t="s">
        <v>26</v>
      </c>
      <c r="B11" s="24">
        <f>SUM(B6:B10)</f>
        <v>735.3</v>
      </c>
      <c r="C11" s="24">
        <f t="shared" ref="C11:I11" si="17">SUM(C6:C10)</f>
        <v>636.80000000000007</v>
      </c>
      <c r="D11" s="24">
        <f t="shared" si="17"/>
        <v>628.1</v>
      </c>
      <c r="E11" s="24">
        <f t="shared" si="17"/>
        <v>564.5</v>
      </c>
      <c r="F11" s="24">
        <f t="shared" si="17"/>
        <v>519.5</v>
      </c>
      <c r="G11" s="24">
        <f t="shared" si="17"/>
        <v>540.29999999999995</v>
      </c>
      <c r="H11" s="24">
        <f t="shared" si="17"/>
        <v>506.7</v>
      </c>
      <c r="I11" s="24">
        <f t="shared" si="17"/>
        <v>438.09999999999997</v>
      </c>
      <c r="J11" s="60"/>
      <c r="K11" s="20">
        <f t="shared" si="2"/>
        <v>0.38525620873939015</v>
      </c>
      <c r="L11" s="20">
        <f t="shared" si="3"/>
        <v>0.37209302325581395</v>
      </c>
      <c r="M11" s="20">
        <f t="shared" si="4"/>
        <v>0.37794091100547567</v>
      </c>
      <c r="N11" s="20">
        <f t="shared" si="5"/>
        <v>0.35312148129613408</v>
      </c>
      <c r="O11" s="20">
        <f t="shared" si="6"/>
        <v>0.33203374664450974</v>
      </c>
      <c r="P11" s="20">
        <f t="shared" si="7"/>
        <v>0.36509223596188928</v>
      </c>
      <c r="Q11" s="20">
        <f t="shared" si="8"/>
        <v>0.42217963672721209</v>
      </c>
      <c r="R11" s="58">
        <f t="shared" si="9"/>
        <v>0.40285057471264363</v>
      </c>
      <c r="S11" s="57"/>
      <c r="T11" s="58">
        <f t="shared" si="10"/>
        <v>6.4318555047526482E-2</v>
      </c>
      <c r="U11" s="20">
        <f t="shared" ref="U11:U17" si="18">_xlfn.RRI(5.5,H11,B11)</f>
        <v>7.0046088833003672E-2</v>
      </c>
      <c r="V11" s="20">
        <f t="shared" si="11"/>
        <v>4.6767981741521858E-2</v>
      </c>
      <c r="W11" s="20">
        <f t="shared" si="12"/>
        <v>6.5938844886603509E-2</v>
      </c>
      <c r="X11" s="20">
        <f t="shared" si="13"/>
        <v>0.15467964824120584</v>
      </c>
      <c r="Y11" s="20">
        <f t="shared" si="13"/>
        <v>1.3851297564082224E-2</v>
      </c>
      <c r="Z11" s="20">
        <f t="shared" si="13"/>
        <v>0.112666076173605</v>
      </c>
      <c r="AA11" s="20">
        <f t="shared" si="13"/>
        <v>8.662175168431184E-2</v>
      </c>
      <c r="AB11" s="20">
        <f t="shared" si="13"/>
        <v>-3.8497131223394328E-2</v>
      </c>
      <c r="AC11" s="20">
        <f t="shared" si="13"/>
        <v>6.6311426879810467E-2</v>
      </c>
      <c r="AD11" s="20">
        <f t="shared" si="13"/>
        <v>0.15658525450810323</v>
      </c>
      <c r="AE11" s="57"/>
      <c r="AF11" s="57"/>
      <c r="AG11" s="56">
        <f>SUM(AG6:AG10)</f>
        <v>713.5</v>
      </c>
      <c r="AH11" s="147">
        <f t="shared" ref="AH11:AK11" si="19">SUM(AH6:AH10)</f>
        <v>710.6</v>
      </c>
      <c r="AI11" s="56"/>
      <c r="AJ11" s="56">
        <f t="shared" si="19"/>
        <v>641.4</v>
      </c>
      <c r="AK11" s="56">
        <f t="shared" si="19"/>
        <v>684.2</v>
      </c>
    </row>
    <row r="12" spans="1:37" x14ac:dyDescent="0.25">
      <c r="A12" s="14" t="s">
        <v>28</v>
      </c>
      <c r="B12" s="177">
        <f>AG12+AH12+C12-(AJ12+AK12)</f>
        <v>19.700000000000003</v>
      </c>
      <c r="C12" s="9">
        <v>15</v>
      </c>
      <c r="D12" s="9">
        <v>15.2</v>
      </c>
      <c r="E12" s="9">
        <v>16.7</v>
      </c>
      <c r="F12" s="9">
        <v>17.399999999999999</v>
      </c>
      <c r="G12" s="9">
        <v>17.5</v>
      </c>
      <c r="H12" s="9">
        <v>17.600000000000001</v>
      </c>
      <c r="I12" s="337">
        <v>17</v>
      </c>
      <c r="J12" s="57"/>
      <c r="K12" s="58">
        <f t="shared" si="2"/>
        <v>1.0321701770931576E-2</v>
      </c>
      <c r="L12" s="58">
        <f t="shared" si="3"/>
        <v>8.7647540025709934E-3</v>
      </c>
      <c r="M12" s="58">
        <f t="shared" si="4"/>
        <v>9.1461580119140736E-3</v>
      </c>
      <c r="N12" s="58">
        <f t="shared" si="5"/>
        <v>1.044664081070937E-2</v>
      </c>
      <c r="O12" s="58">
        <f t="shared" si="6"/>
        <v>1.112105330435894E-2</v>
      </c>
      <c r="P12" s="58">
        <f t="shared" si="7"/>
        <v>1.1825123319143184E-2</v>
      </c>
      <c r="Q12" s="58">
        <f t="shared" si="8"/>
        <v>1.4664222629561741E-2</v>
      </c>
      <c r="R12" s="58">
        <f t="shared" si="9"/>
        <v>1.5632183908045976E-2</v>
      </c>
      <c r="S12" s="57"/>
      <c r="T12" s="58">
        <f t="shared" si="10"/>
        <v>-2.0644448190417219E-2</v>
      </c>
      <c r="U12" s="58">
        <f t="shared" si="18"/>
        <v>2.0705951319974769E-2</v>
      </c>
      <c r="V12" s="58">
        <f t="shared" si="11"/>
        <v>-3.1464110650661237E-2</v>
      </c>
      <c r="W12" s="58">
        <f t="shared" si="12"/>
        <v>2.6454848393579852E-2</v>
      </c>
      <c r="X12" s="58">
        <f t="shared" si="13"/>
        <v>0.31333333333333352</v>
      </c>
      <c r="Y12" s="58">
        <f t="shared" si="13"/>
        <v>-1.3157894736842059E-2</v>
      </c>
      <c r="Z12" s="58">
        <f t="shared" si="13"/>
        <v>-8.9820359281437126E-2</v>
      </c>
      <c r="AA12" s="58">
        <f t="shared" si="13"/>
        <v>-4.0229885057471229E-2</v>
      </c>
      <c r="AB12" s="58">
        <f t="shared" si="13"/>
        <v>-5.7142857142857958E-3</v>
      </c>
      <c r="AC12" s="58">
        <f t="shared" si="13"/>
        <v>-5.6818181818182618E-3</v>
      </c>
      <c r="AD12" s="58">
        <f t="shared" si="13"/>
        <v>3.5294117647058906E-2</v>
      </c>
      <c r="AE12" s="57"/>
      <c r="AF12" s="57"/>
      <c r="AG12" s="9">
        <v>18.2</v>
      </c>
      <c r="AH12" s="148">
        <v>15</v>
      </c>
      <c r="AI12" s="53"/>
      <c r="AJ12" s="9">
        <v>14</v>
      </c>
      <c r="AK12" s="9">
        <v>14.5</v>
      </c>
    </row>
    <row r="13" spans="1:37" x14ac:dyDescent="0.25">
      <c r="A13" s="14" t="s">
        <v>29</v>
      </c>
      <c r="B13" s="118">
        <f>AG13+AH13+C13-(AJ13+AK13)</f>
        <v>90.099999999999966</v>
      </c>
      <c r="C13" s="9">
        <v>80.3</v>
      </c>
      <c r="D13" s="9">
        <v>75.8</v>
      </c>
      <c r="E13" s="9">
        <v>75</v>
      </c>
      <c r="F13" s="9">
        <v>90.6</v>
      </c>
      <c r="G13" s="9">
        <v>65.099999999999994</v>
      </c>
      <c r="H13" s="9">
        <v>63.4</v>
      </c>
      <c r="I13" s="337">
        <v>58.2</v>
      </c>
      <c r="J13" s="57"/>
      <c r="K13" s="58">
        <f t="shared" si="2"/>
        <v>4.7207377135072816E-2</v>
      </c>
      <c r="L13" s="58">
        <f t="shared" si="3"/>
        <v>4.6920649760430054E-2</v>
      </c>
      <c r="M13" s="58">
        <f t="shared" si="4"/>
        <v>4.5610445875203076E-2</v>
      </c>
      <c r="N13" s="58">
        <f t="shared" si="5"/>
        <v>4.6916051545101957E-2</v>
      </c>
      <c r="O13" s="58">
        <f t="shared" si="6"/>
        <v>5.7906174102006894E-2</v>
      </c>
      <c r="P13" s="58">
        <f t="shared" si="7"/>
        <v>4.3989458747212641E-2</v>
      </c>
      <c r="Q13" s="58">
        <f t="shared" si="8"/>
        <v>5.2824529245125811E-2</v>
      </c>
      <c r="R13" s="58">
        <f t="shared" si="9"/>
        <v>5.3517241379310347E-2</v>
      </c>
      <c r="S13" s="57"/>
      <c r="T13" s="58">
        <f t="shared" si="10"/>
        <v>5.5112480362825789E-2</v>
      </c>
      <c r="U13" s="58">
        <f t="shared" si="18"/>
        <v>6.5987016505498541E-2</v>
      </c>
      <c r="V13" s="58">
        <f t="shared" si="11"/>
        <v>4.8395763879995002E-2</v>
      </c>
      <c r="W13" s="58">
        <f t="shared" si="12"/>
        <v>7.3068213548589112E-2</v>
      </c>
      <c r="X13" s="58">
        <f t="shared" si="13"/>
        <v>0.12204234122042303</v>
      </c>
      <c r="Y13" s="58">
        <f t="shared" si="13"/>
        <v>5.9366754617414252E-2</v>
      </c>
      <c r="Z13" s="58">
        <f t="shared" si="13"/>
        <v>1.0666666666666628E-2</v>
      </c>
      <c r="AA13" s="58">
        <f t="shared" si="13"/>
        <v>-0.17218543046357609</v>
      </c>
      <c r="AB13" s="58">
        <f t="shared" si="13"/>
        <v>0.39170506912442399</v>
      </c>
      <c r="AC13" s="58">
        <f t="shared" si="13"/>
        <v>2.6813880126182899E-2</v>
      </c>
      <c r="AD13" s="58">
        <f t="shared" si="13"/>
        <v>8.9347079037800606E-2</v>
      </c>
      <c r="AE13" s="57"/>
      <c r="AF13" s="57"/>
      <c r="AG13" s="9">
        <v>80</v>
      </c>
      <c r="AH13" s="148">
        <v>80.400000000000006</v>
      </c>
      <c r="AI13" s="53"/>
      <c r="AJ13" s="9">
        <v>74.400000000000006</v>
      </c>
      <c r="AK13" s="9">
        <v>76.2</v>
      </c>
    </row>
    <row r="14" spans="1:37" x14ac:dyDescent="0.25">
      <c r="A14" s="14" t="s">
        <v>30</v>
      </c>
      <c r="B14" s="120">
        <f>AG14+AH14+C14-(AJ14+AK14)</f>
        <v>1067.4000000000001</v>
      </c>
      <c r="C14" s="10">
        <v>924.1</v>
      </c>
      <c r="D14" s="10">
        <v>836.8</v>
      </c>
      <c r="E14" s="10">
        <v>812.1</v>
      </c>
      <c r="F14" s="10">
        <v>786.1</v>
      </c>
      <c r="G14" s="10">
        <v>800.9</v>
      </c>
      <c r="H14" s="10">
        <v>756.6</v>
      </c>
      <c r="I14" s="340">
        <v>716</v>
      </c>
      <c r="J14" s="57"/>
      <c r="K14" s="59">
        <f t="shared" si="2"/>
        <v>0.55925809493869871</v>
      </c>
      <c r="L14" s="59">
        <f t="shared" si="3"/>
        <v>0.53996727825172375</v>
      </c>
      <c r="M14" s="59">
        <f t="shared" si="4"/>
        <v>0.50352006739274324</v>
      </c>
      <c r="N14" s="59">
        <f t="shared" si="5"/>
        <v>0.50800700613036409</v>
      </c>
      <c r="O14" s="59">
        <f t="shared" si="6"/>
        <v>0.50242873577911284</v>
      </c>
      <c r="P14" s="59">
        <f t="shared" si="7"/>
        <v>0.54118521521724439</v>
      </c>
      <c r="Q14" s="59">
        <f t="shared" si="8"/>
        <v>0.63039493417763703</v>
      </c>
      <c r="R14" s="59">
        <f t="shared" si="9"/>
        <v>0.65839080459770116</v>
      </c>
      <c r="S14" s="57"/>
      <c r="T14" s="59">
        <f t="shared" si="10"/>
        <v>4.3440424585214243E-2</v>
      </c>
      <c r="U14" s="59">
        <f t="shared" si="18"/>
        <v>6.4571173352800049E-2</v>
      </c>
      <c r="V14" s="59">
        <f t="shared" si="11"/>
        <v>4.080777222680676E-2</v>
      </c>
      <c r="W14" s="59">
        <f t="shared" si="12"/>
        <v>6.0492941792961059E-2</v>
      </c>
      <c r="X14" s="59">
        <f t="shared" si="13"/>
        <v>0.15506979764094803</v>
      </c>
      <c r="Y14" s="59">
        <f t="shared" si="13"/>
        <v>0.10432600382409186</v>
      </c>
      <c r="Z14" s="59">
        <f t="shared" si="13"/>
        <v>3.0414973525427817E-2</v>
      </c>
      <c r="AA14" s="59">
        <f t="shared" si="13"/>
        <v>3.3074672433532626E-2</v>
      </c>
      <c r="AB14" s="59">
        <f t="shared" si="13"/>
        <v>-1.8479210887751223E-2</v>
      </c>
      <c r="AC14" s="59">
        <f t="shared" si="13"/>
        <v>5.8551414221517252E-2</v>
      </c>
      <c r="AD14" s="59">
        <f t="shared" si="13"/>
        <v>5.670391061452517E-2</v>
      </c>
      <c r="AE14" s="57"/>
      <c r="AF14" s="73"/>
      <c r="AG14" s="10">
        <v>954.5</v>
      </c>
      <c r="AH14" s="149">
        <v>929.5</v>
      </c>
      <c r="AI14" s="54"/>
      <c r="AJ14" s="10">
        <v>875.9</v>
      </c>
      <c r="AK14" s="10">
        <v>864.8</v>
      </c>
    </row>
    <row r="15" spans="1:37" x14ac:dyDescent="0.25">
      <c r="A15" s="6" t="s">
        <v>314</v>
      </c>
      <c r="B15" s="193">
        <f>SUM(B12:B14)</f>
        <v>1177.2</v>
      </c>
      <c r="C15" s="193">
        <f t="shared" ref="C15:I15" si="20">SUM(C12:C14)</f>
        <v>1019.4</v>
      </c>
      <c r="D15" s="193">
        <f t="shared" si="20"/>
        <v>927.8</v>
      </c>
      <c r="E15" s="193">
        <f t="shared" si="20"/>
        <v>903.80000000000007</v>
      </c>
      <c r="F15" s="193">
        <f t="shared" si="20"/>
        <v>894.1</v>
      </c>
      <c r="G15" s="193">
        <f t="shared" si="20"/>
        <v>883.5</v>
      </c>
      <c r="H15" s="193">
        <f t="shared" si="20"/>
        <v>837.6</v>
      </c>
      <c r="I15" s="193">
        <f t="shared" si="20"/>
        <v>791.2</v>
      </c>
      <c r="J15" s="57"/>
      <c r="K15" s="58">
        <f t="shared" si="2"/>
        <v>0.61678717384470305</v>
      </c>
      <c r="L15" s="58">
        <f t="shared" si="3"/>
        <v>0.59565268201472477</v>
      </c>
      <c r="M15" s="58">
        <f t="shared" si="4"/>
        <v>0.55827667127986036</v>
      </c>
      <c r="N15" s="58">
        <f t="shared" si="5"/>
        <v>0.56536969848617535</v>
      </c>
      <c r="O15" s="58">
        <f t="shared" si="6"/>
        <v>0.57145596318547864</v>
      </c>
      <c r="P15" s="58">
        <f t="shared" si="7"/>
        <v>0.5969997972836002</v>
      </c>
      <c r="Q15" s="58">
        <f t="shared" si="8"/>
        <v>0.69788368605232465</v>
      </c>
      <c r="R15" s="58">
        <f t="shared" si="9"/>
        <v>0.72754022988505751</v>
      </c>
      <c r="S15" s="57"/>
      <c r="T15" s="58">
        <f t="shared" si="10"/>
        <v>4.314110336538346E-2</v>
      </c>
      <c r="U15" s="58">
        <f t="shared" si="18"/>
        <v>6.3837260442788368E-2</v>
      </c>
      <c r="V15" s="58">
        <f t="shared" si="11"/>
        <v>4.0067658898041758E-2</v>
      </c>
      <c r="W15" s="58">
        <f t="shared" si="12"/>
        <v>5.9620953760269581E-2</v>
      </c>
      <c r="X15" s="58">
        <f t="shared" si="13"/>
        <v>0.15479693937610367</v>
      </c>
      <c r="Y15" s="58">
        <f t="shared" si="13"/>
        <v>9.8728174175468877E-2</v>
      </c>
      <c r="Z15" s="58">
        <f t="shared" si="13"/>
        <v>2.6554547466253468E-2</v>
      </c>
      <c r="AA15" s="58">
        <f t="shared" si="13"/>
        <v>1.0848898333519791E-2</v>
      </c>
      <c r="AB15" s="58">
        <f t="shared" si="13"/>
        <v>1.1997736276174332E-2</v>
      </c>
      <c r="AC15" s="58">
        <f t="shared" si="13"/>
        <v>5.4799426934097395E-2</v>
      </c>
      <c r="AD15" s="58">
        <f t="shared" si="13"/>
        <v>5.8645096056622818E-2</v>
      </c>
      <c r="AE15" s="57"/>
      <c r="AF15" s="57"/>
      <c r="AG15" s="194">
        <f>SUM(AG12:AG14)</f>
        <v>1052.7</v>
      </c>
      <c r="AH15" s="199">
        <f t="shared" ref="AH15:AK15" si="21">SUM(AH12:AH14)</f>
        <v>1024.9000000000001</v>
      </c>
      <c r="AI15" s="198"/>
      <c r="AJ15" s="194">
        <f t="shared" si="21"/>
        <v>964.3</v>
      </c>
      <c r="AK15" s="194">
        <f t="shared" si="21"/>
        <v>955.5</v>
      </c>
    </row>
    <row r="16" spans="1:37" x14ac:dyDescent="0.25">
      <c r="A16" s="14" t="s">
        <v>31</v>
      </c>
      <c r="B16" s="120">
        <f>AG16+AH16+C16-(AJ16+AK16)</f>
        <v>-477.50000000000023</v>
      </c>
      <c r="C16" s="10">
        <v>-462.1</v>
      </c>
      <c r="D16" s="10">
        <v>-438.7</v>
      </c>
      <c r="E16" s="10">
        <v>-494.7</v>
      </c>
      <c r="F16" s="10">
        <v>-478.7</v>
      </c>
      <c r="G16" s="10">
        <v>-465.6</v>
      </c>
      <c r="H16" s="10">
        <v>-509.6</v>
      </c>
      <c r="I16" s="340">
        <v>-510.4</v>
      </c>
      <c r="J16" s="60"/>
      <c r="K16" s="59">
        <f t="shared" si="2"/>
        <v>-0.25018338048831623</v>
      </c>
      <c r="L16" s="59">
        <f t="shared" si="3"/>
        <v>-0.27001285497253713</v>
      </c>
      <c r="M16" s="59">
        <f t="shared" si="4"/>
        <v>-0.26397496840965157</v>
      </c>
      <c r="N16" s="59">
        <f t="shared" si="5"/>
        <v>-0.3094582759914925</v>
      </c>
      <c r="O16" s="59">
        <f t="shared" si="6"/>
        <v>-0.30595679406877152</v>
      </c>
      <c r="P16" s="59">
        <f t="shared" si="7"/>
        <v>-0.31461585242246098</v>
      </c>
      <c r="Q16" s="59">
        <f t="shared" si="8"/>
        <v>-0.42459590068321945</v>
      </c>
      <c r="R16" s="59">
        <f t="shared" si="9"/>
        <v>-0.46933333333333332</v>
      </c>
      <c r="S16" s="57"/>
      <c r="T16" s="59">
        <f t="shared" si="10"/>
        <v>-1.6432393072554285E-2</v>
      </c>
      <c r="U16" s="59">
        <f t="shared" si="18"/>
        <v>-1.1759751626954529E-2</v>
      </c>
      <c r="V16" s="59">
        <f t="shared" si="11"/>
        <v>-1.9378728114903154E-2</v>
      </c>
      <c r="W16" s="59">
        <f t="shared" si="12"/>
        <v>-8.5528369078318733E-3</v>
      </c>
      <c r="X16" s="59">
        <f t="shared" si="13"/>
        <v>3.3326119887470688E-2</v>
      </c>
      <c r="Y16" s="59">
        <f t="shared" si="13"/>
        <v>5.3339411898791968E-2</v>
      </c>
      <c r="Z16" s="59">
        <f t="shared" si="13"/>
        <v>-0.1131999191429149</v>
      </c>
      <c r="AA16" s="59">
        <f t="shared" si="13"/>
        <v>3.3423856277418007E-2</v>
      </c>
      <c r="AB16" s="59">
        <f t="shared" si="13"/>
        <v>2.8135738831615045E-2</v>
      </c>
      <c r="AC16" s="59">
        <f t="shared" si="13"/>
        <v>-8.6342229199372053E-2</v>
      </c>
      <c r="AD16" s="59">
        <f t="shared" si="13"/>
        <v>-1.5673981191221681E-3</v>
      </c>
      <c r="AE16" s="57"/>
      <c r="AF16" s="73"/>
      <c r="AG16" s="10">
        <v>-457.8</v>
      </c>
      <c r="AH16" s="149">
        <v>-448.9</v>
      </c>
      <c r="AI16" s="54"/>
      <c r="AJ16" s="10">
        <v>-445.5</v>
      </c>
      <c r="AK16" s="10">
        <v>-445.8</v>
      </c>
    </row>
    <row r="17" spans="1:37" x14ac:dyDescent="0.25">
      <c r="A17" s="6" t="s">
        <v>27</v>
      </c>
      <c r="B17" s="24">
        <f>SUM(B15:B16)</f>
        <v>699.69999999999982</v>
      </c>
      <c r="C17" s="24">
        <f t="shared" ref="C17:I17" si="22">SUM(C15:C16)</f>
        <v>557.29999999999995</v>
      </c>
      <c r="D17" s="24">
        <f t="shared" si="22"/>
        <v>489.09999999999997</v>
      </c>
      <c r="E17" s="24">
        <f t="shared" si="22"/>
        <v>409.10000000000008</v>
      </c>
      <c r="F17" s="24">
        <f t="shared" si="22"/>
        <v>415.40000000000003</v>
      </c>
      <c r="G17" s="24">
        <f t="shared" si="22"/>
        <v>417.9</v>
      </c>
      <c r="H17" s="24">
        <f t="shared" si="22"/>
        <v>328</v>
      </c>
      <c r="I17" s="24">
        <f t="shared" si="22"/>
        <v>280.80000000000007</v>
      </c>
      <c r="J17" s="57"/>
      <c r="K17" s="20">
        <f t="shared" si="2"/>
        <v>0.36660379335638682</v>
      </c>
      <c r="L17" s="20">
        <f t="shared" si="3"/>
        <v>0.32563982704218764</v>
      </c>
      <c r="M17" s="20">
        <f t="shared" si="4"/>
        <v>0.29430170287020874</v>
      </c>
      <c r="N17" s="20">
        <f t="shared" si="5"/>
        <v>0.25591142249468285</v>
      </c>
      <c r="O17" s="20">
        <f t="shared" si="6"/>
        <v>0.26549916911670712</v>
      </c>
      <c r="P17" s="20">
        <f t="shared" si="7"/>
        <v>0.28238394486113921</v>
      </c>
      <c r="Q17" s="20">
        <f t="shared" si="8"/>
        <v>0.27328778536910514</v>
      </c>
      <c r="R17" s="58">
        <f t="shared" si="9"/>
        <v>0.25820689655172419</v>
      </c>
      <c r="S17" s="57"/>
      <c r="T17" s="58">
        <f t="shared" si="10"/>
        <v>0.12102506544483038</v>
      </c>
      <c r="U17" s="20">
        <f t="shared" si="18"/>
        <v>0.14769131820256565</v>
      </c>
      <c r="V17" s="20">
        <f t="shared" si="11"/>
        <v>0.11184190864665444</v>
      </c>
      <c r="W17" s="20">
        <f t="shared" si="12"/>
        <v>0.14057427338664194</v>
      </c>
      <c r="X17" s="20">
        <f t="shared" si="13"/>
        <v>0.25551767450206331</v>
      </c>
      <c r="Y17" s="20">
        <f t="shared" si="13"/>
        <v>0.13943978736454712</v>
      </c>
      <c r="Z17" s="20">
        <f t="shared" si="13"/>
        <v>0.1955512099731114</v>
      </c>
      <c r="AA17" s="20">
        <f t="shared" si="13"/>
        <v>-1.5166104959075478E-2</v>
      </c>
      <c r="AB17" s="20">
        <f t="shared" si="13"/>
        <v>-5.9822924144530831E-3</v>
      </c>
      <c r="AC17" s="20">
        <f t="shared" si="13"/>
        <v>0.27408536585365845</v>
      </c>
      <c r="AD17" s="20">
        <f t="shared" si="13"/>
        <v>0.16809116809116781</v>
      </c>
      <c r="AE17" s="57"/>
      <c r="AF17" s="57"/>
      <c r="AG17" s="56">
        <f>SUM(AG15:AG16)</f>
        <v>594.90000000000009</v>
      </c>
      <c r="AH17" s="147">
        <f t="shared" ref="AH17:AK17" si="23">SUM(AH15:AH16)</f>
        <v>576.00000000000011</v>
      </c>
      <c r="AI17" s="56"/>
      <c r="AJ17" s="56">
        <f t="shared" si="23"/>
        <v>518.79999999999995</v>
      </c>
      <c r="AK17" s="56">
        <f t="shared" si="23"/>
        <v>509.7</v>
      </c>
    </row>
    <row r="18" spans="1:37" x14ac:dyDescent="0.25">
      <c r="A18" s="14" t="s">
        <v>32</v>
      </c>
      <c r="B18" s="118">
        <f>AG18+AH18+C18-(AJ18+AK18)</f>
        <v>81.600000000000023</v>
      </c>
      <c r="C18" s="8">
        <v>86.3</v>
      </c>
      <c r="D18" s="8">
        <v>91.2</v>
      </c>
      <c r="E18" s="8">
        <v>102.5</v>
      </c>
      <c r="F18" s="8">
        <v>113.5</v>
      </c>
      <c r="G18" s="8">
        <v>0</v>
      </c>
      <c r="H18" s="8">
        <v>0</v>
      </c>
      <c r="I18" s="8">
        <v>0</v>
      </c>
      <c r="J18" s="57"/>
      <c r="K18" s="58">
        <f t="shared" si="2"/>
        <v>4.2753850990254659E-2</v>
      </c>
      <c r="L18" s="58">
        <f t="shared" si="3"/>
        <v>5.0426551361458453E-2</v>
      </c>
      <c r="M18" s="58">
        <f t="shared" si="4"/>
        <v>5.4876948071484445E-2</v>
      </c>
      <c r="N18" s="58">
        <f t="shared" si="5"/>
        <v>6.4118603778306013E-2</v>
      </c>
      <c r="O18" s="58">
        <f t="shared" si="6"/>
        <v>7.2542502876134465E-2</v>
      </c>
      <c r="P18" s="58">
        <f t="shared" si="7"/>
        <v>0</v>
      </c>
      <c r="Q18" s="58">
        <f t="shared" si="8"/>
        <v>0</v>
      </c>
      <c r="R18" s="58">
        <f t="shared" si="9"/>
        <v>0</v>
      </c>
      <c r="S18" s="57"/>
      <c r="T18" s="58"/>
      <c r="U18" s="58"/>
      <c r="V18" s="58"/>
      <c r="W18" s="58"/>
      <c r="X18" s="58"/>
      <c r="Y18" s="58"/>
      <c r="Z18" s="58"/>
      <c r="AA18" s="58"/>
      <c r="AB18" s="58"/>
      <c r="AC18" s="58"/>
      <c r="AD18" s="58"/>
      <c r="AE18" s="57"/>
      <c r="AF18" s="57"/>
      <c r="AG18" s="8">
        <v>84.1</v>
      </c>
      <c r="AH18" s="144">
        <v>85.9</v>
      </c>
      <c r="AI18" s="135"/>
      <c r="AJ18" s="8">
        <v>86.9</v>
      </c>
      <c r="AK18" s="8">
        <v>87.8</v>
      </c>
    </row>
    <row r="19" spans="1:37" x14ac:dyDescent="0.25">
      <c r="A19" s="14" t="s">
        <v>33</v>
      </c>
      <c r="B19" s="118">
        <f>AG19+AH19+C19-(AJ19+AK19)</f>
        <v>290.89999999999998</v>
      </c>
      <c r="C19" s="8">
        <v>294</v>
      </c>
      <c r="D19" s="8">
        <v>296</v>
      </c>
      <c r="E19" s="8">
        <v>297.8</v>
      </c>
      <c r="F19" s="8">
        <v>296.10000000000002</v>
      </c>
      <c r="G19" s="8">
        <v>296.5</v>
      </c>
      <c r="H19" s="8">
        <v>188.2</v>
      </c>
      <c r="I19" s="336">
        <v>186.4</v>
      </c>
      <c r="J19" s="57"/>
      <c r="K19" s="58">
        <f t="shared" si="2"/>
        <v>0.15241538300324847</v>
      </c>
      <c r="L19" s="58">
        <f t="shared" si="3"/>
        <v>0.17178917845039149</v>
      </c>
      <c r="M19" s="58">
        <f t="shared" si="4"/>
        <v>0.17810939286358984</v>
      </c>
      <c r="N19" s="58">
        <f t="shared" si="5"/>
        <v>0.18628800200175152</v>
      </c>
      <c r="O19" s="58">
        <f t="shared" si="6"/>
        <v>0.18924964847245301</v>
      </c>
      <c r="P19" s="58">
        <f t="shared" si="7"/>
        <v>0.20035137509291168</v>
      </c>
      <c r="Q19" s="58">
        <f t="shared" si="8"/>
        <v>0.15680719880019994</v>
      </c>
      <c r="R19" s="58">
        <f t="shared" si="9"/>
        <v>0.17140229885057473</v>
      </c>
      <c r="S19" s="57"/>
      <c r="T19" s="58">
        <f t="shared" si="10"/>
        <v>7.8905905849355085E-2</v>
      </c>
      <c r="U19" s="58">
        <f>_xlfn.RRI(5.5,H19,B19)</f>
        <v>8.2396054175152722E-2</v>
      </c>
      <c r="V19" s="58">
        <f>_xlfn.RRI(5,H19,C19)</f>
        <v>9.3315593389016405E-2</v>
      </c>
      <c r="W19" s="58">
        <f t="shared" si="12"/>
        <v>9.2749763131773758E-2</v>
      </c>
      <c r="X19" s="58">
        <f t="shared" ref="X19:AD23" si="24">(B19-C19)/C19</f>
        <v>-1.0544217687074907E-2</v>
      </c>
      <c r="Y19" s="58">
        <f t="shared" si="24"/>
        <v>-6.7567567567567571E-3</v>
      </c>
      <c r="Z19" s="58">
        <f t="shared" si="24"/>
        <v>-6.0443250503694132E-3</v>
      </c>
      <c r="AA19" s="58">
        <f t="shared" si="24"/>
        <v>5.7413036136440007E-3</v>
      </c>
      <c r="AB19" s="58">
        <f t="shared" si="24"/>
        <v>-1.3490725126474781E-3</v>
      </c>
      <c r="AC19" s="58">
        <f t="shared" si="24"/>
        <v>0.57545164718384711</v>
      </c>
      <c r="AD19" s="58">
        <f t="shared" si="24"/>
        <v>9.6566523605149304E-3</v>
      </c>
      <c r="AE19" s="57"/>
      <c r="AF19" s="57"/>
      <c r="AG19" s="8">
        <v>293.8</v>
      </c>
      <c r="AH19" s="144">
        <v>294</v>
      </c>
      <c r="AI19" s="135"/>
      <c r="AJ19" s="8">
        <v>294</v>
      </c>
      <c r="AK19" s="8">
        <v>296.89999999999998</v>
      </c>
    </row>
    <row r="20" spans="1:37" x14ac:dyDescent="0.25">
      <c r="A20" s="14" t="str">
        <f>A482</f>
        <v>Intangibles Assets, Net (See Note)</v>
      </c>
      <c r="B20" s="118">
        <f>AG20+AH20+C20-(AJ20+AK20)</f>
        <v>85.80000000000004</v>
      </c>
      <c r="C20" s="8">
        <f t="shared" ref="C20:I20" si="25">C482</f>
        <v>116.10000000000001</v>
      </c>
      <c r="D20" s="8">
        <f t="shared" si="25"/>
        <v>131.49999999999997</v>
      </c>
      <c r="E20" s="8">
        <f t="shared" si="25"/>
        <v>149.80000000000001</v>
      </c>
      <c r="F20" s="8">
        <f t="shared" si="25"/>
        <v>168.39999999999995</v>
      </c>
      <c r="G20" s="8">
        <f t="shared" si="25"/>
        <v>188</v>
      </c>
      <c r="H20" s="8">
        <f t="shared" si="25"/>
        <v>129.60000000000002</v>
      </c>
      <c r="I20" s="8">
        <f t="shared" si="25"/>
        <v>141.89999999999998</v>
      </c>
      <c r="J20" s="57"/>
      <c r="K20" s="58">
        <f t="shared" si="2"/>
        <v>4.4954416850047182E-2</v>
      </c>
      <c r="L20" s="58">
        <f t="shared" si="3"/>
        <v>6.78391959798995E-2</v>
      </c>
      <c r="M20" s="58">
        <f t="shared" si="4"/>
        <v>7.9126301221493445E-2</v>
      </c>
      <c r="N20" s="58">
        <f t="shared" si="5"/>
        <v>9.3706993619416992E-2</v>
      </c>
      <c r="O20" s="58">
        <f t="shared" si="6"/>
        <v>0.10763134347437041</v>
      </c>
      <c r="P20" s="58">
        <f t="shared" si="7"/>
        <v>0.12703561051422393</v>
      </c>
      <c r="Q20" s="58">
        <f t="shared" si="8"/>
        <v>0.1079820029995001</v>
      </c>
      <c r="R20" s="58">
        <f t="shared" si="9"/>
        <v>0.13048275862068964</v>
      </c>
      <c r="S20" s="57"/>
      <c r="T20" s="58">
        <f t="shared" si="10"/>
        <v>-3.2892011383622188E-2</v>
      </c>
      <c r="U20" s="58">
        <f>_xlfn.RRI(5.5,H20,B20)</f>
        <v>-7.2245343138144791E-2</v>
      </c>
      <c r="V20" s="58">
        <f>_xlfn.RRI(5,H20,C20)</f>
        <v>-2.1759940095709362E-2</v>
      </c>
      <c r="W20" s="58">
        <f t="shared" si="12"/>
        <v>-4.4057400626857673E-2</v>
      </c>
      <c r="X20" s="58">
        <f t="shared" si="24"/>
        <v>-0.26098191214470257</v>
      </c>
      <c r="Y20" s="58">
        <f t="shared" si="24"/>
        <v>-0.11711026615969557</v>
      </c>
      <c r="Z20" s="58">
        <f t="shared" si="24"/>
        <v>-0.12216288384512709</v>
      </c>
      <c r="AA20" s="58">
        <f t="shared" si="24"/>
        <v>-0.11045130641330132</v>
      </c>
      <c r="AB20" s="58">
        <f t="shared" si="24"/>
        <v>-0.10425531914893645</v>
      </c>
      <c r="AC20" s="58">
        <f t="shared" si="24"/>
        <v>0.45061728395061701</v>
      </c>
      <c r="AD20" s="58">
        <f t="shared" si="24"/>
        <v>-8.6680761099365441E-2</v>
      </c>
      <c r="AE20" s="57"/>
      <c r="AF20" s="57"/>
      <c r="AG20" s="8">
        <v>108.9</v>
      </c>
      <c r="AH20" s="144">
        <v>112.4</v>
      </c>
      <c r="AI20" s="135"/>
      <c r="AJ20" s="8">
        <v>123.5</v>
      </c>
      <c r="AK20" s="8">
        <v>128.1</v>
      </c>
    </row>
    <row r="21" spans="1:37" x14ac:dyDescent="0.25">
      <c r="A21" s="14" t="str">
        <f t="shared" ref="A21:H21" si="26">A489</f>
        <v>Other Assets (See Note)</v>
      </c>
      <c r="B21" s="118">
        <f t="shared" si="26"/>
        <v>15.3</v>
      </c>
      <c r="C21" s="118">
        <f t="shared" si="26"/>
        <v>20.9</v>
      </c>
      <c r="D21" s="118">
        <f t="shared" si="26"/>
        <v>26</v>
      </c>
      <c r="E21" s="118">
        <f t="shared" si="26"/>
        <v>74.900000000000006</v>
      </c>
      <c r="F21" s="118">
        <f t="shared" si="26"/>
        <v>51.7</v>
      </c>
      <c r="G21" s="118">
        <f t="shared" si="26"/>
        <v>37.200000000000003</v>
      </c>
      <c r="H21" s="118">
        <f t="shared" si="26"/>
        <v>47.7</v>
      </c>
      <c r="I21" s="118">
        <f>I489</f>
        <v>40.299999999999997</v>
      </c>
      <c r="J21" s="57"/>
      <c r="K21" s="59">
        <f t="shared" si="2"/>
        <v>8.0163470606727464E-3</v>
      </c>
      <c r="L21" s="59">
        <f t="shared" si="3"/>
        <v>1.2212223910248917E-2</v>
      </c>
      <c r="M21" s="59">
        <f t="shared" si="4"/>
        <v>1.5644743967747756E-2</v>
      </c>
      <c r="N21" s="59">
        <f t="shared" si="5"/>
        <v>4.6853496809708496E-2</v>
      </c>
      <c r="O21" s="59">
        <f t="shared" si="6"/>
        <v>3.3043589415825129E-2</v>
      </c>
      <c r="P21" s="59">
        <f t="shared" si="7"/>
        <v>2.5136833569835801E-2</v>
      </c>
      <c r="Q21" s="59">
        <f t="shared" si="8"/>
        <v>3.9743376103982674E-2</v>
      </c>
      <c r="R21" s="59">
        <f t="shared" si="9"/>
        <v>3.7057471264367814E-2</v>
      </c>
      <c r="S21" s="57"/>
      <c r="T21" s="59">
        <f t="shared" si="10"/>
        <v>-0.10365842659068181</v>
      </c>
      <c r="U21" s="59">
        <f>_xlfn.RRI(5.5,H21,B21)</f>
        <v>-0.1867702045073194</v>
      </c>
      <c r="V21" s="59">
        <f>_xlfn.RRI(5,H21,C21)</f>
        <v>-0.15213719919608282</v>
      </c>
      <c r="W21" s="59">
        <f t="shared" si="12"/>
        <v>-8.3094169531628126E-2</v>
      </c>
      <c r="X21" s="59">
        <f t="shared" si="24"/>
        <v>-0.26794258373205732</v>
      </c>
      <c r="Y21" s="59">
        <f t="shared" si="24"/>
        <v>-0.19615384615384621</v>
      </c>
      <c r="Z21" s="59">
        <f t="shared" si="24"/>
        <v>-0.65287049399198938</v>
      </c>
      <c r="AA21" s="59">
        <f t="shared" si="24"/>
        <v>0.44874274661508706</v>
      </c>
      <c r="AB21" s="59">
        <f t="shared" si="24"/>
        <v>0.38978494623655913</v>
      </c>
      <c r="AC21" s="59">
        <f t="shared" si="24"/>
        <v>-0.22012578616352199</v>
      </c>
      <c r="AD21" s="59">
        <f t="shared" si="24"/>
        <v>0.18362282878411926</v>
      </c>
      <c r="AE21" s="57"/>
      <c r="AF21" s="73"/>
      <c r="AG21" s="23">
        <f>AG489</f>
        <v>20.5</v>
      </c>
      <c r="AH21" s="146">
        <f>AH489</f>
        <v>21.7</v>
      </c>
      <c r="AI21" s="136"/>
      <c r="AJ21" s="23">
        <f>AJ489</f>
        <v>22.7</v>
      </c>
      <c r="AK21" s="23">
        <f>AK489</f>
        <v>25.1</v>
      </c>
    </row>
    <row r="22" spans="1:37" x14ac:dyDescent="0.25">
      <c r="A22" s="6" t="s">
        <v>47</v>
      </c>
      <c r="B22" s="25">
        <f>SUM(B17:B21)</f>
        <v>1173.2999999999997</v>
      </c>
      <c r="C22" s="25">
        <f t="shared" ref="C22:I22" si="27">SUM(C17:C21)</f>
        <v>1074.5999999999999</v>
      </c>
      <c r="D22" s="25">
        <f t="shared" si="27"/>
        <v>1033.8</v>
      </c>
      <c r="E22" s="25">
        <f t="shared" si="27"/>
        <v>1034.1000000000001</v>
      </c>
      <c r="F22" s="25">
        <f t="shared" si="27"/>
        <v>1045.1000000000001</v>
      </c>
      <c r="G22" s="25">
        <f t="shared" si="27"/>
        <v>939.6</v>
      </c>
      <c r="H22" s="25">
        <f t="shared" si="27"/>
        <v>693.50000000000011</v>
      </c>
      <c r="I22" s="25">
        <f t="shared" si="27"/>
        <v>649.4</v>
      </c>
      <c r="J22" s="60"/>
      <c r="K22" s="18">
        <f t="shared" si="2"/>
        <v>0.61474379126060985</v>
      </c>
      <c r="L22" s="18">
        <f t="shared" si="3"/>
        <v>0.62790697674418594</v>
      </c>
      <c r="M22" s="18">
        <f t="shared" si="4"/>
        <v>0.62205908899452422</v>
      </c>
      <c r="N22" s="18">
        <f t="shared" si="5"/>
        <v>0.64687851870386592</v>
      </c>
      <c r="O22" s="18">
        <f t="shared" si="6"/>
        <v>0.6679662533554902</v>
      </c>
      <c r="P22" s="18">
        <f t="shared" si="7"/>
        <v>0.63490776403811067</v>
      </c>
      <c r="Q22" s="18">
        <f t="shared" si="8"/>
        <v>0.57782036327278796</v>
      </c>
      <c r="R22" s="59">
        <f t="shared" si="9"/>
        <v>0.59714942528735626</v>
      </c>
      <c r="S22" s="57"/>
      <c r="T22" s="59">
        <f t="shared" si="10"/>
        <v>8.7566342195442459E-2</v>
      </c>
      <c r="U22" s="18">
        <f>_xlfn.RRI(5.5,H22,B22)</f>
        <v>0.10032371597357947</v>
      </c>
      <c r="V22" s="18">
        <f>_xlfn.RRI(5,H22,C22)</f>
        <v>9.154105285117331E-2</v>
      </c>
      <c r="W22" s="18">
        <f t="shared" si="12"/>
        <v>9.7941200309764997E-2</v>
      </c>
      <c r="X22" s="18">
        <f t="shared" si="24"/>
        <v>9.1848129536571579E-2</v>
      </c>
      <c r="Y22" s="18">
        <f t="shared" si="24"/>
        <v>3.9466047591410286E-2</v>
      </c>
      <c r="Z22" s="18">
        <f t="shared" si="24"/>
        <v>-2.9010733971587067E-4</v>
      </c>
      <c r="AA22" s="18">
        <f t="shared" si="24"/>
        <v>-1.0525308582910725E-2</v>
      </c>
      <c r="AB22" s="18">
        <f t="shared" si="24"/>
        <v>0.11228182205193711</v>
      </c>
      <c r="AC22" s="18">
        <f t="shared" si="24"/>
        <v>0.35486661860129759</v>
      </c>
      <c r="AD22" s="18">
        <f t="shared" si="24"/>
        <v>6.7908838928241663E-2</v>
      </c>
      <c r="AE22" s="57"/>
      <c r="AF22" s="73"/>
      <c r="AG22" s="115">
        <f>SUM(AG17:AG21)</f>
        <v>1102.2000000000003</v>
      </c>
      <c r="AH22" s="153">
        <f t="shared" ref="AH22:AK22" si="28">SUM(AH17:AH21)</f>
        <v>1090.0000000000002</v>
      </c>
      <c r="AI22" s="115"/>
      <c r="AJ22" s="115">
        <f t="shared" si="28"/>
        <v>1045.8999999999999</v>
      </c>
      <c r="AK22" s="115">
        <f t="shared" si="28"/>
        <v>1047.5999999999999</v>
      </c>
    </row>
    <row r="23" spans="1:37" ht="15.75" thickBot="1" x14ac:dyDescent="0.3">
      <c r="A23" s="6" t="s">
        <v>48</v>
      </c>
      <c r="B23" s="30">
        <f t="shared" ref="B23:I23" si="29">SUM(B22,B11)</f>
        <v>1908.5999999999997</v>
      </c>
      <c r="C23" s="30">
        <f t="shared" si="29"/>
        <v>1711.4</v>
      </c>
      <c r="D23" s="30">
        <f t="shared" si="29"/>
        <v>1661.9</v>
      </c>
      <c r="E23" s="30">
        <f t="shared" si="29"/>
        <v>1598.6000000000001</v>
      </c>
      <c r="F23" s="30">
        <f t="shared" si="29"/>
        <v>1564.6000000000001</v>
      </c>
      <c r="G23" s="30">
        <f t="shared" si="29"/>
        <v>1479.9</v>
      </c>
      <c r="H23" s="30">
        <f t="shared" si="29"/>
        <v>1200.2</v>
      </c>
      <c r="I23" s="30">
        <f t="shared" si="29"/>
        <v>1087.5</v>
      </c>
      <c r="J23" s="60"/>
      <c r="K23" s="19">
        <f t="shared" si="2"/>
        <v>1</v>
      </c>
      <c r="L23" s="19">
        <f t="shared" si="3"/>
        <v>1</v>
      </c>
      <c r="M23" s="19">
        <f t="shared" si="4"/>
        <v>1</v>
      </c>
      <c r="N23" s="19">
        <f t="shared" si="5"/>
        <v>1</v>
      </c>
      <c r="O23" s="19">
        <f t="shared" si="6"/>
        <v>1</v>
      </c>
      <c r="P23" s="19">
        <f t="shared" si="7"/>
        <v>1</v>
      </c>
      <c r="Q23" s="19">
        <f t="shared" si="8"/>
        <v>1</v>
      </c>
      <c r="R23" s="211">
        <f t="shared" si="9"/>
        <v>1</v>
      </c>
      <c r="S23" s="57"/>
      <c r="T23" s="211">
        <f t="shared" si="10"/>
        <v>7.8500565123124311E-2</v>
      </c>
      <c r="U23" s="19">
        <f>_xlfn.RRI(5.5,H23,B23)</f>
        <v>8.8001080689594335E-2</v>
      </c>
      <c r="V23" s="19">
        <f>_xlfn.RRI(5,H23,C23)</f>
        <v>7.3543337585615376E-2</v>
      </c>
      <c r="W23" s="19">
        <f t="shared" si="12"/>
        <v>8.2769752614073488E-2</v>
      </c>
      <c r="X23" s="19">
        <f t="shared" si="24"/>
        <v>0.1152272992871331</v>
      </c>
      <c r="Y23" s="19">
        <f t="shared" si="24"/>
        <v>2.9785185630904387E-2</v>
      </c>
      <c r="Z23" s="19">
        <f t="shared" si="24"/>
        <v>3.9597147504066024E-2</v>
      </c>
      <c r="AA23" s="19">
        <f t="shared" si="24"/>
        <v>2.1730793813115171E-2</v>
      </c>
      <c r="AB23" s="19">
        <f t="shared" si="24"/>
        <v>5.7233596864653041E-2</v>
      </c>
      <c r="AC23" s="19">
        <f t="shared" si="24"/>
        <v>0.23304449258456927</v>
      </c>
      <c r="AD23" s="19">
        <f t="shared" si="24"/>
        <v>0.10363218390804602</v>
      </c>
      <c r="AE23" s="57"/>
      <c r="AF23" s="172"/>
      <c r="AG23" s="117">
        <f>SUM(AG22,AG11)</f>
        <v>1815.7000000000003</v>
      </c>
      <c r="AH23" s="152">
        <f>SUM(AH22,AH11)</f>
        <v>1800.6000000000004</v>
      </c>
      <c r="AI23" s="117"/>
      <c r="AJ23" s="117">
        <f>SUM(AJ22,AJ11)</f>
        <v>1687.2999999999997</v>
      </c>
      <c r="AK23" s="117">
        <f>SUM(AK22,AK11)</f>
        <v>1731.8</v>
      </c>
    </row>
    <row r="24" spans="1:37" ht="15.75" thickTop="1" x14ac:dyDescent="0.25">
      <c r="A24" s="6" t="s">
        <v>80</v>
      </c>
      <c r="B24" s="119"/>
      <c r="C24" s="31"/>
      <c r="D24" s="31"/>
      <c r="E24" s="31"/>
      <c r="F24" s="31"/>
      <c r="G24" s="31"/>
      <c r="H24" s="31"/>
      <c r="I24" s="330"/>
      <c r="J24" s="60"/>
      <c r="K24" s="32"/>
      <c r="L24" s="32"/>
      <c r="M24" s="32"/>
      <c r="N24" s="32"/>
      <c r="O24" s="32"/>
      <c r="P24" s="32"/>
      <c r="Q24" s="32"/>
      <c r="R24" s="58"/>
      <c r="S24" s="57"/>
      <c r="T24" s="58"/>
      <c r="U24" s="58"/>
      <c r="V24" s="58"/>
      <c r="W24" s="32"/>
      <c r="X24" s="32"/>
      <c r="Y24" s="32"/>
      <c r="Z24" s="32"/>
      <c r="AA24" s="32"/>
      <c r="AB24" s="32"/>
      <c r="AC24" s="32"/>
      <c r="AD24" s="32"/>
      <c r="AE24" s="57"/>
      <c r="AF24" s="57"/>
      <c r="AG24" s="56"/>
      <c r="AH24" s="147"/>
      <c r="AI24" s="56"/>
      <c r="AJ24" s="56"/>
      <c r="AK24" s="56"/>
    </row>
    <row r="25" spans="1:37" x14ac:dyDescent="0.25">
      <c r="A25" s="14" t="s">
        <v>49</v>
      </c>
      <c r="B25" s="118">
        <f>AG25+AH25+C25-(AJ25+AK25)</f>
        <v>234.10000000000002</v>
      </c>
      <c r="C25" s="29">
        <v>207.4</v>
      </c>
      <c r="D25" s="29">
        <v>171.9</v>
      </c>
      <c r="E25" s="29">
        <v>154.1</v>
      </c>
      <c r="F25" s="29">
        <v>169.9</v>
      </c>
      <c r="G25" s="29">
        <v>177.2</v>
      </c>
      <c r="H25" s="29">
        <v>141.9</v>
      </c>
      <c r="I25" s="336">
        <v>144.19999999999999</v>
      </c>
      <c r="J25" s="57"/>
      <c r="K25" s="58">
        <f t="shared" ref="K25:K42" si="30">B25/$B$23</f>
        <v>0.12265534947081634</v>
      </c>
      <c r="L25" s="58">
        <f t="shared" ref="L25:L42" si="31">C25/$C$23</f>
        <v>0.12118733200888161</v>
      </c>
      <c r="M25" s="58">
        <f t="shared" ref="M25:M42" si="32">D25/$D$23</f>
        <v>0.10343582646368614</v>
      </c>
      <c r="N25" s="58">
        <f t="shared" ref="N25:N42" si="33">E25/$E$23</f>
        <v>9.6396847241336153E-2</v>
      </c>
      <c r="O25" s="58">
        <f t="shared" ref="O25:O42" si="34">F25/$F$23</f>
        <v>0.10859005496612552</v>
      </c>
      <c r="P25" s="58">
        <f t="shared" ref="P25:P42" si="35">G25/$G$23</f>
        <v>0.11973782012298127</v>
      </c>
      <c r="Q25" s="58">
        <f t="shared" ref="Q25:Q42" si="36">H25/$H$23</f>
        <v>0.11823029495084153</v>
      </c>
      <c r="R25" s="58">
        <f t="shared" si="9"/>
        <v>0.13259770114942529</v>
      </c>
      <c r="S25" s="57"/>
      <c r="T25" s="58">
        <f t="shared" si="10"/>
        <v>6.2446936541567633E-2</v>
      </c>
      <c r="U25" s="58">
        <f>_xlfn.RRI(5.5,H25,B25)</f>
        <v>9.5294055408663203E-2</v>
      </c>
      <c r="V25" s="58">
        <f>_xlfn.RRI(5,H25,C25)</f>
        <v>7.88604469031986E-2</v>
      </c>
      <c r="W25" s="58">
        <f t="shared" si="12"/>
        <v>9.4222672493225745E-2</v>
      </c>
      <c r="X25" s="58">
        <f t="shared" ref="X25:AD29" si="37">(B25-C25)/C25</f>
        <v>0.12873674059787857</v>
      </c>
      <c r="Y25" s="58">
        <f t="shared" si="37"/>
        <v>0.20651541593949971</v>
      </c>
      <c r="Z25" s="58">
        <f t="shared" si="37"/>
        <v>0.11550940947436737</v>
      </c>
      <c r="AA25" s="58">
        <f t="shared" si="37"/>
        <v>-9.2995879929370279E-2</v>
      </c>
      <c r="AB25" s="58">
        <f t="shared" si="37"/>
        <v>-4.1196388261850923E-2</v>
      </c>
      <c r="AC25" s="58">
        <f t="shared" si="37"/>
        <v>0.24876673713883002</v>
      </c>
      <c r="AD25" s="58">
        <f t="shared" si="37"/>
        <v>-1.5950069348127482E-2</v>
      </c>
      <c r="AE25" s="57"/>
      <c r="AF25" s="57"/>
      <c r="AG25" s="8">
        <v>195</v>
      </c>
      <c r="AH25" s="144">
        <v>219.2</v>
      </c>
      <c r="AI25" s="135"/>
      <c r="AJ25" s="8">
        <v>197.9</v>
      </c>
      <c r="AK25" s="8">
        <v>189.6</v>
      </c>
    </row>
    <row r="26" spans="1:37" x14ac:dyDescent="0.25">
      <c r="A26" s="14" t="s">
        <v>50</v>
      </c>
      <c r="B26" s="118">
        <f>AG26+AH26+C26-(AJ26+AK26)</f>
        <v>72.099999999999994</v>
      </c>
      <c r="C26" s="8">
        <v>96.1</v>
      </c>
      <c r="D26" s="8">
        <v>90.5</v>
      </c>
      <c r="E26" s="8">
        <v>106.7</v>
      </c>
      <c r="F26" s="8">
        <v>94</v>
      </c>
      <c r="G26" s="8">
        <v>109.9</v>
      </c>
      <c r="H26" s="8">
        <v>127.9</v>
      </c>
      <c r="I26" s="336">
        <v>106.3</v>
      </c>
      <c r="J26" s="57"/>
      <c r="K26" s="58">
        <f t="shared" si="30"/>
        <v>3.7776380593104897E-2</v>
      </c>
      <c r="L26" s="58">
        <f t="shared" si="31"/>
        <v>5.6152857309804835E-2</v>
      </c>
      <c r="M26" s="58">
        <f t="shared" si="32"/>
        <v>5.4455743426198924E-2</v>
      </c>
      <c r="N26" s="58">
        <f t="shared" si="33"/>
        <v>6.6745902664831727E-2</v>
      </c>
      <c r="O26" s="58">
        <f t="shared" si="34"/>
        <v>6.0079253483318412E-2</v>
      </c>
      <c r="P26" s="58">
        <f t="shared" si="35"/>
        <v>7.4261774444219206E-2</v>
      </c>
      <c r="Q26" s="58">
        <f t="shared" si="36"/>
        <v>0.10656557240459924</v>
      </c>
      <c r="R26" s="58">
        <f t="shared" si="9"/>
        <v>9.7747126436781601E-2</v>
      </c>
      <c r="S26" s="57"/>
      <c r="T26" s="58">
        <f t="shared" si="10"/>
        <v>-1.6672117509694329E-2</v>
      </c>
      <c r="U26" s="58">
        <f>_xlfn.RRI(5.5,H26,B26)</f>
        <v>-9.8970437989758242E-2</v>
      </c>
      <c r="V26" s="58">
        <f>_xlfn.RRI(5,H26,C26)</f>
        <v>-5.5568272113828976E-2</v>
      </c>
      <c r="W26" s="58">
        <f t="shared" si="12"/>
        <v>-8.1665750073560028E-2</v>
      </c>
      <c r="X26" s="58">
        <f t="shared" si="37"/>
        <v>-0.24973985431841833</v>
      </c>
      <c r="Y26" s="58">
        <f t="shared" si="37"/>
        <v>6.1878453038673974E-2</v>
      </c>
      <c r="Z26" s="58">
        <f t="shared" si="37"/>
        <v>-0.15182755388940958</v>
      </c>
      <c r="AA26" s="58">
        <f t="shared" si="37"/>
        <v>0.13510638297872343</v>
      </c>
      <c r="AB26" s="58">
        <f t="shared" si="37"/>
        <v>-0.14467697907188357</v>
      </c>
      <c r="AC26" s="58">
        <f t="shared" si="37"/>
        <v>-0.14073494917904614</v>
      </c>
      <c r="AD26" s="58">
        <f t="shared" si="37"/>
        <v>0.20319849482596433</v>
      </c>
      <c r="AE26" s="57"/>
      <c r="AF26" s="57"/>
      <c r="AG26" s="8">
        <v>73.400000000000006</v>
      </c>
      <c r="AH26" s="144">
        <v>75.900000000000006</v>
      </c>
      <c r="AI26" s="135"/>
      <c r="AJ26" s="8">
        <v>84.5</v>
      </c>
      <c r="AK26" s="8">
        <v>88.8</v>
      </c>
    </row>
    <row r="27" spans="1:37" x14ac:dyDescent="0.25">
      <c r="A27" s="14" t="str">
        <f t="shared" ref="A27:H27" si="38">A493</f>
        <v>Current Portion of Long-Term Liabilities (See Note)</v>
      </c>
      <c r="B27" s="120">
        <f t="shared" si="38"/>
        <v>24.799999999999997</v>
      </c>
      <c r="C27" s="120">
        <f t="shared" si="38"/>
        <v>20.5</v>
      </c>
      <c r="D27" s="120">
        <f t="shared" si="38"/>
        <v>23.3</v>
      </c>
      <c r="E27" s="120">
        <f t="shared" si="38"/>
        <v>31.299999999999997</v>
      </c>
      <c r="F27" s="120">
        <f t="shared" si="38"/>
        <v>32.299999999999997</v>
      </c>
      <c r="G27" s="120">
        <f t="shared" si="38"/>
        <v>11.6</v>
      </c>
      <c r="H27" s="120">
        <f t="shared" si="38"/>
        <v>11.4</v>
      </c>
      <c r="I27" s="120">
        <f>I493</f>
        <v>42.6</v>
      </c>
      <c r="J27" s="57"/>
      <c r="K27" s="59">
        <f t="shared" si="30"/>
        <v>1.2993817457822488E-2</v>
      </c>
      <c r="L27" s="59">
        <f t="shared" si="31"/>
        <v>1.1978497136847024E-2</v>
      </c>
      <c r="M27" s="59">
        <f t="shared" si="32"/>
        <v>1.4020097478789337E-2</v>
      </c>
      <c r="N27" s="59">
        <f t="shared" si="33"/>
        <v>1.9579632178155882E-2</v>
      </c>
      <c r="O27" s="59">
        <f t="shared" si="34"/>
        <v>2.0644254122459411E-2</v>
      </c>
      <c r="P27" s="59">
        <f t="shared" si="35"/>
        <v>7.8383674572606258E-3</v>
      </c>
      <c r="Q27" s="59">
        <f t="shared" si="36"/>
        <v>9.4984169305115818E-3</v>
      </c>
      <c r="R27" s="59">
        <f t="shared" si="9"/>
        <v>3.9172413793103447E-2</v>
      </c>
      <c r="S27" s="57"/>
      <c r="T27" s="59">
        <f t="shared" si="10"/>
        <v>-0.11476744503529901</v>
      </c>
      <c r="U27" s="59">
        <f>_xlfn.RRI(5.5,H27,B27)</f>
        <v>0.15178694269814863</v>
      </c>
      <c r="V27" s="59">
        <f>_xlfn.RRI(5,H27,C27)</f>
        <v>0.1245267788599782</v>
      </c>
      <c r="W27" s="59">
        <f t="shared" si="12"/>
        <v>0.26751003922932742</v>
      </c>
      <c r="X27" s="59">
        <f t="shared" si="37"/>
        <v>0.20975609756097546</v>
      </c>
      <c r="Y27" s="59">
        <f t="shared" si="37"/>
        <v>-0.12017167381974252</v>
      </c>
      <c r="Z27" s="59">
        <f t="shared" si="37"/>
        <v>-0.25559105431309898</v>
      </c>
      <c r="AA27" s="59">
        <f t="shared" si="37"/>
        <v>-3.0959752321981428E-2</v>
      </c>
      <c r="AB27" s="59">
        <f t="shared" si="37"/>
        <v>1.7844827586206893</v>
      </c>
      <c r="AC27" s="59">
        <f t="shared" si="37"/>
        <v>1.7543859649122744E-2</v>
      </c>
      <c r="AD27" s="59">
        <f t="shared" si="37"/>
        <v>-0.73239436619718312</v>
      </c>
      <c r="AE27" s="57"/>
      <c r="AF27" s="73"/>
      <c r="AG27" s="23">
        <f>AG493</f>
        <v>25.7</v>
      </c>
      <c r="AH27" s="146">
        <f>AH493</f>
        <v>20.9</v>
      </c>
      <c r="AI27" s="136"/>
      <c r="AJ27" s="23">
        <f>AJ493</f>
        <v>20.9</v>
      </c>
      <c r="AK27" s="23">
        <f>AK493</f>
        <v>21.4</v>
      </c>
    </row>
    <row r="28" spans="1:37" x14ac:dyDescent="0.25">
      <c r="A28" s="6" t="s">
        <v>53</v>
      </c>
      <c r="B28" s="24">
        <f>SUM(B25:B27)</f>
        <v>331.00000000000006</v>
      </c>
      <c r="C28" s="24">
        <f t="shared" ref="C28:I28" si="39">SUM(C25:C27)</f>
        <v>324</v>
      </c>
      <c r="D28" s="24">
        <f t="shared" si="39"/>
        <v>285.7</v>
      </c>
      <c r="E28" s="24">
        <f t="shared" si="39"/>
        <v>292.10000000000002</v>
      </c>
      <c r="F28" s="24">
        <f t="shared" si="39"/>
        <v>296.2</v>
      </c>
      <c r="G28" s="24">
        <f t="shared" si="39"/>
        <v>298.70000000000005</v>
      </c>
      <c r="H28" s="24">
        <f t="shared" si="39"/>
        <v>281.2</v>
      </c>
      <c r="I28" s="24">
        <f t="shared" si="39"/>
        <v>293.10000000000002</v>
      </c>
      <c r="J28" s="57"/>
      <c r="K28" s="20">
        <f t="shared" si="30"/>
        <v>0.17342554752174374</v>
      </c>
      <c r="L28" s="20">
        <f t="shared" si="31"/>
        <v>0.18931868645553346</v>
      </c>
      <c r="M28" s="20">
        <f t="shared" si="32"/>
        <v>0.17191166736867439</v>
      </c>
      <c r="N28" s="20">
        <f t="shared" si="33"/>
        <v>0.18272238208432379</v>
      </c>
      <c r="O28" s="20">
        <f t="shared" si="34"/>
        <v>0.18931356257190335</v>
      </c>
      <c r="P28" s="20">
        <f t="shared" si="35"/>
        <v>0.20183796202446114</v>
      </c>
      <c r="Q28" s="20">
        <f t="shared" si="36"/>
        <v>0.23429428428595234</v>
      </c>
      <c r="R28" s="58">
        <f t="shared" si="9"/>
        <v>0.26951724137931038</v>
      </c>
      <c r="S28" s="57"/>
      <c r="T28" s="58">
        <f t="shared" si="10"/>
        <v>1.6845252456692439E-2</v>
      </c>
      <c r="U28" s="20">
        <f>_xlfn.RRI(5.5,H28,B28)</f>
        <v>3.0089670667710289E-2</v>
      </c>
      <c r="V28" s="20">
        <f>_xlfn.RRI(5,H28,C28)</f>
        <v>2.8740739400860749E-2</v>
      </c>
      <c r="W28" s="20">
        <f t="shared" si="12"/>
        <v>2.8962170346257355E-2</v>
      </c>
      <c r="X28" s="20">
        <f t="shared" si="37"/>
        <v>2.1604938271605114E-2</v>
      </c>
      <c r="Y28" s="20">
        <f t="shared" si="37"/>
        <v>0.13405670283514179</v>
      </c>
      <c r="Z28" s="20">
        <f t="shared" si="37"/>
        <v>-2.1910304690174714E-2</v>
      </c>
      <c r="AA28" s="20">
        <f t="shared" si="37"/>
        <v>-1.3841998649560993E-2</v>
      </c>
      <c r="AB28" s="20">
        <f t="shared" si="37"/>
        <v>-8.3696016069636971E-3</v>
      </c>
      <c r="AC28" s="20">
        <f t="shared" si="37"/>
        <v>6.2233285917496647E-2</v>
      </c>
      <c r="AD28" s="20">
        <f t="shared" si="37"/>
        <v>-4.0600477652678379E-2</v>
      </c>
      <c r="AE28" s="57"/>
      <c r="AF28" s="57"/>
      <c r="AG28" s="56">
        <f>SUM(AG25:AG27)</f>
        <v>294.09999999999997</v>
      </c>
      <c r="AH28" s="147">
        <f t="shared" ref="AH28:AK28" si="40">SUM(AH25:AH27)</f>
        <v>316</v>
      </c>
      <c r="AI28" s="56"/>
      <c r="AJ28" s="56">
        <f t="shared" si="40"/>
        <v>303.29999999999995</v>
      </c>
      <c r="AK28" s="56">
        <f t="shared" si="40"/>
        <v>299.79999999999995</v>
      </c>
    </row>
    <row r="29" spans="1:37" x14ac:dyDescent="0.25">
      <c r="A29" s="14" t="s">
        <v>54</v>
      </c>
      <c r="B29" s="118">
        <f>AG29+AH29+C29-(AJ29+AK29)</f>
        <v>937.80000000000018</v>
      </c>
      <c r="C29" s="8">
        <v>817.7</v>
      </c>
      <c r="D29" s="8">
        <v>781.5</v>
      </c>
      <c r="E29" s="8">
        <v>765.8</v>
      </c>
      <c r="F29" s="8">
        <v>891</v>
      </c>
      <c r="G29" s="8">
        <v>978.8</v>
      </c>
      <c r="H29" s="8">
        <v>665.6</v>
      </c>
      <c r="I29" s="336">
        <v>619.79999999999995</v>
      </c>
      <c r="J29" s="57"/>
      <c r="K29" s="58">
        <f t="shared" si="30"/>
        <v>0.49135491983652957</v>
      </c>
      <c r="L29" s="58">
        <f t="shared" si="31"/>
        <v>0.47779595652682016</v>
      </c>
      <c r="M29" s="58">
        <f t="shared" si="32"/>
        <v>0.47024490041518741</v>
      </c>
      <c r="N29" s="58">
        <f t="shared" si="33"/>
        <v>0.47904416364318769</v>
      </c>
      <c r="O29" s="58">
        <f t="shared" si="34"/>
        <v>0.5694746261025182</v>
      </c>
      <c r="P29" s="58">
        <f t="shared" si="35"/>
        <v>0.66139604027299137</v>
      </c>
      <c r="Q29" s="58">
        <f t="shared" si="36"/>
        <v>0.55457423762706215</v>
      </c>
      <c r="R29" s="58">
        <f t="shared" si="9"/>
        <v>0.56993103448275861</v>
      </c>
      <c r="S29" s="57"/>
      <c r="T29" s="58">
        <f t="shared" si="10"/>
        <v>4.7266161067514467E-2</v>
      </c>
      <c r="U29" s="58">
        <f>_xlfn.RRI(5.5,H29,B29)</f>
        <v>6.4319860757044989E-2</v>
      </c>
      <c r="V29" s="58">
        <f>_xlfn.RRI(5,H29,C29)</f>
        <v>4.2020197282795158E-2</v>
      </c>
      <c r="W29" s="58">
        <f t="shared" si="12"/>
        <v>7.5672155173982028E-2</v>
      </c>
      <c r="X29" s="58">
        <f t="shared" si="37"/>
        <v>0.14687538216949997</v>
      </c>
      <c r="Y29" s="58">
        <f t="shared" si="37"/>
        <v>4.6321177223288608E-2</v>
      </c>
      <c r="Z29" s="58">
        <f t="shared" si="37"/>
        <v>2.0501436406372482E-2</v>
      </c>
      <c r="AA29" s="58">
        <f t="shared" si="37"/>
        <v>-0.14051627384960724</v>
      </c>
      <c r="AB29" s="58">
        <f t="shared" si="37"/>
        <v>-8.9701675521046131E-2</v>
      </c>
      <c r="AC29" s="58">
        <f t="shared" si="37"/>
        <v>0.47055288461538447</v>
      </c>
      <c r="AD29" s="58">
        <f t="shared" si="37"/>
        <v>7.3894804775734221E-2</v>
      </c>
      <c r="AE29" s="57"/>
      <c r="AF29" s="57"/>
      <c r="AG29" s="8">
        <v>902.2</v>
      </c>
      <c r="AH29" s="144">
        <v>881</v>
      </c>
      <c r="AI29" s="135"/>
      <c r="AJ29" s="8">
        <v>833.7</v>
      </c>
      <c r="AK29" s="8">
        <v>829.4</v>
      </c>
    </row>
    <row r="30" spans="1:37" x14ac:dyDescent="0.25">
      <c r="A30" s="14" t="s">
        <v>57</v>
      </c>
      <c r="B30" s="118">
        <f>AG30+AH30+C30-(AJ30+AK30)</f>
        <v>60.299999999999983</v>
      </c>
      <c r="C30" s="8">
        <v>66.3</v>
      </c>
      <c r="D30" s="8">
        <v>70.3</v>
      </c>
      <c r="E30" s="8">
        <v>81.3</v>
      </c>
      <c r="F30" s="8">
        <v>92.6</v>
      </c>
      <c r="G30" s="8">
        <v>0</v>
      </c>
      <c r="H30" s="8">
        <v>0</v>
      </c>
      <c r="I30" s="336">
        <v>0</v>
      </c>
      <c r="J30" s="57"/>
      <c r="K30" s="58">
        <f t="shared" si="30"/>
        <v>3.159383841559258E-2</v>
      </c>
      <c r="L30" s="58">
        <f t="shared" si="31"/>
        <v>3.8740212691363789E-2</v>
      </c>
      <c r="M30" s="58">
        <f t="shared" si="32"/>
        <v>4.2300980805102591E-2</v>
      </c>
      <c r="N30" s="58">
        <f t="shared" si="33"/>
        <v>5.0856999874890521E-2</v>
      </c>
      <c r="O30" s="58">
        <f t="shared" si="34"/>
        <v>5.9184456091013672E-2</v>
      </c>
      <c r="P30" s="58">
        <f t="shared" si="35"/>
        <v>0</v>
      </c>
      <c r="Q30" s="58">
        <f t="shared" si="36"/>
        <v>0</v>
      </c>
      <c r="R30" s="58">
        <f t="shared" si="9"/>
        <v>0</v>
      </c>
      <c r="S30" s="57"/>
      <c r="T30" s="58"/>
      <c r="U30" s="58"/>
      <c r="V30" s="58"/>
      <c r="W30" s="58"/>
      <c r="X30" s="58"/>
      <c r="Y30" s="58"/>
      <c r="Z30" s="58"/>
      <c r="AA30" s="58"/>
      <c r="AB30" s="58"/>
      <c r="AC30" s="58"/>
      <c r="AD30" s="58"/>
      <c r="AE30" s="57"/>
      <c r="AF30" s="57"/>
      <c r="AG30" s="8">
        <v>62.5</v>
      </c>
      <c r="AH30" s="144">
        <v>65.400000000000006</v>
      </c>
      <c r="AI30" s="135"/>
      <c r="AJ30" s="8">
        <v>67</v>
      </c>
      <c r="AK30" s="8">
        <v>66.900000000000006</v>
      </c>
    </row>
    <row r="31" spans="1:37" x14ac:dyDescent="0.25">
      <c r="A31" s="14" t="str">
        <f t="shared" ref="A31:I31" si="41">A498</f>
        <v>Other long-term liabilities (See Note)</v>
      </c>
      <c r="B31" s="118">
        <f t="shared" si="41"/>
        <v>87.199999999999989</v>
      </c>
      <c r="C31" s="118">
        <f t="shared" si="41"/>
        <v>100.4</v>
      </c>
      <c r="D31" s="118">
        <f t="shared" si="41"/>
        <v>113.6</v>
      </c>
      <c r="E31" s="118">
        <f t="shared" si="41"/>
        <v>113.4</v>
      </c>
      <c r="F31" s="118">
        <f t="shared" si="41"/>
        <v>126.1</v>
      </c>
      <c r="G31" s="118">
        <f t="shared" si="41"/>
        <v>135.4</v>
      </c>
      <c r="H31" s="118">
        <f t="shared" si="41"/>
        <v>147.6</v>
      </c>
      <c r="I31" s="118">
        <f t="shared" si="41"/>
        <v>140</v>
      </c>
      <c r="J31" s="57"/>
      <c r="K31" s="59">
        <f t="shared" si="30"/>
        <v>4.5687938803311332E-2</v>
      </c>
      <c r="L31" s="59">
        <f t="shared" si="31"/>
        <v>5.8665420123875191E-2</v>
      </c>
      <c r="M31" s="59">
        <f t="shared" si="32"/>
        <v>6.8355496720620967E-2</v>
      </c>
      <c r="N31" s="59">
        <f t="shared" si="33"/>
        <v>7.0937069936194169E-2</v>
      </c>
      <c r="O31" s="59">
        <f t="shared" si="34"/>
        <v>8.0595679406877146E-2</v>
      </c>
      <c r="P31" s="59">
        <f t="shared" si="35"/>
        <v>9.1492668423542131E-2</v>
      </c>
      <c r="Q31" s="59">
        <f t="shared" si="36"/>
        <v>0.12297950341609731</v>
      </c>
      <c r="R31" s="59">
        <f t="shared" si="9"/>
        <v>0.12873563218390804</v>
      </c>
      <c r="S31" s="57"/>
      <c r="T31" s="59">
        <f t="shared" si="10"/>
        <v>-5.3906019025098506E-2</v>
      </c>
      <c r="U31" s="59">
        <f t="shared" ref="U31:U42" si="42">_xlfn.RRI(5.5,H31,B31)</f>
        <v>-9.1255403826516202E-2</v>
      </c>
      <c r="V31" s="59">
        <f t="shared" ref="V31:V42" si="43">_xlfn.RRI(5,H31,C31)</f>
        <v>-7.4173790783518712E-2</v>
      </c>
      <c r="W31" s="59">
        <f t="shared" ref="W31" si="44">AVERAGE(X31:AC31)</f>
        <v>-8.2993756790723794E-2</v>
      </c>
      <c r="X31" s="59">
        <f t="shared" ref="X31:AD42" si="45">(B31-C31)/C31</f>
        <v>-0.13147410358565753</v>
      </c>
      <c r="Y31" s="59">
        <f t="shared" si="45"/>
        <v>-0.11619718309859145</v>
      </c>
      <c r="Z31" s="59">
        <f t="shared" si="45"/>
        <v>1.7636684303349967E-3</v>
      </c>
      <c r="AA31" s="59">
        <f t="shared" si="45"/>
        <v>-0.10071371927042022</v>
      </c>
      <c r="AB31" s="59">
        <f t="shared" si="45"/>
        <v>-6.8685376661743069E-2</v>
      </c>
      <c r="AC31" s="59">
        <f t="shared" si="45"/>
        <v>-8.2655826558265505E-2</v>
      </c>
      <c r="AD31" s="59">
        <f t="shared" si="45"/>
        <v>5.4285714285714243E-2</v>
      </c>
      <c r="AE31" s="57"/>
      <c r="AF31" s="73"/>
      <c r="AG31" s="23">
        <f>AG498</f>
        <v>100.3</v>
      </c>
      <c r="AH31" s="146">
        <f>AH498</f>
        <v>103.3</v>
      </c>
      <c r="AI31" s="136"/>
      <c r="AJ31" s="23">
        <f>AJ498</f>
        <v>104.1</v>
      </c>
      <c r="AK31" s="23">
        <f>AK498</f>
        <v>112.69999999999999</v>
      </c>
    </row>
    <row r="32" spans="1:37" x14ac:dyDescent="0.25">
      <c r="A32" s="6" t="s">
        <v>59</v>
      </c>
      <c r="B32" s="25">
        <f>SUM(B29:B31)</f>
        <v>1085.3000000000002</v>
      </c>
      <c r="C32" s="25">
        <f t="shared" ref="C32:I32" si="46">SUM(C29:C31)</f>
        <v>984.4</v>
      </c>
      <c r="D32" s="25">
        <f t="shared" si="46"/>
        <v>965.4</v>
      </c>
      <c r="E32" s="25">
        <f t="shared" si="46"/>
        <v>960.49999999999989</v>
      </c>
      <c r="F32" s="25">
        <f t="shared" si="46"/>
        <v>1109.7</v>
      </c>
      <c r="G32" s="25">
        <f t="shared" si="46"/>
        <v>1114.2</v>
      </c>
      <c r="H32" s="25">
        <f t="shared" si="46"/>
        <v>813.2</v>
      </c>
      <c r="I32" s="25">
        <f t="shared" si="46"/>
        <v>759.8</v>
      </c>
      <c r="J32" s="57"/>
      <c r="K32" s="18">
        <f t="shared" si="30"/>
        <v>0.56863669705543352</v>
      </c>
      <c r="L32" s="18">
        <f t="shared" si="31"/>
        <v>0.57520158934205912</v>
      </c>
      <c r="M32" s="18">
        <f t="shared" si="32"/>
        <v>0.58090137794091101</v>
      </c>
      <c r="N32" s="18">
        <f t="shared" si="33"/>
        <v>0.60083823345427234</v>
      </c>
      <c r="O32" s="18">
        <f t="shared" si="34"/>
        <v>0.70925476160040901</v>
      </c>
      <c r="P32" s="18">
        <f t="shared" si="35"/>
        <v>0.75288870869653357</v>
      </c>
      <c r="Q32" s="18">
        <f t="shared" si="36"/>
        <v>0.67755374104315946</v>
      </c>
      <c r="R32" s="59">
        <f t="shared" si="9"/>
        <v>0.69866666666666666</v>
      </c>
      <c r="S32" s="57"/>
      <c r="T32" s="59">
        <f t="shared" si="10"/>
        <v>4.4107910110648296E-2</v>
      </c>
      <c r="U32" s="18">
        <f t="shared" si="42"/>
        <v>5.3880457891713585E-2</v>
      </c>
      <c r="V32" s="18">
        <f t="shared" si="43"/>
        <v>3.8950477489882784E-2</v>
      </c>
      <c r="W32" s="18">
        <f t="shared" si="12"/>
        <v>5.982242945156082E-2</v>
      </c>
      <c r="X32" s="18">
        <f t="shared" si="45"/>
        <v>0.10249898415278363</v>
      </c>
      <c r="Y32" s="18">
        <f t="shared" si="45"/>
        <v>1.968096125958152E-2</v>
      </c>
      <c r="Z32" s="18">
        <f t="shared" si="45"/>
        <v>5.1015096304009282E-3</v>
      </c>
      <c r="AA32" s="18">
        <f t="shared" si="45"/>
        <v>-0.13445075245561877</v>
      </c>
      <c r="AB32" s="18">
        <f t="shared" si="45"/>
        <v>-4.0387722132471729E-3</v>
      </c>
      <c r="AC32" s="18">
        <f t="shared" si="45"/>
        <v>0.37014264633546479</v>
      </c>
      <c r="AD32" s="18">
        <f t="shared" si="45"/>
        <v>7.0281653066596603E-2</v>
      </c>
      <c r="AE32" s="57"/>
      <c r="AF32" s="73"/>
      <c r="AG32" s="115">
        <f>SUM(AG29:AG31)</f>
        <v>1065</v>
      </c>
      <c r="AH32" s="153">
        <f t="shared" ref="AH32:AK32" si="47">SUM(AH29:AH31)</f>
        <v>1049.7</v>
      </c>
      <c r="AI32" s="115"/>
      <c r="AJ32" s="115">
        <f t="shared" si="47"/>
        <v>1004.8000000000001</v>
      </c>
      <c r="AK32" s="115">
        <f t="shared" si="47"/>
        <v>1009</v>
      </c>
    </row>
    <row r="33" spans="1:37" x14ac:dyDescent="0.25">
      <c r="A33" s="6" t="s">
        <v>60</v>
      </c>
      <c r="B33" s="197">
        <f>SUM(B28,B32)</f>
        <v>1416.3000000000002</v>
      </c>
      <c r="C33" s="24">
        <f t="shared" ref="C33:I33" si="48">SUM(C28,C32)</f>
        <v>1308.4000000000001</v>
      </c>
      <c r="D33" s="24">
        <f t="shared" si="48"/>
        <v>1251.0999999999999</v>
      </c>
      <c r="E33" s="24">
        <f t="shared" si="48"/>
        <v>1252.5999999999999</v>
      </c>
      <c r="F33" s="24">
        <f t="shared" si="48"/>
        <v>1405.9</v>
      </c>
      <c r="G33" s="24">
        <f t="shared" si="48"/>
        <v>1412.9</v>
      </c>
      <c r="H33" s="24">
        <f t="shared" si="48"/>
        <v>1094.4000000000001</v>
      </c>
      <c r="I33" s="24">
        <f t="shared" si="48"/>
        <v>1052.9000000000001</v>
      </c>
      <c r="J33" s="57"/>
      <c r="K33" s="20">
        <f t="shared" si="30"/>
        <v>0.74206224457717718</v>
      </c>
      <c r="L33" s="20">
        <f t="shared" si="31"/>
        <v>0.76452027579759263</v>
      </c>
      <c r="M33" s="20">
        <f t="shared" si="32"/>
        <v>0.75281304530958537</v>
      </c>
      <c r="N33" s="20">
        <f t="shared" si="33"/>
        <v>0.78356061553859613</v>
      </c>
      <c r="O33" s="20">
        <f t="shared" si="34"/>
        <v>0.89856832417231236</v>
      </c>
      <c r="P33" s="20">
        <f t="shared" si="35"/>
        <v>0.95472667072099471</v>
      </c>
      <c r="Q33" s="20">
        <f t="shared" si="36"/>
        <v>0.91184802532911191</v>
      </c>
      <c r="R33" s="58">
        <f t="shared" si="9"/>
        <v>0.96818390804597709</v>
      </c>
      <c r="S33" s="57"/>
      <c r="T33" s="58">
        <f t="shared" si="10"/>
        <v>3.6873006268612007E-2</v>
      </c>
      <c r="U33" s="20">
        <f t="shared" si="42"/>
        <v>4.7996541016615657E-2</v>
      </c>
      <c r="V33" s="20">
        <f t="shared" si="43"/>
        <v>3.6365364146080825E-2</v>
      </c>
      <c r="W33" s="20">
        <f t="shared" si="12"/>
        <v>5.0683591299404425E-2</v>
      </c>
      <c r="X33" s="20">
        <f t="shared" si="45"/>
        <v>8.2467135432589489E-2</v>
      </c>
      <c r="Y33" s="20">
        <f t="shared" si="45"/>
        <v>4.5799696267284938E-2</v>
      </c>
      <c r="Z33" s="20">
        <f t="shared" si="45"/>
        <v>-1.1975091809037204E-3</v>
      </c>
      <c r="AA33" s="20">
        <f t="shared" si="45"/>
        <v>-0.10904047229532696</v>
      </c>
      <c r="AB33" s="20">
        <f t="shared" si="45"/>
        <v>-4.9543492108429467E-3</v>
      </c>
      <c r="AC33" s="20">
        <f t="shared" si="45"/>
        <v>0.29102704678362573</v>
      </c>
      <c r="AD33" s="20">
        <f t="shared" si="45"/>
        <v>3.9414949187957064E-2</v>
      </c>
      <c r="AE33" s="57"/>
      <c r="AF33" s="57"/>
      <c r="AG33" s="56">
        <f>SUM(AG32,AG28)</f>
        <v>1359.1</v>
      </c>
      <c r="AH33" s="147">
        <f>SUM(AH32,AH28)</f>
        <v>1365.7</v>
      </c>
      <c r="AI33" s="56"/>
      <c r="AJ33" s="56">
        <f>SUM(AJ32,AJ28)</f>
        <v>1308.0999999999999</v>
      </c>
      <c r="AK33" s="56">
        <f>SUM(AK32,AK28)</f>
        <v>1308.8</v>
      </c>
    </row>
    <row r="34" spans="1:37" x14ac:dyDescent="0.25">
      <c r="A34" s="14" t="s">
        <v>62</v>
      </c>
      <c r="B34" s="124">
        <f>AG34+AH34+C34-(AJ34+AK34)</f>
        <v>0.20000000000000007</v>
      </c>
      <c r="C34" s="11">
        <v>0.2</v>
      </c>
      <c r="D34" s="11">
        <v>0.2</v>
      </c>
      <c r="E34" s="11">
        <v>0.2</v>
      </c>
      <c r="F34" s="11">
        <v>0.2</v>
      </c>
      <c r="G34" s="11">
        <v>0.2</v>
      </c>
      <c r="H34" s="11">
        <v>0.2</v>
      </c>
      <c r="I34" s="339">
        <v>0.2</v>
      </c>
      <c r="J34" s="57"/>
      <c r="K34" s="58">
        <f t="shared" si="30"/>
        <v>1.0478885046631044E-4</v>
      </c>
      <c r="L34" s="58">
        <f t="shared" si="31"/>
        <v>1.168633867009466E-4</v>
      </c>
      <c r="M34" s="58">
        <f t="shared" si="32"/>
        <v>1.2034418436729045E-4</v>
      </c>
      <c r="N34" s="58">
        <f t="shared" si="33"/>
        <v>1.2510947078693858E-4</v>
      </c>
      <c r="O34" s="58">
        <f t="shared" si="34"/>
        <v>1.2782819890067747E-4</v>
      </c>
      <c r="P34" s="58">
        <f t="shared" si="35"/>
        <v>1.3514426650449354E-4</v>
      </c>
      <c r="Q34" s="58">
        <f t="shared" si="36"/>
        <v>1.6663889351774705E-4</v>
      </c>
      <c r="R34" s="58">
        <f t="shared" si="9"/>
        <v>1.8390804597701149E-4</v>
      </c>
      <c r="S34" s="57"/>
      <c r="T34" s="58">
        <f t="shared" si="10"/>
        <v>0</v>
      </c>
      <c r="U34" s="58">
        <f t="shared" si="42"/>
        <v>0</v>
      </c>
      <c r="V34" s="58">
        <f t="shared" si="43"/>
        <v>0</v>
      </c>
      <c r="W34" s="58">
        <f t="shared" si="12"/>
        <v>4.6259292692714858E-17</v>
      </c>
      <c r="X34" s="58">
        <f t="shared" si="45"/>
        <v>2.7755575615628914E-16</v>
      </c>
      <c r="Y34" s="58">
        <f t="shared" si="45"/>
        <v>0</v>
      </c>
      <c r="Z34" s="58">
        <f t="shared" si="45"/>
        <v>0</v>
      </c>
      <c r="AA34" s="58">
        <f t="shared" si="45"/>
        <v>0</v>
      </c>
      <c r="AB34" s="58">
        <f t="shared" si="45"/>
        <v>0</v>
      </c>
      <c r="AC34" s="58">
        <f t="shared" si="45"/>
        <v>0</v>
      </c>
      <c r="AD34" s="58">
        <f t="shared" si="45"/>
        <v>0</v>
      </c>
      <c r="AE34" s="57"/>
      <c r="AF34" s="57"/>
      <c r="AG34" s="8">
        <v>0.2</v>
      </c>
      <c r="AH34" s="144">
        <v>0.2</v>
      </c>
      <c r="AI34" s="135"/>
      <c r="AJ34" s="8">
        <v>0.2</v>
      </c>
      <c r="AK34" s="8">
        <v>0.2</v>
      </c>
    </row>
    <row r="35" spans="1:37" x14ac:dyDescent="0.25">
      <c r="A35" s="14" t="s">
        <v>63</v>
      </c>
      <c r="B35" s="118">
        <f>AG35+AH35+C35-(AJ35+AK35)</f>
        <v>296.39999999999998</v>
      </c>
      <c r="C35" s="8">
        <v>263.89999999999998</v>
      </c>
      <c r="D35" s="8">
        <v>249.5</v>
      </c>
      <c r="E35" s="8">
        <v>234.1</v>
      </c>
      <c r="F35" s="8">
        <v>221.9</v>
      </c>
      <c r="G35" s="8">
        <v>206</v>
      </c>
      <c r="H35" s="8">
        <v>190.6</v>
      </c>
      <c r="I35" s="336">
        <v>176.5</v>
      </c>
      <c r="J35" s="57"/>
      <c r="K35" s="58">
        <f t="shared" si="30"/>
        <v>0.15529707639107201</v>
      </c>
      <c r="L35" s="58">
        <f t="shared" si="31"/>
        <v>0.15420123875189901</v>
      </c>
      <c r="M35" s="58">
        <f t="shared" si="32"/>
        <v>0.15012936999819482</v>
      </c>
      <c r="N35" s="58">
        <f t="shared" si="33"/>
        <v>0.14644063555611159</v>
      </c>
      <c r="O35" s="58">
        <f t="shared" si="34"/>
        <v>0.14182538668030167</v>
      </c>
      <c r="P35" s="58">
        <f t="shared" si="35"/>
        <v>0.13919859449962835</v>
      </c>
      <c r="Q35" s="58">
        <f t="shared" si="36"/>
        <v>0.15880686552241291</v>
      </c>
      <c r="R35" s="58">
        <f t="shared" si="9"/>
        <v>0.16229885057471263</v>
      </c>
      <c r="S35" s="57"/>
      <c r="T35" s="58">
        <f t="shared" si="10"/>
        <v>6.9339920289936074E-2</v>
      </c>
      <c r="U35" s="58">
        <f t="shared" si="42"/>
        <v>8.3589032140685804E-2</v>
      </c>
      <c r="V35" s="58">
        <f t="shared" si="43"/>
        <v>6.7242960230796678E-2</v>
      </c>
      <c r="W35" s="58">
        <f t="shared" si="12"/>
        <v>7.6602276921132598E-2</v>
      </c>
      <c r="X35" s="58">
        <f t="shared" si="45"/>
        <v>0.12315270935960593</v>
      </c>
      <c r="Y35" s="58">
        <f t="shared" si="45"/>
        <v>5.7715430861723357E-2</v>
      </c>
      <c r="Z35" s="58">
        <f t="shared" si="45"/>
        <v>6.5783853054250344E-2</v>
      </c>
      <c r="AA35" s="58">
        <f t="shared" si="45"/>
        <v>5.4979720594862495E-2</v>
      </c>
      <c r="AB35" s="58">
        <f t="shared" si="45"/>
        <v>7.7184466019417503E-2</v>
      </c>
      <c r="AC35" s="58">
        <f t="shared" si="45"/>
        <v>8.0797481636936022E-2</v>
      </c>
      <c r="AD35" s="58">
        <f t="shared" si="45"/>
        <v>7.9886685552407896E-2</v>
      </c>
      <c r="AE35" s="57"/>
      <c r="AF35" s="57"/>
      <c r="AG35" s="8">
        <v>273.7</v>
      </c>
      <c r="AH35" s="144">
        <v>269.2</v>
      </c>
      <c r="AI35" s="135"/>
      <c r="AJ35" s="8">
        <v>257</v>
      </c>
      <c r="AK35" s="8">
        <v>253.4</v>
      </c>
    </row>
    <row r="36" spans="1:37" x14ac:dyDescent="0.25">
      <c r="A36" s="14" t="s">
        <v>64</v>
      </c>
      <c r="B36" s="118">
        <f>AG36+AH36+C36-(AJ36+AK36)</f>
        <v>503.70000000000005</v>
      </c>
      <c r="C36" s="8">
        <v>360.2</v>
      </c>
      <c r="D36" s="8">
        <v>300.89999999999998</v>
      </c>
      <c r="E36" s="8">
        <v>215.8</v>
      </c>
      <c r="F36" s="8">
        <v>93.8</v>
      </c>
      <c r="G36" s="8">
        <v>27.2</v>
      </c>
      <c r="H36" s="8">
        <v>7.4</v>
      </c>
      <c r="I36" s="336">
        <v>-24.7</v>
      </c>
      <c r="J36" s="57"/>
      <c r="K36" s="58">
        <f t="shared" si="30"/>
        <v>0.26391071989940279</v>
      </c>
      <c r="L36" s="58">
        <f t="shared" si="31"/>
        <v>0.2104709594484048</v>
      </c>
      <c r="M36" s="58">
        <f t="shared" si="32"/>
        <v>0.18105782538058846</v>
      </c>
      <c r="N36" s="58">
        <f t="shared" si="33"/>
        <v>0.13499311897910671</v>
      </c>
      <c r="O36" s="58">
        <f t="shared" si="34"/>
        <v>5.9951425284417735E-2</v>
      </c>
      <c r="P36" s="58">
        <f t="shared" si="35"/>
        <v>1.8379620244611122E-2</v>
      </c>
      <c r="Q36" s="58">
        <f t="shared" si="36"/>
        <v>6.1656390601566406E-3</v>
      </c>
      <c r="R36" s="58">
        <f t="shared" si="9"/>
        <v>-2.2712643678160917E-2</v>
      </c>
      <c r="S36" s="57"/>
      <c r="T36" s="58"/>
      <c r="U36" s="58">
        <f t="shared" si="42"/>
        <v>1.1540801575114852</v>
      </c>
      <c r="V36" s="58">
        <f t="shared" si="43"/>
        <v>1.1750157078321157</v>
      </c>
      <c r="W36" s="58">
        <f t="shared" si="12"/>
        <v>1.2357760978877408</v>
      </c>
      <c r="X36" s="58">
        <f t="shared" si="45"/>
        <v>0.39838978345363701</v>
      </c>
      <c r="Y36" s="58">
        <f t="shared" si="45"/>
        <v>0.19707544034562982</v>
      </c>
      <c r="Z36" s="58">
        <f t="shared" si="45"/>
        <v>0.39434661723818332</v>
      </c>
      <c r="AA36" s="58">
        <f t="shared" si="45"/>
        <v>1.3006396588486142</v>
      </c>
      <c r="AB36" s="58">
        <f t="shared" si="45"/>
        <v>2.4485294117647056</v>
      </c>
      <c r="AC36" s="58">
        <f t="shared" si="45"/>
        <v>2.675675675675675</v>
      </c>
      <c r="AD36" s="58">
        <f t="shared" si="45"/>
        <v>-1.299595141700405</v>
      </c>
      <c r="AE36" s="57"/>
      <c r="AF36" s="57"/>
      <c r="AG36" s="8">
        <v>407.3</v>
      </c>
      <c r="AH36" s="144">
        <v>384.2</v>
      </c>
      <c r="AI36" s="135"/>
      <c r="AJ36" s="8">
        <v>329.3</v>
      </c>
      <c r="AK36" s="8">
        <v>318.7</v>
      </c>
    </row>
    <row r="37" spans="1:37" x14ac:dyDescent="0.25">
      <c r="A37" s="14" t="s">
        <v>71</v>
      </c>
      <c r="B37" s="118">
        <f>AG37+AH37+C37-(AJ37+AK37)</f>
        <v>-155</v>
      </c>
      <c r="C37" s="8">
        <v>-97.3</v>
      </c>
      <c r="D37" s="8">
        <v>-40</v>
      </c>
      <c r="E37" s="8">
        <v>-15.9</v>
      </c>
      <c r="F37" s="8">
        <v>-77.7</v>
      </c>
      <c r="G37" s="8">
        <v>-87.2</v>
      </c>
      <c r="H37" s="8">
        <v>-40.1</v>
      </c>
      <c r="I37" s="336">
        <v>-68.599999999999994</v>
      </c>
      <c r="J37" s="57"/>
      <c r="K37" s="58">
        <f t="shared" si="30"/>
        <v>-8.121135911139056E-2</v>
      </c>
      <c r="L37" s="58">
        <f t="shared" si="31"/>
        <v>-5.6854037630010512E-2</v>
      </c>
      <c r="M37" s="58">
        <f t="shared" si="32"/>
        <v>-2.406883687345809E-2</v>
      </c>
      <c r="N37" s="58">
        <f t="shared" si="33"/>
        <v>-9.9462029275616155E-3</v>
      </c>
      <c r="O37" s="58">
        <f t="shared" si="34"/>
        <v>-4.96612552729132E-2</v>
      </c>
      <c r="P37" s="58">
        <f t="shared" si="35"/>
        <v>-5.8922900195959187E-2</v>
      </c>
      <c r="Q37" s="58">
        <f t="shared" si="36"/>
        <v>-3.341109815030828E-2</v>
      </c>
      <c r="R37" s="58">
        <f t="shared" si="9"/>
        <v>-6.3080459770114936E-2</v>
      </c>
      <c r="S37" s="57"/>
      <c r="T37" s="58">
        <f t="shared" si="10"/>
        <v>5.9981097845075881E-2</v>
      </c>
      <c r="U37" s="58">
        <f t="shared" si="42"/>
        <v>0.27867840875488747</v>
      </c>
      <c r="V37" s="58">
        <f t="shared" si="43"/>
        <v>0.1939707664684176</v>
      </c>
      <c r="W37" s="58">
        <f t="shared" si="12"/>
        <v>0.63524773620149677</v>
      </c>
      <c r="X37" s="58">
        <f t="shared" si="45"/>
        <v>0.59301130524152112</v>
      </c>
      <c r="Y37" s="58">
        <f t="shared" si="45"/>
        <v>1.4324999999999999</v>
      </c>
      <c r="Z37" s="58">
        <f t="shared" si="45"/>
        <v>1.5157232704402517</v>
      </c>
      <c r="AA37" s="58">
        <f t="shared" si="45"/>
        <v>-0.79536679536679544</v>
      </c>
      <c r="AB37" s="58">
        <f t="shared" si="45"/>
        <v>-0.10894495412844037</v>
      </c>
      <c r="AC37" s="58">
        <f t="shared" si="45"/>
        <v>1.1745635910224439</v>
      </c>
      <c r="AD37" s="58">
        <f t="shared" si="45"/>
        <v>-0.4154518950437317</v>
      </c>
      <c r="AE37" s="57"/>
      <c r="AF37" s="57"/>
      <c r="AG37" s="8">
        <v>-95.1</v>
      </c>
      <c r="AH37" s="144">
        <v>-89.6</v>
      </c>
      <c r="AI37" s="135"/>
      <c r="AJ37" s="8">
        <v>-88.7</v>
      </c>
      <c r="AK37" s="8">
        <v>-38.299999999999997</v>
      </c>
    </row>
    <row r="38" spans="1:37" x14ac:dyDescent="0.25">
      <c r="A38" s="14" t="s">
        <v>65</v>
      </c>
      <c r="B38" s="120">
        <f>AG38+AH38+C38-(AJ38+AK38)</f>
        <v>-156.9</v>
      </c>
      <c r="C38" s="23">
        <v>-127.6</v>
      </c>
      <c r="D38" s="23">
        <v>-104</v>
      </c>
      <c r="E38" s="23">
        <v>-92.5</v>
      </c>
      <c r="F38" s="23">
        <v>-90.9</v>
      </c>
      <c r="G38" s="23">
        <v>-90</v>
      </c>
      <c r="H38" s="23">
        <v>-58.2</v>
      </c>
      <c r="I38" s="341">
        <v>-53</v>
      </c>
      <c r="J38" s="57"/>
      <c r="K38" s="59">
        <f t="shared" si="30"/>
        <v>-8.2206853190820509E-2</v>
      </c>
      <c r="L38" s="59">
        <f t="shared" si="31"/>
        <v>-7.4558840715203925E-2</v>
      </c>
      <c r="M38" s="59">
        <f t="shared" si="32"/>
        <v>-6.2578975870991024E-2</v>
      </c>
      <c r="N38" s="59">
        <f t="shared" si="33"/>
        <v>-5.7863130238959087E-2</v>
      </c>
      <c r="O38" s="59">
        <f t="shared" si="34"/>
        <v>-5.809791640035792E-2</v>
      </c>
      <c r="P38" s="59">
        <f t="shared" si="35"/>
        <v>-6.0814919927022093E-2</v>
      </c>
      <c r="Q38" s="59">
        <f t="shared" si="36"/>
        <v>-4.8491918013664391E-2</v>
      </c>
      <c r="R38" s="59">
        <f t="shared" si="9"/>
        <v>-4.8735632183908043E-2</v>
      </c>
      <c r="S38" s="57"/>
      <c r="T38" s="59">
        <f t="shared" si="10"/>
        <v>0.15769938024115637</v>
      </c>
      <c r="U38" s="59">
        <f t="shared" si="42"/>
        <v>0.19759254383606151</v>
      </c>
      <c r="V38" s="59">
        <f t="shared" si="43"/>
        <v>0.16999912767756897</v>
      </c>
      <c r="W38" s="59">
        <f t="shared" si="12"/>
        <v>0.19247745640869152</v>
      </c>
      <c r="X38" s="59">
        <f t="shared" si="45"/>
        <v>0.22962382445141075</v>
      </c>
      <c r="Y38" s="59">
        <f t="shared" si="45"/>
        <v>0.22692307692307687</v>
      </c>
      <c r="Z38" s="59">
        <f t="shared" si="45"/>
        <v>0.12432432432432433</v>
      </c>
      <c r="AA38" s="59">
        <f t="shared" si="45"/>
        <v>1.7601760176017538E-2</v>
      </c>
      <c r="AB38" s="59">
        <f t="shared" si="45"/>
        <v>1.0000000000000063E-2</v>
      </c>
      <c r="AC38" s="59">
        <f t="shared" si="45"/>
        <v>0.54639175257731953</v>
      </c>
      <c r="AD38" s="59">
        <f t="shared" si="45"/>
        <v>9.8113207547169859E-2</v>
      </c>
      <c r="AE38" s="57"/>
      <c r="AF38" s="73"/>
      <c r="AG38" s="23">
        <v>-133.5</v>
      </c>
      <c r="AH38" s="146">
        <v>-133.4</v>
      </c>
      <c r="AI38" s="136"/>
      <c r="AJ38" s="23">
        <v>-122.5</v>
      </c>
      <c r="AK38" s="23">
        <v>-115.1</v>
      </c>
    </row>
    <row r="39" spans="1:37" x14ac:dyDescent="0.25">
      <c r="A39" s="6" t="s">
        <v>66</v>
      </c>
      <c r="B39" s="24">
        <f>SUM(B34:B38)</f>
        <v>488.4</v>
      </c>
      <c r="C39" s="24">
        <f t="shared" ref="C39:I39" si="49">SUM(C34:C38)</f>
        <v>399.4</v>
      </c>
      <c r="D39" s="24">
        <f t="shared" si="49"/>
        <v>406.59999999999991</v>
      </c>
      <c r="E39" s="24">
        <f t="shared" si="49"/>
        <v>341.70000000000005</v>
      </c>
      <c r="F39" s="24">
        <f t="shared" si="49"/>
        <v>147.29999999999998</v>
      </c>
      <c r="G39" s="24">
        <f t="shared" si="49"/>
        <v>56.199999999999989</v>
      </c>
      <c r="H39" s="24">
        <f t="shared" si="49"/>
        <v>99.899999999999991</v>
      </c>
      <c r="I39" s="24">
        <f t="shared" si="49"/>
        <v>30.400000000000006</v>
      </c>
      <c r="J39" s="57"/>
      <c r="K39" s="20">
        <f t="shared" si="30"/>
        <v>0.25589437283873001</v>
      </c>
      <c r="L39" s="20">
        <f t="shared" si="31"/>
        <v>0.23337618324179032</v>
      </c>
      <c r="M39" s="20">
        <f t="shared" si="32"/>
        <v>0.24465972681870141</v>
      </c>
      <c r="N39" s="20">
        <f t="shared" si="33"/>
        <v>0.21374953083948456</v>
      </c>
      <c r="O39" s="20">
        <f t="shared" si="34"/>
        <v>9.4145468490348952E-2</v>
      </c>
      <c r="P39" s="20">
        <f t="shared" si="35"/>
        <v>3.7975538887762679E-2</v>
      </c>
      <c r="Q39" s="20">
        <f t="shared" si="36"/>
        <v>8.3236127312114633E-2</v>
      </c>
      <c r="R39" s="58">
        <f t="shared" si="9"/>
        <v>2.7954022988505751E-2</v>
      </c>
      <c r="S39" s="57"/>
      <c r="T39" s="58">
        <f t="shared" si="10"/>
        <v>0.53611034104253763</v>
      </c>
      <c r="U39" s="20">
        <f t="shared" si="42"/>
        <v>0.33447652813203432</v>
      </c>
      <c r="V39" s="20">
        <f t="shared" si="43"/>
        <v>0.31937580144798172</v>
      </c>
      <c r="W39" s="20">
        <f t="shared" si="12"/>
        <v>0.48306228742914747</v>
      </c>
      <c r="X39" s="20">
        <f t="shared" si="45"/>
        <v>0.22283425137706561</v>
      </c>
      <c r="Y39" s="20">
        <f t="shared" si="45"/>
        <v>-1.7707820954254633E-2</v>
      </c>
      <c r="Z39" s="20">
        <f t="shared" si="45"/>
        <v>0.18993268949370751</v>
      </c>
      <c r="AA39" s="20">
        <f t="shared" si="45"/>
        <v>1.3197556008146645</v>
      </c>
      <c r="AB39" s="20">
        <f t="shared" si="45"/>
        <v>1.6209964412811391</v>
      </c>
      <c r="AC39" s="20">
        <f t="shared" si="45"/>
        <v>-0.43743743743743752</v>
      </c>
      <c r="AD39" s="20">
        <f t="shared" si="45"/>
        <v>2.286184210526315</v>
      </c>
      <c r="AE39" s="57"/>
      <c r="AF39" s="57"/>
      <c r="AG39" s="56">
        <f>SUM(AG34:AG38)</f>
        <v>452.6</v>
      </c>
      <c r="AH39" s="147">
        <f>SUM(AH34:AH38)</f>
        <v>430.59999999999991</v>
      </c>
      <c r="AI39" s="56"/>
      <c r="AJ39" s="56">
        <f>SUM(AJ34:AJ38)</f>
        <v>375.3</v>
      </c>
      <c r="AK39" s="56">
        <f>SUM(AK34:AK38)</f>
        <v>418.9</v>
      </c>
    </row>
    <row r="40" spans="1:37" x14ac:dyDescent="0.25">
      <c r="A40" s="14" t="s">
        <v>67</v>
      </c>
      <c r="B40" s="120">
        <f>AG40+AH40+C40-(AJ40+AK40)</f>
        <v>3.9000000000000004</v>
      </c>
      <c r="C40" s="23">
        <v>3.6</v>
      </c>
      <c r="D40" s="23">
        <v>4.2</v>
      </c>
      <c r="E40" s="23">
        <v>4.3</v>
      </c>
      <c r="F40" s="23">
        <v>11.4</v>
      </c>
      <c r="G40" s="23">
        <v>10.8</v>
      </c>
      <c r="H40" s="23">
        <v>5.9</v>
      </c>
      <c r="I40" s="113">
        <v>4.2</v>
      </c>
      <c r="J40" s="57"/>
      <c r="K40" s="59">
        <f t="shared" si="30"/>
        <v>2.0433825840930528E-3</v>
      </c>
      <c r="L40" s="59">
        <f t="shared" si="31"/>
        <v>2.1035409606170387E-3</v>
      </c>
      <c r="M40" s="59">
        <f t="shared" si="32"/>
        <v>2.5272278717130992E-3</v>
      </c>
      <c r="N40" s="59">
        <f t="shared" si="33"/>
        <v>2.6898536219191788E-3</v>
      </c>
      <c r="O40" s="59">
        <f t="shared" si="34"/>
        <v>7.2862073373386165E-3</v>
      </c>
      <c r="P40" s="59">
        <f t="shared" si="35"/>
        <v>7.2977903912426513E-3</v>
      </c>
      <c r="Q40" s="59">
        <f t="shared" si="36"/>
        <v>4.9158473587735379E-3</v>
      </c>
      <c r="R40" s="59">
        <f t="shared" si="9"/>
        <v>3.8620689655172414E-3</v>
      </c>
      <c r="S40" s="57"/>
      <c r="T40" s="59">
        <f t="shared" si="10"/>
        <v>-2.5364554516409732E-2</v>
      </c>
      <c r="U40" s="59">
        <f t="shared" si="42"/>
        <v>-7.250541878033312E-2</v>
      </c>
      <c r="V40" s="59">
        <f t="shared" si="43"/>
        <v>-9.407947821830287E-2</v>
      </c>
      <c r="W40" s="59">
        <f t="shared" si="12"/>
        <v>3.0079564851778207E-2</v>
      </c>
      <c r="X40" s="59">
        <f t="shared" si="45"/>
        <v>8.3333333333333412E-2</v>
      </c>
      <c r="Y40" s="59">
        <f t="shared" si="45"/>
        <v>-0.14285714285714288</v>
      </c>
      <c r="Z40" s="59">
        <f t="shared" si="45"/>
        <v>-2.3255813953488292E-2</v>
      </c>
      <c r="AA40" s="59">
        <f t="shared" si="45"/>
        <v>-0.6228070175438597</v>
      </c>
      <c r="AB40" s="59">
        <f t="shared" si="45"/>
        <v>5.5555555555555518E-2</v>
      </c>
      <c r="AC40" s="59">
        <f t="shared" si="45"/>
        <v>0.83050847457627119</v>
      </c>
      <c r="AD40" s="59">
        <f t="shared" si="45"/>
        <v>0.40476190476190477</v>
      </c>
      <c r="AE40" s="57"/>
      <c r="AF40" s="73"/>
      <c r="AG40" s="23">
        <v>4</v>
      </c>
      <c r="AH40" s="146">
        <v>4.3</v>
      </c>
      <c r="AI40" s="136"/>
      <c r="AJ40" s="23">
        <v>3.9</v>
      </c>
      <c r="AK40" s="23">
        <v>4.0999999999999996</v>
      </c>
    </row>
    <row r="41" spans="1:37" x14ac:dyDescent="0.25">
      <c r="A41" s="6" t="s">
        <v>68</v>
      </c>
      <c r="B41" s="25">
        <f>SUM(B39:B40)</f>
        <v>492.29999999999995</v>
      </c>
      <c r="C41" s="25">
        <f>SUM(C39:C40)</f>
        <v>403</v>
      </c>
      <c r="D41" s="25">
        <f t="shared" ref="D41:I41" si="50">SUM(D39:D40)</f>
        <v>410.7999999999999</v>
      </c>
      <c r="E41" s="25">
        <f t="shared" si="50"/>
        <v>346.00000000000006</v>
      </c>
      <c r="F41" s="25">
        <f t="shared" si="50"/>
        <v>158.69999999999999</v>
      </c>
      <c r="G41" s="25">
        <f t="shared" si="50"/>
        <v>66.999999999999986</v>
      </c>
      <c r="H41" s="25">
        <f t="shared" si="50"/>
        <v>105.8</v>
      </c>
      <c r="I41" s="25">
        <f t="shared" si="50"/>
        <v>34.600000000000009</v>
      </c>
      <c r="J41" s="57"/>
      <c r="K41" s="18">
        <f t="shared" si="30"/>
        <v>0.25793775542282305</v>
      </c>
      <c r="L41" s="18">
        <f t="shared" si="31"/>
        <v>0.23547972420240737</v>
      </c>
      <c r="M41" s="18">
        <f t="shared" si="32"/>
        <v>0.24718695469041452</v>
      </c>
      <c r="N41" s="18">
        <f t="shared" si="33"/>
        <v>0.21643938446140373</v>
      </c>
      <c r="O41" s="18">
        <f t="shared" si="34"/>
        <v>0.10143167582768757</v>
      </c>
      <c r="P41" s="18">
        <f t="shared" si="35"/>
        <v>4.5273329279005327E-2</v>
      </c>
      <c r="Q41" s="18">
        <f t="shared" si="36"/>
        <v>8.8151974670888186E-2</v>
      </c>
      <c r="R41" s="59">
        <f t="shared" si="9"/>
        <v>3.1816091954022997E-2</v>
      </c>
      <c r="S41" s="57"/>
      <c r="T41" s="59">
        <f t="shared" si="10"/>
        <v>0.50558342363327236</v>
      </c>
      <c r="U41" s="18">
        <f t="shared" si="42"/>
        <v>0.32253760791734876</v>
      </c>
      <c r="V41" s="18">
        <f t="shared" si="43"/>
        <v>0.3066638486734794</v>
      </c>
      <c r="W41" s="18">
        <f t="shared" si="12"/>
        <v>0.42867087717279939</v>
      </c>
      <c r="X41" s="18">
        <f t="shared" si="45"/>
        <v>0.22158808933002469</v>
      </c>
      <c r="Y41" s="18">
        <f t="shared" si="45"/>
        <v>-1.8987341772151653E-2</v>
      </c>
      <c r="Z41" s="18">
        <f t="shared" si="45"/>
        <v>0.18728323699421917</v>
      </c>
      <c r="AA41" s="18">
        <f t="shared" si="45"/>
        <v>1.1802142407057346</v>
      </c>
      <c r="AB41" s="18">
        <f t="shared" si="45"/>
        <v>1.3686567164179109</v>
      </c>
      <c r="AC41" s="18">
        <f t="shared" si="45"/>
        <v>-0.36672967863894151</v>
      </c>
      <c r="AD41" s="18">
        <f t="shared" si="45"/>
        <v>2.0578034682080917</v>
      </c>
      <c r="AE41" s="57"/>
      <c r="AF41" s="73"/>
      <c r="AG41" s="115">
        <f>SUM(AG39:AG40)</f>
        <v>456.6</v>
      </c>
      <c r="AH41" s="153">
        <f t="shared" ref="AH41:AK41" si="51">SUM(AH39:AH40)</f>
        <v>434.89999999999992</v>
      </c>
      <c r="AI41" s="115"/>
      <c r="AJ41" s="115">
        <f t="shared" si="51"/>
        <v>379.2</v>
      </c>
      <c r="AK41" s="115">
        <f t="shared" si="51"/>
        <v>423</v>
      </c>
    </row>
    <row r="42" spans="1:37" ht="15.75" thickBot="1" x14ac:dyDescent="0.3">
      <c r="A42" s="6" t="s">
        <v>69</v>
      </c>
      <c r="B42" s="30">
        <f t="shared" ref="B42:I42" si="52">SUM(B41,B33)</f>
        <v>1908.6000000000001</v>
      </c>
      <c r="C42" s="30">
        <f t="shared" si="52"/>
        <v>1711.4</v>
      </c>
      <c r="D42" s="30">
        <f t="shared" si="52"/>
        <v>1661.8999999999999</v>
      </c>
      <c r="E42" s="30">
        <f t="shared" si="52"/>
        <v>1598.6</v>
      </c>
      <c r="F42" s="30">
        <f t="shared" si="52"/>
        <v>1564.6000000000001</v>
      </c>
      <c r="G42" s="30">
        <f t="shared" si="52"/>
        <v>1479.9</v>
      </c>
      <c r="H42" s="30">
        <f t="shared" si="52"/>
        <v>1200.2</v>
      </c>
      <c r="I42" s="30">
        <f t="shared" si="52"/>
        <v>1087.5</v>
      </c>
      <c r="J42" s="57"/>
      <c r="K42" s="19">
        <f t="shared" si="30"/>
        <v>1.0000000000000002</v>
      </c>
      <c r="L42" s="19">
        <f t="shared" si="31"/>
        <v>1</v>
      </c>
      <c r="M42" s="19">
        <f t="shared" si="32"/>
        <v>0.99999999999999989</v>
      </c>
      <c r="N42" s="19">
        <f t="shared" si="33"/>
        <v>0.99999999999999989</v>
      </c>
      <c r="O42" s="19">
        <f t="shared" si="34"/>
        <v>1</v>
      </c>
      <c r="P42" s="19">
        <f t="shared" si="35"/>
        <v>1</v>
      </c>
      <c r="Q42" s="19">
        <f t="shared" si="36"/>
        <v>1</v>
      </c>
      <c r="R42" s="211">
        <f t="shared" si="9"/>
        <v>1</v>
      </c>
      <c r="S42" s="57"/>
      <c r="T42" s="211">
        <f t="shared" si="10"/>
        <v>7.8500565123124311E-2</v>
      </c>
      <c r="U42" s="19">
        <f t="shared" si="42"/>
        <v>8.8001080689594335E-2</v>
      </c>
      <c r="V42" s="19">
        <f t="shared" si="43"/>
        <v>7.3543337585615376E-2</v>
      </c>
      <c r="W42" s="19">
        <f t="shared" si="12"/>
        <v>8.2769752614073544E-2</v>
      </c>
      <c r="X42" s="19">
        <f t="shared" si="45"/>
        <v>0.11522729928713336</v>
      </c>
      <c r="Y42" s="19">
        <f t="shared" si="45"/>
        <v>2.9785185630904525E-2</v>
      </c>
      <c r="Z42" s="19">
        <f t="shared" si="45"/>
        <v>3.9597147504066031E-2</v>
      </c>
      <c r="AA42" s="19">
        <f t="shared" si="45"/>
        <v>2.1730793813115025E-2</v>
      </c>
      <c r="AB42" s="19">
        <f t="shared" si="45"/>
        <v>5.7233596864653041E-2</v>
      </c>
      <c r="AC42" s="19">
        <f t="shared" si="45"/>
        <v>0.23304449258456927</v>
      </c>
      <c r="AD42" s="19">
        <f t="shared" si="45"/>
        <v>0.10363218390804602</v>
      </c>
      <c r="AE42" s="57"/>
      <c r="AF42" s="172"/>
      <c r="AG42" s="117">
        <f>SUM(AG33,AG41)</f>
        <v>1815.6999999999998</v>
      </c>
      <c r="AH42" s="152">
        <f>SUM(AH33,AH41)</f>
        <v>1800.6</v>
      </c>
      <c r="AI42" s="117"/>
      <c r="AJ42" s="117">
        <f>SUM(AJ33,AJ41)</f>
        <v>1687.3</v>
      </c>
      <c r="AK42" s="117">
        <f>SUM(AK33,AK41)</f>
        <v>1731.8</v>
      </c>
    </row>
    <row r="43" spans="1:37" ht="15.75" thickTop="1" x14ac:dyDescent="0.25">
      <c r="A43" s="353" t="s">
        <v>538</v>
      </c>
      <c r="B43" s="61">
        <f>B42-B23</f>
        <v>0</v>
      </c>
      <c r="C43" s="61">
        <f t="shared" ref="C43:R43" si="53">C42-C23</f>
        <v>0</v>
      </c>
      <c r="D43" s="61">
        <f t="shared" si="53"/>
        <v>0</v>
      </c>
      <c r="E43" s="61">
        <f t="shared" si="53"/>
        <v>0</v>
      </c>
      <c r="F43" s="61">
        <f t="shared" si="53"/>
        <v>0</v>
      </c>
      <c r="G43" s="61">
        <f t="shared" si="53"/>
        <v>0</v>
      </c>
      <c r="H43" s="61">
        <f t="shared" si="53"/>
        <v>0</v>
      </c>
      <c r="I43" s="61">
        <f t="shared" si="53"/>
        <v>0</v>
      </c>
      <c r="J43" s="61"/>
      <c r="K43" s="61">
        <f t="shared" si="53"/>
        <v>0</v>
      </c>
      <c r="L43" s="61">
        <f t="shared" si="53"/>
        <v>0</v>
      </c>
      <c r="M43" s="61">
        <f t="shared" si="53"/>
        <v>0</v>
      </c>
      <c r="N43" s="61">
        <f t="shared" si="53"/>
        <v>0</v>
      </c>
      <c r="O43" s="61">
        <f t="shared" si="53"/>
        <v>0</v>
      </c>
      <c r="P43" s="61">
        <f t="shared" si="53"/>
        <v>0</v>
      </c>
      <c r="Q43" s="61">
        <f t="shared" si="53"/>
        <v>0</v>
      </c>
      <c r="R43" s="61">
        <f t="shared" si="53"/>
        <v>0</v>
      </c>
      <c r="S43" s="61"/>
      <c r="T43" s="61"/>
      <c r="U43" s="61"/>
      <c r="V43" s="61"/>
      <c r="W43" s="61"/>
      <c r="X43" s="62"/>
      <c r="Y43" s="61"/>
      <c r="Z43" s="61"/>
      <c r="AA43" s="61"/>
      <c r="AB43" s="61"/>
      <c r="AC43" s="61"/>
      <c r="AD43" s="61"/>
      <c r="AE43" s="57"/>
      <c r="AF43" s="57"/>
      <c r="AG43" s="61">
        <f>AG42-AG23</f>
        <v>0</v>
      </c>
      <c r="AH43" s="61">
        <f>AH42-AH23</f>
        <v>0</v>
      </c>
      <c r="AI43" s="61"/>
      <c r="AJ43" s="61">
        <f>AJ42-AJ23</f>
        <v>0</v>
      </c>
      <c r="AK43" s="61">
        <f>AK42-AK23</f>
        <v>0</v>
      </c>
    </row>
    <row r="44" spans="1:37" x14ac:dyDescent="0.25">
      <c r="B44" s="61"/>
      <c r="C44" s="61"/>
      <c r="D44" s="61"/>
      <c r="E44" s="61"/>
      <c r="F44" s="61"/>
      <c r="G44" s="61"/>
      <c r="H44" s="61"/>
      <c r="I44" s="61"/>
      <c r="J44" s="61"/>
      <c r="K44" s="61"/>
      <c r="L44" s="61"/>
      <c r="M44" s="61"/>
      <c r="N44" s="61"/>
      <c r="O44" s="61"/>
      <c r="P44" s="61"/>
      <c r="Q44" s="61"/>
      <c r="R44" s="61"/>
      <c r="S44" s="61"/>
      <c r="T44" s="61"/>
      <c r="U44" s="61"/>
      <c r="V44" s="61"/>
      <c r="W44" s="61"/>
      <c r="X44" s="62"/>
      <c r="Y44" s="61"/>
      <c r="Z44" s="61"/>
      <c r="AA44" s="61"/>
      <c r="AB44" s="61"/>
      <c r="AC44" s="61"/>
      <c r="AD44" s="61"/>
      <c r="AE44" s="57"/>
      <c r="AF44" s="57"/>
      <c r="AG44" s="61"/>
      <c r="AH44" s="61"/>
      <c r="AI44" s="61"/>
      <c r="AJ44" s="61"/>
      <c r="AK44" s="61"/>
    </row>
    <row r="45" spans="1:37" x14ac:dyDescent="0.25">
      <c r="A45" s="267" t="s">
        <v>431</v>
      </c>
      <c r="B45" s="60">
        <f>C45+AG45+AH45-AJ45-AK45</f>
        <v>25.220000000000006</v>
      </c>
      <c r="C45" s="60">
        <v>24.55</v>
      </c>
      <c r="D45" s="60">
        <v>24.03</v>
      </c>
      <c r="E45" s="60">
        <v>23.69</v>
      </c>
      <c r="F45" s="60">
        <v>23.32</v>
      </c>
      <c r="G45" s="60">
        <v>23.03</v>
      </c>
      <c r="H45" s="60">
        <v>22.38</v>
      </c>
      <c r="I45" s="60">
        <v>22.14</v>
      </c>
      <c r="J45" s="61"/>
      <c r="K45" s="61"/>
      <c r="L45" s="61"/>
      <c r="M45" s="61"/>
      <c r="N45" s="61"/>
      <c r="O45" s="61"/>
      <c r="P45" s="61"/>
      <c r="Q45" s="61"/>
      <c r="R45" s="61"/>
      <c r="S45" s="61"/>
      <c r="T45" s="61"/>
      <c r="U45" s="61"/>
      <c r="V45" s="61"/>
      <c r="W45" s="61"/>
      <c r="X45" s="62"/>
      <c r="Y45" s="61"/>
      <c r="Z45" s="61"/>
      <c r="AA45" s="61"/>
      <c r="AB45" s="61"/>
      <c r="AC45" s="61"/>
      <c r="AD45" s="61"/>
      <c r="AE45" s="57"/>
      <c r="AF45" s="57"/>
      <c r="AG45" s="60">
        <v>24.84</v>
      </c>
      <c r="AH45" s="265">
        <v>24.79</v>
      </c>
      <c r="AI45" s="231"/>
      <c r="AJ45" s="60">
        <v>24.5</v>
      </c>
      <c r="AK45" s="60">
        <v>24.46</v>
      </c>
    </row>
    <row r="46" spans="1:37" x14ac:dyDescent="0.25">
      <c r="A46" s="267" t="s">
        <v>432</v>
      </c>
      <c r="B46" s="266">
        <f>C46+AG46+AH46-AJ46-AK46</f>
        <v>4.7800000000000011</v>
      </c>
      <c r="C46" s="266">
        <v>3.78</v>
      </c>
      <c r="D46" s="266">
        <v>2.93</v>
      </c>
      <c r="E46" s="266">
        <v>2.59</v>
      </c>
      <c r="F46" s="266">
        <v>2.52</v>
      </c>
      <c r="G46" s="266">
        <v>2.48</v>
      </c>
      <c r="H46" s="266">
        <v>1.61</v>
      </c>
      <c r="I46" s="266">
        <v>1.48</v>
      </c>
      <c r="J46" s="61"/>
      <c r="K46" s="61"/>
      <c r="L46" s="61"/>
      <c r="M46" s="61"/>
      <c r="N46" s="61"/>
      <c r="O46" s="61"/>
      <c r="P46" s="61"/>
      <c r="Q46" s="61"/>
      <c r="R46" s="61"/>
      <c r="S46" s="61"/>
      <c r="T46" s="61"/>
      <c r="U46" s="61"/>
      <c r="V46" s="61"/>
      <c r="W46" s="61"/>
      <c r="X46" s="62"/>
      <c r="Y46" s="61"/>
      <c r="Z46" s="61"/>
      <c r="AA46" s="61"/>
      <c r="AB46" s="61"/>
      <c r="AC46" s="61"/>
      <c r="AD46" s="61"/>
      <c r="AE46" s="57"/>
      <c r="AF46" s="73"/>
      <c r="AG46" s="266">
        <v>3.97</v>
      </c>
      <c r="AH46" s="269">
        <v>3.96</v>
      </c>
      <c r="AI46" s="270"/>
      <c r="AJ46" s="266">
        <v>3.61</v>
      </c>
      <c r="AK46" s="266">
        <v>3.32</v>
      </c>
    </row>
    <row r="47" spans="1:37" x14ac:dyDescent="0.25">
      <c r="A47" s="33" t="s">
        <v>433</v>
      </c>
      <c r="B47" s="268">
        <f>B45-B46</f>
        <v>20.440000000000005</v>
      </c>
      <c r="C47" s="268">
        <f>C45-C46</f>
        <v>20.77</v>
      </c>
      <c r="D47" s="268">
        <f t="shared" ref="D47:I47" si="54">D45-D46</f>
        <v>21.1</v>
      </c>
      <c r="E47" s="268">
        <f t="shared" si="54"/>
        <v>21.1</v>
      </c>
      <c r="F47" s="268">
        <f t="shared" si="54"/>
        <v>20.8</v>
      </c>
      <c r="G47" s="268">
        <f t="shared" si="54"/>
        <v>20.55</v>
      </c>
      <c r="H47" s="268">
        <f t="shared" si="54"/>
        <v>20.77</v>
      </c>
      <c r="I47" s="268">
        <f t="shared" si="54"/>
        <v>20.66</v>
      </c>
      <c r="J47" s="61"/>
      <c r="K47" s="61"/>
      <c r="L47" s="61"/>
      <c r="M47" s="61"/>
      <c r="N47" s="61"/>
      <c r="O47" s="61"/>
      <c r="P47" s="61"/>
      <c r="Q47" s="61"/>
      <c r="R47" s="61"/>
      <c r="S47" s="61"/>
      <c r="T47" s="61"/>
      <c r="U47" s="61"/>
      <c r="V47" s="61"/>
      <c r="W47" s="61"/>
      <c r="X47" s="62"/>
      <c r="Y47" s="61"/>
      <c r="Z47" s="61"/>
      <c r="AA47" s="61"/>
      <c r="AB47" s="61"/>
      <c r="AC47" s="61"/>
      <c r="AD47" s="61"/>
      <c r="AE47" s="57"/>
      <c r="AF47" s="57"/>
      <c r="AG47" s="60">
        <f>AG45-AG46</f>
        <v>20.87</v>
      </c>
      <c r="AH47" s="271">
        <f t="shared" ref="AH47:AK47" si="55">AH45-AH46</f>
        <v>20.83</v>
      </c>
      <c r="AI47" s="60"/>
      <c r="AJ47" s="60">
        <f t="shared" si="55"/>
        <v>20.89</v>
      </c>
      <c r="AK47" s="60">
        <f t="shared" si="55"/>
        <v>21.14</v>
      </c>
    </row>
    <row r="48" spans="1:37" x14ac:dyDescent="0.25">
      <c r="A48" s="267" t="s">
        <v>434</v>
      </c>
      <c r="B48" s="266">
        <v>38.770000000000003</v>
      </c>
      <c r="C48" s="266">
        <v>36.86</v>
      </c>
      <c r="D48" s="266">
        <v>28.13</v>
      </c>
      <c r="E48" s="266">
        <v>33.840000000000003</v>
      </c>
      <c r="F48" s="266">
        <v>19.78</v>
      </c>
      <c r="G48" s="266">
        <v>25.83</v>
      </c>
      <c r="H48" s="266">
        <v>44.14</v>
      </c>
      <c r="I48" s="60">
        <v>17.32</v>
      </c>
      <c r="J48" s="61"/>
      <c r="K48" s="61"/>
      <c r="L48" s="61"/>
      <c r="M48" s="61"/>
      <c r="N48" s="61"/>
      <c r="O48" s="61"/>
      <c r="P48" s="61"/>
      <c r="Q48" s="61"/>
      <c r="R48" s="61"/>
      <c r="S48" s="61"/>
      <c r="T48" s="61"/>
      <c r="U48" s="61"/>
      <c r="V48" s="61"/>
      <c r="W48" s="61"/>
      <c r="X48" s="62"/>
      <c r="Y48" s="61"/>
      <c r="Z48" s="61"/>
      <c r="AA48" s="61"/>
      <c r="AB48" s="61"/>
      <c r="AC48" s="61"/>
      <c r="AD48" s="61"/>
      <c r="AE48" s="57"/>
      <c r="AF48" s="57"/>
      <c r="AG48" s="60"/>
      <c r="AH48" s="265"/>
      <c r="AI48" s="79"/>
      <c r="AJ48" s="60"/>
      <c r="AK48" s="60"/>
    </row>
    <row r="49" spans="1:37" ht="15.75" thickBot="1" x14ac:dyDescent="0.3">
      <c r="A49" s="33" t="s">
        <v>430</v>
      </c>
      <c r="B49" s="103">
        <f>B48*B47</f>
        <v>792.45880000000022</v>
      </c>
      <c r="C49" s="103">
        <f t="shared" ref="C49:I49" si="56">C48*C47</f>
        <v>765.58219999999994</v>
      </c>
      <c r="D49" s="103">
        <f t="shared" si="56"/>
        <v>593.54300000000001</v>
      </c>
      <c r="E49" s="103">
        <f t="shared" si="56"/>
        <v>714.02400000000011</v>
      </c>
      <c r="F49" s="103">
        <f t="shared" si="56"/>
        <v>411.42400000000004</v>
      </c>
      <c r="G49" s="103">
        <f t="shared" si="56"/>
        <v>530.80650000000003</v>
      </c>
      <c r="H49" s="103">
        <f t="shared" si="56"/>
        <v>916.78779999999995</v>
      </c>
      <c r="I49" s="103">
        <f t="shared" si="56"/>
        <v>357.83120000000002</v>
      </c>
      <c r="J49" s="61"/>
      <c r="K49" s="61"/>
      <c r="L49" s="61"/>
      <c r="M49" s="61"/>
      <c r="N49" s="61"/>
      <c r="O49" s="61"/>
      <c r="P49" s="61"/>
      <c r="Q49" s="61"/>
      <c r="R49" s="61"/>
      <c r="S49" s="61"/>
      <c r="T49" s="61"/>
      <c r="U49" s="61"/>
      <c r="V49" s="61"/>
      <c r="W49" s="61"/>
      <c r="X49" s="62"/>
      <c r="Y49" s="61"/>
      <c r="Z49" s="61"/>
      <c r="AA49" s="61"/>
      <c r="AB49" s="61"/>
      <c r="AC49" s="61"/>
      <c r="AD49" s="61"/>
      <c r="AE49" s="57"/>
      <c r="AF49" s="57"/>
      <c r="AG49" s="61"/>
      <c r="AH49" s="61"/>
      <c r="AI49" s="61"/>
      <c r="AJ49" s="61"/>
      <c r="AK49" s="61"/>
    </row>
    <row r="50" spans="1:37" ht="15.75" thickTop="1" x14ac:dyDescent="0.25">
      <c r="B50" s="61"/>
      <c r="C50" s="61"/>
      <c r="D50" s="61"/>
      <c r="E50" s="61"/>
      <c r="F50" s="61"/>
      <c r="G50" s="61"/>
      <c r="H50" s="61"/>
      <c r="I50" s="61"/>
      <c r="J50" s="61"/>
      <c r="K50" s="61"/>
      <c r="L50" s="61"/>
      <c r="M50" s="61"/>
      <c r="N50" s="61"/>
      <c r="O50" s="61"/>
      <c r="P50" s="61"/>
      <c r="Q50" s="61"/>
      <c r="R50" s="61"/>
      <c r="S50" s="61"/>
      <c r="T50" s="61"/>
      <c r="U50" s="61"/>
      <c r="V50" s="61"/>
      <c r="W50" s="61"/>
      <c r="X50" s="62"/>
      <c r="Y50" s="61"/>
      <c r="Z50" s="61"/>
      <c r="AA50" s="61"/>
      <c r="AB50" s="61"/>
      <c r="AC50" s="61"/>
      <c r="AD50" s="61"/>
      <c r="AE50" s="57"/>
      <c r="AF50" s="57"/>
      <c r="AG50" s="61"/>
      <c r="AH50" s="61"/>
      <c r="AI50" s="61"/>
      <c r="AJ50" s="61"/>
      <c r="AK50" s="61"/>
    </row>
    <row r="51" spans="1:37" s="1" customFormat="1" x14ac:dyDescent="0.25">
      <c r="A51" s="1" t="s">
        <v>111</v>
      </c>
      <c r="B51" s="1" t="s">
        <v>476</v>
      </c>
      <c r="K51" s="1" t="s">
        <v>476</v>
      </c>
      <c r="U51" s="1" t="s">
        <v>476</v>
      </c>
      <c r="AF51" s="1" t="s">
        <v>476</v>
      </c>
    </row>
    <row r="52" spans="1:37" s="1" customFormat="1" x14ac:dyDescent="0.25">
      <c r="A52" s="1" t="s">
        <v>108</v>
      </c>
      <c r="K52" s="1" t="s">
        <v>114</v>
      </c>
      <c r="U52" s="1" t="s">
        <v>74</v>
      </c>
      <c r="AF52" s="1" t="s">
        <v>73</v>
      </c>
    </row>
    <row r="53" spans="1:37" s="1" customFormat="1" x14ac:dyDescent="0.25">
      <c r="A53" s="1" t="s">
        <v>3</v>
      </c>
      <c r="H53" s="2"/>
      <c r="I53" s="2"/>
      <c r="Q53" s="2"/>
      <c r="R53" s="2"/>
      <c r="T53" s="1" t="s">
        <v>536</v>
      </c>
      <c r="U53" s="1" t="s">
        <v>263</v>
      </c>
      <c r="V53" s="1" t="s">
        <v>4</v>
      </c>
      <c r="W53" s="1" t="s">
        <v>5</v>
      </c>
      <c r="X53" s="22" t="s">
        <v>75</v>
      </c>
      <c r="Y53" s="1" t="s">
        <v>6</v>
      </c>
      <c r="Z53" s="1" t="s">
        <v>7</v>
      </c>
      <c r="AA53" s="1" t="s">
        <v>8</v>
      </c>
      <c r="AB53" s="1" t="s">
        <v>9</v>
      </c>
      <c r="AC53" s="1" t="s">
        <v>10</v>
      </c>
      <c r="AD53" s="1" t="s">
        <v>537</v>
      </c>
      <c r="AF53" s="109" t="s">
        <v>262</v>
      </c>
      <c r="AG53" s="109" t="s">
        <v>260</v>
      </c>
      <c r="AH53" s="111" t="s">
        <v>261</v>
      </c>
      <c r="AI53" s="109" t="s">
        <v>262</v>
      </c>
      <c r="AJ53" s="109" t="s">
        <v>260</v>
      </c>
      <c r="AK53" s="109" t="s">
        <v>261</v>
      </c>
    </row>
    <row r="54" spans="1:37" s="1" customFormat="1" ht="15.75" thickBot="1" x14ac:dyDescent="0.3">
      <c r="A54" s="2" t="s">
        <v>11</v>
      </c>
      <c r="B54" s="17" t="s">
        <v>72</v>
      </c>
      <c r="C54" s="3">
        <v>2022</v>
      </c>
      <c r="D54" s="3">
        <v>2021</v>
      </c>
      <c r="E54" s="3">
        <v>2020</v>
      </c>
      <c r="F54" s="3">
        <v>2019</v>
      </c>
      <c r="G54" s="3">
        <v>2018</v>
      </c>
      <c r="H54" s="3">
        <v>2017</v>
      </c>
      <c r="I54" s="3">
        <v>2016</v>
      </c>
      <c r="K54" s="17" t="s">
        <v>72</v>
      </c>
      <c r="L54" s="3">
        <v>2022</v>
      </c>
      <c r="M54" s="3">
        <v>2021</v>
      </c>
      <c r="N54" s="3">
        <v>2020</v>
      </c>
      <c r="O54" s="3">
        <v>2019</v>
      </c>
      <c r="P54" s="3">
        <v>2018</v>
      </c>
      <c r="Q54" s="3">
        <v>2017</v>
      </c>
      <c r="R54" s="3">
        <v>2016</v>
      </c>
      <c r="T54" s="4" t="s">
        <v>12</v>
      </c>
      <c r="U54" s="4" t="s">
        <v>12</v>
      </c>
      <c r="V54" s="4" t="s">
        <v>12</v>
      </c>
      <c r="W54" s="4" t="s">
        <v>13</v>
      </c>
      <c r="X54" s="21" t="s">
        <v>72</v>
      </c>
      <c r="Y54" s="3">
        <v>2022</v>
      </c>
      <c r="Z54" s="3">
        <v>2021</v>
      </c>
      <c r="AA54" s="3">
        <v>2020</v>
      </c>
      <c r="AB54" s="3">
        <v>2019</v>
      </c>
      <c r="AC54" s="3">
        <v>2018</v>
      </c>
      <c r="AD54" s="3">
        <v>2017</v>
      </c>
      <c r="AE54" s="7"/>
      <c r="AF54" s="110">
        <v>2023</v>
      </c>
      <c r="AG54" s="110">
        <v>2023</v>
      </c>
      <c r="AH54" s="112">
        <v>2023</v>
      </c>
      <c r="AI54" s="110">
        <v>2022</v>
      </c>
      <c r="AJ54" s="110">
        <v>2022</v>
      </c>
      <c r="AK54" s="110">
        <v>2022</v>
      </c>
    </row>
    <row r="55" spans="1:37" s="35" customFormat="1" ht="15" customHeight="1" x14ac:dyDescent="0.25">
      <c r="A55" s="37" t="s">
        <v>81</v>
      </c>
      <c r="B55" s="107">
        <f>Reclassified!B55</f>
        <v>2109.3000000000002</v>
      </c>
      <c r="C55" s="107">
        <f>Reclassified!C55</f>
        <v>1980.5</v>
      </c>
      <c r="D55" s="107">
        <f>Reclassified!D55</f>
        <v>1678.6</v>
      </c>
      <c r="E55" s="107">
        <f>Reclassified!E55</f>
        <v>1669.1</v>
      </c>
      <c r="F55" s="107">
        <f>Reclassified!F55</f>
        <v>1637</v>
      </c>
      <c r="G55" s="107">
        <f>Reclassified!G55</f>
        <v>1562.7</v>
      </c>
      <c r="H55" s="107">
        <f>Reclassified!H55</f>
        <v>1475.5</v>
      </c>
      <c r="I55" s="107">
        <f>Reclassified!I55</f>
        <v>1416.2</v>
      </c>
      <c r="K55" s="41">
        <f t="shared" ref="K55:K74" si="57">B55/$B$55</f>
        <v>1</v>
      </c>
      <c r="L55" s="41">
        <f t="shared" ref="L55:L74" si="58">C55/$C$55</f>
        <v>1</v>
      </c>
      <c r="M55" s="41">
        <f t="shared" ref="M55:M74" si="59">D55/$D$55</f>
        <v>1</v>
      </c>
      <c r="N55" s="41">
        <f t="shared" ref="N55:N74" si="60">E55/$E$55</f>
        <v>1</v>
      </c>
      <c r="O55" s="41">
        <f t="shared" ref="O55:O74" si="61">F55/$F$55</f>
        <v>1</v>
      </c>
      <c r="P55" s="41">
        <f t="shared" ref="P55:P74" si="62">G55/$G$55</f>
        <v>1</v>
      </c>
      <c r="Q55" s="41">
        <f t="shared" ref="Q55:Q74" si="63">H55/$H$55</f>
        <v>1</v>
      </c>
      <c r="R55" s="41">
        <f>I55/$I$55</f>
        <v>1</v>
      </c>
      <c r="T55" s="41">
        <f>_xlfn.RRI(6,I55,C55)</f>
        <v>5.7487013665047604E-2</v>
      </c>
      <c r="U55" s="41">
        <f>_xlfn.RRI(5.5,H55,B55)</f>
        <v>6.7131710020519542E-2</v>
      </c>
      <c r="V55" s="41">
        <f>_xlfn.RRI(5,H55,C55)</f>
        <v>6.0637862838911261E-2</v>
      </c>
      <c r="W55" s="41">
        <f>AVERAGE(X55:AC55)</f>
        <v>6.2805265993457635E-2</v>
      </c>
      <c r="X55" s="41">
        <f t="shared" ref="X55:AD58" si="64">(B55-C55)/C55</f>
        <v>6.5034082302448962E-2</v>
      </c>
      <c r="Y55" s="41">
        <f t="shared" si="64"/>
        <v>0.17985225783390926</v>
      </c>
      <c r="Z55" s="41">
        <f t="shared" si="64"/>
        <v>5.6916901324066864E-3</v>
      </c>
      <c r="AA55" s="41">
        <f t="shared" si="64"/>
        <v>1.9609040928527739E-2</v>
      </c>
      <c r="AB55" s="41">
        <f t="shared" si="64"/>
        <v>4.7545914122992229E-2</v>
      </c>
      <c r="AC55" s="41">
        <f t="shared" si="64"/>
        <v>5.9098610640460889E-2</v>
      </c>
      <c r="AD55" s="41">
        <f t="shared" si="64"/>
        <v>4.1872616862025105E-2</v>
      </c>
      <c r="AG55" s="28">
        <v>577.20000000000005</v>
      </c>
      <c r="AH55" s="166">
        <v>513.4</v>
      </c>
      <c r="AI55" s="134"/>
      <c r="AJ55" s="28">
        <v>502.5</v>
      </c>
      <c r="AK55" s="28">
        <v>459.3</v>
      </c>
    </row>
    <row r="56" spans="1:37" s="35" customFormat="1" ht="15" customHeight="1" x14ac:dyDescent="0.25">
      <c r="A56" s="37" t="s">
        <v>82</v>
      </c>
      <c r="B56" s="358">
        <f>Reclassified!B56</f>
        <v>1720.2</v>
      </c>
      <c r="C56" s="358">
        <f>Reclassified!C56</f>
        <v>1635.9</v>
      </c>
      <c r="D56" s="358">
        <f>Reclassified!D56</f>
        <v>1344.5</v>
      </c>
      <c r="E56" s="358">
        <f>Reclassified!E56</f>
        <v>1308.7</v>
      </c>
      <c r="F56" s="358">
        <f>Reclassified!F56</f>
        <v>1306.3</v>
      </c>
      <c r="G56" s="358">
        <f>Reclassified!G56</f>
        <v>1260.9000000000001</v>
      </c>
      <c r="H56" s="358">
        <f>Reclassified!H56</f>
        <v>1153.4000000000001</v>
      </c>
      <c r="I56" s="358">
        <f>Reclassified!I56</f>
        <v>1126.2</v>
      </c>
      <c r="K56" s="42">
        <f t="shared" si="57"/>
        <v>0.81553121888778268</v>
      </c>
      <c r="L56" s="42">
        <f t="shared" si="58"/>
        <v>0.82600353446099473</v>
      </c>
      <c r="M56" s="42">
        <f t="shared" si="59"/>
        <v>0.80096508995591564</v>
      </c>
      <c r="N56" s="42">
        <f t="shared" si="60"/>
        <v>0.78407525013480328</v>
      </c>
      <c r="O56" s="42">
        <f t="shared" si="61"/>
        <v>0.79798411728772145</v>
      </c>
      <c r="P56" s="42">
        <f t="shared" si="62"/>
        <v>0.80687272029180268</v>
      </c>
      <c r="Q56" s="42">
        <f t="shared" si="63"/>
        <v>0.781701118264995</v>
      </c>
      <c r="R56" s="42">
        <f t="shared" ref="R56:R74" si="65">I56/$I$55</f>
        <v>0.79522666290072019</v>
      </c>
      <c r="T56" s="42">
        <f t="shared" ref="T56:T74" si="66">_xlfn.RRI(6,I56,C56)</f>
        <v>6.4200695046773726E-2</v>
      </c>
      <c r="U56" s="42">
        <f>_xlfn.RRI(5.5,H56,B56)</f>
        <v>7.5383710995013287E-2</v>
      </c>
      <c r="V56" s="42">
        <f>_xlfn.RRI(5,H56,C56)</f>
        <v>7.2396433744121858E-2</v>
      </c>
      <c r="W56" s="42">
        <f t="shared" ref="W56:W74" si="67">AVERAGE(X56:AC56)</f>
        <v>7.1111247740207578E-2</v>
      </c>
      <c r="X56" s="42">
        <f t="shared" si="64"/>
        <v>5.1531267192371139E-2</v>
      </c>
      <c r="Y56" s="42">
        <f t="shared" si="64"/>
        <v>0.21673484566753445</v>
      </c>
      <c r="Z56" s="42">
        <f t="shared" si="64"/>
        <v>2.7355390845877552E-2</v>
      </c>
      <c r="AA56" s="42">
        <f t="shared" si="64"/>
        <v>1.8372502487943741E-3</v>
      </c>
      <c r="AB56" s="42">
        <f t="shared" si="64"/>
        <v>3.6006027440716834E-2</v>
      </c>
      <c r="AC56" s="42">
        <f t="shared" si="64"/>
        <v>9.3202705045951087E-2</v>
      </c>
      <c r="AD56" s="42">
        <f t="shared" si="64"/>
        <v>2.4152015627774859E-2</v>
      </c>
      <c r="AF56" s="169"/>
      <c r="AG56" s="23">
        <v>464.7</v>
      </c>
      <c r="AH56" s="146">
        <v>409.3</v>
      </c>
      <c r="AI56" s="136"/>
      <c r="AJ56" s="23">
        <v>419.4</v>
      </c>
      <c r="AK56" s="23">
        <v>370.3</v>
      </c>
    </row>
    <row r="57" spans="1:37" s="96" customFormat="1" ht="15" customHeight="1" x14ac:dyDescent="0.25">
      <c r="A57" s="36" t="s">
        <v>112</v>
      </c>
      <c r="B57" s="359">
        <f>B55-B56</f>
        <v>389.10000000000014</v>
      </c>
      <c r="C57" s="359">
        <f t="shared" ref="C57:I57" si="68">C55-C56</f>
        <v>344.59999999999991</v>
      </c>
      <c r="D57" s="359">
        <f t="shared" si="68"/>
        <v>334.09999999999991</v>
      </c>
      <c r="E57" s="359">
        <f t="shared" si="68"/>
        <v>360.39999999999986</v>
      </c>
      <c r="F57" s="359">
        <f t="shared" si="68"/>
        <v>330.70000000000005</v>
      </c>
      <c r="G57" s="359">
        <f t="shared" si="68"/>
        <v>301.79999999999995</v>
      </c>
      <c r="H57" s="359">
        <f t="shared" si="68"/>
        <v>322.09999999999991</v>
      </c>
      <c r="I57" s="359">
        <f t="shared" si="68"/>
        <v>290</v>
      </c>
      <c r="K57" s="95">
        <f t="shared" si="57"/>
        <v>0.18446878111221737</v>
      </c>
      <c r="L57" s="95">
        <f t="shared" si="58"/>
        <v>0.17399646553900525</v>
      </c>
      <c r="M57" s="95">
        <f t="shared" si="59"/>
        <v>0.1990349100440843</v>
      </c>
      <c r="N57" s="95">
        <f t="shared" si="60"/>
        <v>0.21592474986519675</v>
      </c>
      <c r="O57" s="95">
        <f t="shared" si="61"/>
        <v>0.20201588271227858</v>
      </c>
      <c r="P57" s="95">
        <f t="shared" si="62"/>
        <v>0.19312727970819732</v>
      </c>
      <c r="Q57" s="95">
        <f t="shared" si="63"/>
        <v>0.21829888173500503</v>
      </c>
      <c r="R57" s="95">
        <f t="shared" si="65"/>
        <v>0.20477333709927975</v>
      </c>
      <c r="T57" s="95">
        <f t="shared" si="66"/>
        <v>2.916785387926546E-2</v>
      </c>
      <c r="U57" s="95">
        <f>_xlfn.RRI(5.5,H57,B57)</f>
        <v>3.4956056095237553E-2</v>
      </c>
      <c r="V57" s="95">
        <f>_xlfn.RRI(5,H57,C57)</f>
        <v>1.3596050542198368E-2</v>
      </c>
      <c r="W57" s="95">
        <f t="shared" si="67"/>
        <v>3.502214045609698E-2</v>
      </c>
      <c r="X57" s="95">
        <f t="shared" si="64"/>
        <v>0.12913522925130655</v>
      </c>
      <c r="Y57" s="95">
        <f t="shared" si="64"/>
        <v>3.1427716252618983E-2</v>
      </c>
      <c r="Z57" s="95">
        <f t="shared" si="64"/>
        <v>-7.297447280799102E-2</v>
      </c>
      <c r="AA57" s="95">
        <f t="shared" si="64"/>
        <v>8.9809495010583051E-2</v>
      </c>
      <c r="AB57" s="95">
        <f t="shared" si="64"/>
        <v>9.5758780649437034E-2</v>
      </c>
      <c r="AC57" s="95">
        <f t="shared" si="64"/>
        <v>-6.3023905619372739E-2</v>
      </c>
      <c r="AD57" s="95">
        <f t="shared" si="64"/>
        <v>0.11068965517241348</v>
      </c>
      <c r="AG57" s="39">
        <f>AG55-AG56</f>
        <v>112.50000000000006</v>
      </c>
      <c r="AH57" s="154">
        <f t="shared" ref="AH57:AK57" si="69">AH55-AH56</f>
        <v>104.09999999999997</v>
      </c>
      <c r="AI57" s="39"/>
      <c r="AJ57" s="39">
        <f t="shared" si="69"/>
        <v>83.100000000000023</v>
      </c>
      <c r="AK57" s="39">
        <f t="shared" si="69"/>
        <v>89</v>
      </c>
    </row>
    <row r="58" spans="1:37" s="35" customFormat="1" ht="15" customHeight="1" x14ac:dyDescent="0.25">
      <c r="A58" s="37" t="s">
        <v>83</v>
      </c>
      <c r="B58" s="107">
        <f>Reclassified!B58</f>
        <v>56.9</v>
      </c>
      <c r="C58" s="107">
        <f>Reclassified!C58</f>
        <v>56.1</v>
      </c>
      <c r="D58" s="107">
        <f>Reclassified!D58</f>
        <v>57.7</v>
      </c>
      <c r="E58" s="107">
        <f>Reclassified!E58</f>
        <v>54.1</v>
      </c>
      <c r="F58" s="107">
        <f>Reclassified!F58</f>
        <v>51.4</v>
      </c>
      <c r="G58" s="107">
        <f>Reclassified!G58</f>
        <v>46.9</v>
      </c>
      <c r="H58" s="107">
        <f>Reclassified!H58</f>
        <v>49.8</v>
      </c>
      <c r="I58" s="107">
        <f>Reclassified!I58</f>
        <v>52.9</v>
      </c>
      <c r="K58" s="41">
        <f t="shared" si="57"/>
        <v>2.6975773953444266E-2</v>
      </c>
      <c r="L58" s="41">
        <f t="shared" si="58"/>
        <v>2.8326180257510731E-2</v>
      </c>
      <c r="M58" s="41">
        <f t="shared" si="59"/>
        <v>3.4373882997736215E-2</v>
      </c>
      <c r="N58" s="41">
        <f t="shared" si="60"/>
        <v>3.2412677490863344E-2</v>
      </c>
      <c r="O58" s="41">
        <f t="shared" si="61"/>
        <v>3.1398900427611481E-2</v>
      </c>
      <c r="P58" s="41">
        <f t="shared" si="62"/>
        <v>3.0012158443719201E-2</v>
      </c>
      <c r="Q58" s="41">
        <f t="shared" si="63"/>
        <v>3.3751270755676042E-2</v>
      </c>
      <c r="R58" s="41">
        <f t="shared" si="65"/>
        <v>3.7353481146730684E-2</v>
      </c>
      <c r="T58" s="41">
        <f t="shared" si="66"/>
        <v>9.8368120898744138E-3</v>
      </c>
      <c r="U58" s="41">
        <f>_xlfn.RRI(5.5,H58,B58)</f>
        <v>2.4528792443905489E-2</v>
      </c>
      <c r="V58" s="41">
        <f>_xlfn.RRI(5,H58,C58)</f>
        <v>2.4110228352600682E-2</v>
      </c>
      <c r="W58" s="41">
        <f t="shared" si="67"/>
        <v>2.3886521671342507E-2</v>
      </c>
      <c r="X58" s="41">
        <f t="shared" si="64"/>
        <v>1.426024955436715E-2</v>
      </c>
      <c r="Y58" s="41">
        <f t="shared" si="64"/>
        <v>-2.7729636048526886E-2</v>
      </c>
      <c r="Z58" s="41">
        <f t="shared" si="64"/>
        <v>6.6543438077634035E-2</v>
      </c>
      <c r="AA58" s="41">
        <f t="shared" si="64"/>
        <v>5.2529182879377488E-2</v>
      </c>
      <c r="AB58" s="41">
        <f t="shared" si="64"/>
        <v>9.5948827292110878E-2</v>
      </c>
      <c r="AC58" s="41">
        <f t="shared" si="64"/>
        <v>-5.8232931726907605E-2</v>
      </c>
      <c r="AD58" s="41">
        <f t="shared" si="64"/>
        <v>-5.860113421550097E-2</v>
      </c>
      <c r="AG58" s="8">
        <v>14.4</v>
      </c>
      <c r="AH58" s="144">
        <v>14</v>
      </c>
      <c r="AI58" s="135"/>
      <c r="AJ58" s="8">
        <v>13.4</v>
      </c>
      <c r="AK58" s="8">
        <v>14.2</v>
      </c>
    </row>
    <row r="59" spans="1:37" s="35" customFormat="1" ht="15" customHeight="1" x14ac:dyDescent="0.25">
      <c r="A59" s="37" t="s">
        <v>84</v>
      </c>
      <c r="B59" s="107">
        <f>Reclassified!B59-B96</f>
        <v>0</v>
      </c>
      <c r="C59" s="107">
        <f>Reclassified!C59-C96</f>
        <v>0</v>
      </c>
      <c r="D59" s="107">
        <f>Reclassified!D59-D96</f>
        <v>0</v>
      </c>
      <c r="E59" s="107">
        <f>Reclassified!E59-E96</f>
        <v>0</v>
      </c>
      <c r="F59" s="107">
        <f>Reclassified!F59-F96</f>
        <v>0</v>
      </c>
      <c r="G59" s="107">
        <f>Reclassified!G59-G96</f>
        <v>0</v>
      </c>
      <c r="H59" s="107">
        <f>Reclassified!H59-H96</f>
        <v>0</v>
      </c>
      <c r="I59" s="107">
        <f>Reclassified!I59-I96</f>
        <v>0</v>
      </c>
      <c r="K59" s="41">
        <f t="shared" si="57"/>
        <v>0</v>
      </c>
      <c r="L59" s="41">
        <f t="shared" si="58"/>
        <v>0</v>
      </c>
      <c r="M59" s="41">
        <f t="shared" si="59"/>
        <v>0</v>
      </c>
      <c r="N59" s="41">
        <f t="shared" si="60"/>
        <v>0</v>
      </c>
      <c r="O59" s="41">
        <f t="shared" si="61"/>
        <v>0</v>
      </c>
      <c r="P59" s="41">
        <f t="shared" si="62"/>
        <v>0</v>
      </c>
      <c r="Q59" s="41">
        <f t="shared" si="63"/>
        <v>0</v>
      </c>
      <c r="R59" s="41">
        <f t="shared" si="65"/>
        <v>0</v>
      </c>
      <c r="T59" s="41"/>
      <c r="U59" s="41"/>
      <c r="V59" s="41"/>
      <c r="W59" s="41"/>
      <c r="X59" s="41"/>
      <c r="Y59" s="41"/>
      <c r="Z59" s="41"/>
      <c r="AA59" s="41"/>
      <c r="AB59" s="41"/>
      <c r="AC59" s="41"/>
      <c r="AD59" s="41"/>
      <c r="AG59" s="8">
        <v>0</v>
      </c>
      <c r="AH59" s="144">
        <v>-1.8</v>
      </c>
      <c r="AI59" s="135"/>
      <c r="AJ59" s="8">
        <v>0</v>
      </c>
      <c r="AK59" s="8">
        <v>-2.5</v>
      </c>
    </row>
    <row r="60" spans="1:37" s="35" customFormat="1" ht="15" customHeight="1" x14ac:dyDescent="0.25">
      <c r="A60" s="37" t="s">
        <v>85</v>
      </c>
      <c r="B60" s="107">
        <f>Reclassified!B60-B97</f>
        <v>0</v>
      </c>
      <c r="C60" s="107">
        <f>Reclassified!C60-C97</f>
        <v>0</v>
      </c>
      <c r="D60" s="107">
        <f>Reclassified!D60-D97</f>
        <v>0</v>
      </c>
      <c r="E60" s="107">
        <f>Reclassified!E60-E97</f>
        <v>0</v>
      </c>
      <c r="F60" s="107">
        <f>Reclassified!F60-F97</f>
        <v>0</v>
      </c>
      <c r="G60" s="107">
        <f>Reclassified!G60-G97</f>
        <v>0</v>
      </c>
      <c r="H60" s="107">
        <f>Reclassified!H60-H97</f>
        <v>0</v>
      </c>
      <c r="I60" s="107">
        <f>Reclassified!I60-I97</f>
        <v>0</v>
      </c>
      <c r="K60" s="41">
        <f t="shared" si="57"/>
        <v>0</v>
      </c>
      <c r="L60" s="41">
        <f t="shared" si="58"/>
        <v>0</v>
      </c>
      <c r="M60" s="41">
        <f t="shared" si="59"/>
        <v>0</v>
      </c>
      <c r="N60" s="41">
        <f t="shared" si="60"/>
        <v>0</v>
      </c>
      <c r="O60" s="41">
        <f t="shared" si="61"/>
        <v>0</v>
      </c>
      <c r="P60" s="41">
        <f t="shared" si="62"/>
        <v>0</v>
      </c>
      <c r="Q60" s="41">
        <f t="shared" si="63"/>
        <v>0</v>
      </c>
      <c r="R60" s="41">
        <f t="shared" si="65"/>
        <v>0</v>
      </c>
      <c r="T60" s="41"/>
      <c r="U60" s="41"/>
      <c r="V60" s="41"/>
      <c r="W60" s="41"/>
      <c r="X60" s="41"/>
      <c r="Y60" s="41"/>
      <c r="Z60" s="41"/>
      <c r="AA60" s="41"/>
      <c r="AB60" s="41"/>
      <c r="AC60" s="41"/>
      <c r="AD60" s="41"/>
      <c r="AG60" s="16">
        <v>0</v>
      </c>
      <c r="AH60" s="155">
        <v>0</v>
      </c>
      <c r="AI60" s="137"/>
      <c r="AJ60" s="16">
        <v>0</v>
      </c>
      <c r="AK60" s="16">
        <v>0</v>
      </c>
    </row>
    <row r="61" spans="1:37" s="35" customFormat="1" ht="15" customHeight="1" x14ac:dyDescent="0.25">
      <c r="A61" s="37" t="str">
        <f>A502</f>
        <v>SG&amp;A (See Note)</v>
      </c>
      <c r="B61" s="358">
        <f>Reclassified!B61-B100-B101</f>
        <v>157.89999999999998</v>
      </c>
      <c r="C61" s="358">
        <f>Reclassified!C61-C100-C101</f>
        <v>153.19999999999999</v>
      </c>
      <c r="D61" s="358">
        <f>Reclassified!D61-D100-D101</f>
        <v>148.30000000000001</v>
      </c>
      <c r="E61" s="358">
        <f>Reclassified!E61-E100-E101</f>
        <v>142.50000000000003</v>
      </c>
      <c r="F61" s="358">
        <f>Reclassified!F61-F100-F101</f>
        <v>147.29999999999998</v>
      </c>
      <c r="G61" s="358">
        <f>Reclassified!G61-G100-G101</f>
        <v>157.19999999999999</v>
      </c>
      <c r="H61" s="358">
        <f>Reclassified!H61-H100-H101</f>
        <v>132.1</v>
      </c>
      <c r="I61" s="358">
        <f>Reclassified!I61-I100-I101</f>
        <v>125.7</v>
      </c>
      <c r="K61" s="42">
        <f t="shared" si="57"/>
        <v>7.4858957948134436E-2</v>
      </c>
      <c r="L61" s="42">
        <f t="shared" si="58"/>
        <v>7.7354203483968695E-2</v>
      </c>
      <c r="M61" s="42">
        <f t="shared" si="59"/>
        <v>8.8347432384129648E-2</v>
      </c>
      <c r="N61" s="42">
        <f t="shared" si="60"/>
        <v>8.5375351986100315E-2</v>
      </c>
      <c r="O61" s="42">
        <f t="shared" si="61"/>
        <v>8.998167379352473E-2</v>
      </c>
      <c r="P61" s="42">
        <f t="shared" si="62"/>
        <v>0.10059512382415049</v>
      </c>
      <c r="Q61" s="42">
        <f t="shared" si="63"/>
        <v>8.952897322941375E-2</v>
      </c>
      <c r="R61" s="42">
        <f t="shared" si="65"/>
        <v>8.8758649908205062E-2</v>
      </c>
      <c r="T61" s="42">
        <f t="shared" si="66"/>
        <v>3.3524036194733542E-2</v>
      </c>
      <c r="U61" s="42">
        <f>_xlfn.RRI(5.5,H61,B61)</f>
        <v>3.2968665636757155E-2</v>
      </c>
      <c r="V61" s="42">
        <f>_xlfn.RRI(5,H61,C61)</f>
        <v>3.0080556271508518E-2</v>
      </c>
      <c r="W61" s="42">
        <f t="shared" si="67"/>
        <v>3.3144275190167015E-2</v>
      </c>
      <c r="X61" s="42">
        <f t="shared" ref="X61:AD64" si="70">(B61-C61)/C61</f>
        <v>3.0678851174934654E-2</v>
      </c>
      <c r="Y61" s="42">
        <f t="shared" si="70"/>
        <v>3.3041132838840033E-2</v>
      </c>
      <c r="Z61" s="42">
        <f t="shared" si="70"/>
        <v>4.0701754385964788E-2</v>
      </c>
      <c r="AA61" s="42">
        <f t="shared" si="70"/>
        <v>-3.2586558044806209E-2</v>
      </c>
      <c r="AB61" s="42">
        <f t="shared" si="70"/>
        <v>-6.2977099236641257E-2</v>
      </c>
      <c r="AC61" s="42">
        <f t="shared" si="70"/>
        <v>0.19000757002271004</v>
      </c>
      <c r="AD61" s="42">
        <f t="shared" si="70"/>
        <v>5.0914876690532948E-2</v>
      </c>
      <c r="AF61" s="169"/>
      <c r="AG61" s="8">
        <f>AG502</f>
        <v>43.699999999999996</v>
      </c>
      <c r="AH61" s="144">
        <f t="shared" ref="AH61:AK61" si="71">AH502</f>
        <v>41.6</v>
      </c>
      <c r="AI61" s="135"/>
      <c r="AJ61" s="8">
        <f t="shared" si="71"/>
        <v>40.6</v>
      </c>
      <c r="AK61" s="8">
        <f t="shared" si="71"/>
        <v>39.1</v>
      </c>
    </row>
    <row r="62" spans="1:37" s="96" customFormat="1" ht="15" customHeight="1" x14ac:dyDescent="0.25">
      <c r="A62" s="36" t="s">
        <v>88</v>
      </c>
      <c r="B62" s="359">
        <f>B57-SUM(B58:B61)</f>
        <v>174.30000000000015</v>
      </c>
      <c r="C62" s="359">
        <f t="shared" ref="C62:I62" si="72">C57-SUM(C58:C61)</f>
        <v>135.29999999999993</v>
      </c>
      <c r="D62" s="359">
        <f t="shared" si="72"/>
        <v>128.09999999999991</v>
      </c>
      <c r="E62" s="359">
        <f t="shared" si="72"/>
        <v>163.79999999999984</v>
      </c>
      <c r="F62" s="359">
        <f t="shared" si="72"/>
        <v>132.00000000000006</v>
      </c>
      <c r="G62" s="359">
        <f t="shared" si="72"/>
        <v>97.69999999999996</v>
      </c>
      <c r="H62" s="359">
        <f t="shared" si="72"/>
        <v>140.19999999999993</v>
      </c>
      <c r="I62" s="359">
        <f t="shared" si="72"/>
        <v>111.4</v>
      </c>
      <c r="J62" s="13"/>
      <c r="K62" s="95">
        <f t="shared" si="57"/>
        <v>8.263404921063866E-2</v>
      </c>
      <c r="L62" s="95">
        <f t="shared" si="58"/>
        <v>6.8316081797525838E-2</v>
      </c>
      <c r="M62" s="95">
        <f t="shared" si="59"/>
        <v>7.6313594662218459E-2</v>
      </c>
      <c r="N62" s="95">
        <f t="shared" si="60"/>
        <v>9.8136720388233095E-2</v>
      </c>
      <c r="O62" s="95">
        <f t="shared" si="61"/>
        <v>8.0635308491142366E-2</v>
      </c>
      <c r="P62" s="95">
        <f t="shared" si="62"/>
        <v>6.2519997440327615E-2</v>
      </c>
      <c r="Q62" s="95">
        <f t="shared" si="63"/>
        <v>9.501863774991523E-2</v>
      </c>
      <c r="R62" s="95">
        <f t="shared" si="65"/>
        <v>7.8661206044344026E-2</v>
      </c>
      <c r="S62" s="13"/>
      <c r="T62" s="95">
        <f t="shared" si="66"/>
        <v>3.2924949570594109E-2</v>
      </c>
      <c r="U62" s="95">
        <f>_xlfn.RRI(5.5,H62,B62)</f>
        <v>4.0377126143320563E-2</v>
      </c>
      <c r="V62" s="95">
        <f>_xlfn.RRI(5,H62,C62)</f>
        <v>-7.0898355732447182E-3</v>
      </c>
      <c r="W62" s="95">
        <f t="shared" si="67"/>
        <v>6.9225190626081803E-2</v>
      </c>
      <c r="X62" s="95">
        <f t="shared" si="70"/>
        <v>0.28824833702882668</v>
      </c>
      <c r="Y62" s="95">
        <f t="shared" si="70"/>
        <v>5.6206088992974412E-2</v>
      </c>
      <c r="Z62" s="95">
        <f t="shared" si="70"/>
        <v>-0.21794871794871776</v>
      </c>
      <c r="AA62" s="95">
        <f t="shared" si="70"/>
        <v>0.24090909090908916</v>
      </c>
      <c r="AB62" s="95">
        <f t="shared" si="70"/>
        <v>0.35107471852610145</v>
      </c>
      <c r="AC62" s="95">
        <f t="shared" si="70"/>
        <v>-0.3031383737517831</v>
      </c>
      <c r="AD62" s="95">
        <f t="shared" si="70"/>
        <v>0.25852782764811422</v>
      </c>
      <c r="AE62" s="13"/>
      <c r="AF62" s="13"/>
      <c r="AG62" s="24" t="e">
        <f>AG55-#REF!</f>
        <v>#REF!</v>
      </c>
      <c r="AH62" s="157" t="e">
        <f>AH55-#REF!</f>
        <v>#REF!</v>
      </c>
      <c r="AI62" s="138"/>
      <c r="AJ62" s="24" t="e">
        <f>AJ55-#REF!</f>
        <v>#REF!</v>
      </c>
      <c r="AK62" s="24" t="e">
        <f>AK55-#REF!</f>
        <v>#REF!</v>
      </c>
    </row>
    <row r="63" spans="1:37" s="35" customFormat="1" ht="15" customHeight="1" x14ac:dyDescent="0.25">
      <c r="A63" s="37" t="s">
        <v>89</v>
      </c>
      <c r="B63" s="107">
        <f>Reclassified!B63</f>
        <v>1.5</v>
      </c>
      <c r="C63" s="107">
        <f>Reclassified!C63</f>
        <v>2.5</v>
      </c>
      <c r="D63" s="107">
        <f>Reclassified!D63</f>
        <v>3.6</v>
      </c>
      <c r="E63" s="107">
        <f>Reclassified!E63</f>
        <v>2.2999999999999998</v>
      </c>
      <c r="F63" s="107">
        <f>Reclassified!F63</f>
        <v>0.4</v>
      </c>
      <c r="G63" s="107">
        <f>Reclassified!G63</f>
        <v>0.9</v>
      </c>
      <c r="H63" s="107">
        <f>Reclassified!H63</f>
        <v>2.5</v>
      </c>
      <c r="I63" s="107">
        <f>Reclassified!I63</f>
        <v>0.3</v>
      </c>
      <c r="J63" s="38"/>
      <c r="K63" s="41">
        <f t="shared" si="57"/>
        <v>7.1113639596074522E-4</v>
      </c>
      <c r="L63" s="41">
        <f t="shared" si="58"/>
        <v>1.2623074981065387E-3</v>
      </c>
      <c r="M63" s="41">
        <f t="shared" si="59"/>
        <v>2.1446443464792088E-3</v>
      </c>
      <c r="N63" s="41">
        <f t="shared" si="60"/>
        <v>1.3779881373195135E-3</v>
      </c>
      <c r="O63" s="41">
        <f t="shared" si="61"/>
        <v>2.4434941967012828E-4</v>
      </c>
      <c r="P63" s="41">
        <f t="shared" si="62"/>
        <v>5.7592628143597624E-4</v>
      </c>
      <c r="Q63" s="41">
        <f t="shared" si="63"/>
        <v>1.6943409013893595E-3</v>
      </c>
      <c r="R63" s="41">
        <f t="shared" si="65"/>
        <v>2.1183448665442733E-4</v>
      </c>
      <c r="T63" s="41">
        <f t="shared" si="66"/>
        <v>0.42386820499340216</v>
      </c>
      <c r="U63" s="41">
        <f>_xlfn.RRI(5.5,H63,B63)</f>
        <v>-8.8694767901123184E-2</v>
      </c>
      <c r="V63" s="41">
        <f>_xlfn.RRI(5,H63,C63)</f>
        <v>0</v>
      </c>
      <c r="W63" s="41">
        <f t="shared" si="67"/>
        <v>0.56901771336553941</v>
      </c>
      <c r="X63" s="41">
        <f t="shared" si="70"/>
        <v>-0.4</v>
      </c>
      <c r="Y63" s="41">
        <f t="shared" si="70"/>
        <v>-0.30555555555555558</v>
      </c>
      <c r="Z63" s="41">
        <f t="shared" si="70"/>
        <v>0.565217391304348</v>
      </c>
      <c r="AA63" s="41">
        <f t="shared" si="70"/>
        <v>4.7499999999999991</v>
      </c>
      <c r="AB63" s="41">
        <f t="shared" si="70"/>
        <v>-0.55555555555555558</v>
      </c>
      <c r="AC63" s="41">
        <f t="shared" si="70"/>
        <v>-0.64</v>
      </c>
      <c r="AD63" s="41">
        <f t="shared" si="70"/>
        <v>7.3333333333333339</v>
      </c>
      <c r="AG63" s="8">
        <v>0.2</v>
      </c>
      <c r="AH63" s="144">
        <v>-0.2</v>
      </c>
      <c r="AI63" s="135"/>
      <c r="AJ63" s="8">
        <v>0.4</v>
      </c>
      <c r="AK63" s="8">
        <v>0.6</v>
      </c>
    </row>
    <row r="64" spans="1:37" s="35" customFormat="1" ht="15" customHeight="1" x14ac:dyDescent="0.25">
      <c r="A64" s="37" t="s">
        <v>90</v>
      </c>
      <c r="B64" s="107">
        <f>Reclassified!B64</f>
        <v>-58.199999999999996</v>
      </c>
      <c r="C64" s="107">
        <f>Reclassified!C64</f>
        <v>-44.8</v>
      </c>
      <c r="D64" s="107">
        <f>Reclassified!D64</f>
        <v>-40.5</v>
      </c>
      <c r="E64" s="107">
        <f>Reclassified!E64</f>
        <v>-48.9</v>
      </c>
      <c r="F64" s="107">
        <f>Reclassified!F64</f>
        <v>-61.7</v>
      </c>
      <c r="G64" s="107">
        <f>Reclassified!G64</f>
        <v>-54.1</v>
      </c>
      <c r="H64" s="107">
        <f>Reclassified!H64</f>
        <v>-42.5</v>
      </c>
      <c r="I64" s="107">
        <f>Reclassified!I64</f>
        <v>-50.8</v>
      </c>
      <c r="K64" s="41">
        <f t="shared" si="57"/>
        <v>-2.7592092163276911E-2</v>
      </c>
      <c r="L64" s="41">
        <f t="shared" si="58"/>
        <v>-2.2620550366069175E-2</v>
      </c>
      <c r="M64" s="41">
        <f t="shared" si="59"/>
        <v>-2.4127248897891102E-2</v>
      </c>
      <c r="N64" s="41">
        <f t="shared" si="60"/>
        <v>-2.929722604996705E-2</v>
      </c>
      <c r="O64" s="41">
        <f t="shared" si="61"/>
        <v>-3.7690897984117289E-2</v>
      </c>
      <c r="P64" s="41">
        <f t="shared" si="62"/>
        <v>-3.4619568695207013E-2</v>
      </c>
      <c r="Q64" s="41">
        <f t="shared" si="63"/>
        <v>-2.8803795323619111E-2</v>
      </c>
      <c r="R64" s="41">
        <f t="shared" si="65"/>
        <v>-3.5870639740149694E-2</v>
      </c>
      <c r="T64" s="41">
        <f t="shared" si="66"/>
        <v>-2.0730149837643985E-2</v>
      </c>
      <c r="U64" s="41">
        <f>_xlfn.RRI(5.5,H64,B64)</f>
        <v>5.8825455064547505E-2</v>
      </c>
      <c r="V64" s="41">
        <f>_xlfn.RRI(5,H64,C64)</f>
        <v>1.0596562775805785E-2</v>
      </c>
      <c r="W64" s="41">
        <f t="shared" si="67"/>
        <v>7.3244529954877971E-2</v>
      </c>
      <c r="X64" s="41">
        <f t="shared" si="70"/>
        <v>0.29910714285714285</v>
      </c>
      <c r="Y64" s="41">
        <f t="shared" si="70"/>
        <v>0.10617283950617278</v>
      </c>
      <c r="Z64" s="41">
        <f t="shared" si="70"/>
        <v>-0.17177914110429446</v>
      </c>
      <c r="AA64" s="41">
        <f t="shared" si="70"/>
        <v>-0.20745542949756896</v>
      </c>
      <c r="AB64" s="41">
        <f t="shared" si="70"/>
        <v>0.14048059149722739</v>
      </c>
      <c r="AC64" s="41">
        <f t="shared" si="70"/>
        <v>0.27294117647058824</v>
      </c>
      <c r="AD64" s="41">
        <f t="shared" si="70"/>
        <v>-0.1633858267716535</v>
      </c>
      <c r="AG64" s="8">
        <v>-20.3</v>
      </c>
      <c r="AH64" s="144">
        <v>-14</v>
      </c>
      <c r="AI64" s="135"/>
      <c r="AJ64" s="8">
        <v>-11.1</v>
      </c>
      <c r="AK64" s="8">
        <v>-9.8000000000000007</v>
      </c>
    </row>
    <row r="65" spans="1:37" s="35" customFormat="1" ht="15" customHeight="1" x14ac:dyDescent="0.25">
      <c r="A65" s="37" t="s">
        <v>91</v>
      </c>
      <c r="B65" s="107">
        <f>Reclassified!B65+B98</f>
        <v>0</v>
      </c>
      <c r="C65" s="107">
        <f>Reclassified!C65+C98</f>
        <v>0</v>
      </c>
      <c r="D65" s="107">
        <f>Reclassified!D65+D98</f>
        <v>0</v>
      </c>
      <c r="E65" s="107">
        <f>Reclassified!E65+E98</f>
        <v>0</v>
      </c>
      <c r="F65" s="107">
        <f>Reclassified!F65+F98</f>
        <v>0</v>
      </c>
      <c r="G65" s="107">
        <f>Reclassified!G65+G98</f>
        <v>0</v>
      </c>
      <c r="H65" s="107">
        <f>Reclassified!H65+H98</f>
        <v>0</v>
      </c>
      <c r="I65" s="107">
        <f>Reclassified!I65+I98</f>
        <v>0</v>
      </c>
      <c r="K65" s="41">
        <f t="shared" si="57"/>
        <v>0</v>
      </c>
      <c r="L65" s="41">
        <f t="shared" si="58"/>
        <v>0</v>
      </c>
      <c r="M65" s="41">
        <f t="shared" si="59"/>
        <v>0</v>
      </c>
      <c r="N65" s="41">
        <f t="shared" si="60"/>
        <v>0</v>
      </c>
      <c r="O65" s="41">
        <f t="shared" si="61"/>
        <v>0</v>
      </c>
      <c r="P65" s="41">
        <f t="shared" si="62"/>
        <v>0</v>
      </c>
      <c r="Q65" s="41">
        <f t="shared" si="63"/>
        <v>0</v>
      </c>
      <c r="R65" s="41">
        <f t="shared" si="65"/>
        <v>0</v>
      </c>
      <c r="T65" s="41"/>
      <c r="U65" s="41"/>
      <c r="V65" s="41"/>
      <c r="W65" s="41"/>
      <c r="X65" s="41"/>
      <c r="Y65" s="41"/>
      <c r="Z65" s="41"/>
      <c r="AA65" s="41"/>
      <c r="AB65" s="41"/>
      <c r="AC65" s="41"/>
      <c r="AD65" s="41"/>
      <c r="AG65" s="38">
        <v>0</v>
      </c>
      <c r="AH65" s="158">
        <v>0</v>
      </c>
      <c r="AI65" s="38"/>
      <c r="AJ65" s="38">
        <v>0</v>
      </c>
      <c r="AK65" s="38">
        <v>0</v>
      </c>
    </row>
    <row r="66" spans="1:37" s="35" customFormat="1" ht="15" customHeight="1" x14ac:dyDescent="0.25">
      <c r="A66" s="37" t="s">
        <v>92</v>
      </c>
      <c r="B66" s="358">
        <f>Reclassified!B66+B99</f>
        <v>0</v>
      </c>
      <c r="C66" s="279">
        <f>Reclassified!C66+C99</f>
        <v>0</v>
      </c>
      <c r="D66" s="279">
        <f>Reclassified!D66+D99</f>
        <v>0</v>
      </c>
      <c r="E66" s="279">
        <f>Reclassified!E66+E99</f>
        <v>0</v>
      </c>
      <c r="F66" s="279">
        <f>Reclassified!F66+F99</f>
        <v>0</v>
      </c>
      <c r="G66" s="279">
        <f>Reclassified!G66+G99</f>
        <v>0</v>
      </c>
      <c r="H66" s="279">
        <f>Reclassified!H66+H99</f>
        <v>0</v>
      </c>
      <c r="I66" s="279">
        <f>Reclassified!I66+I99</f>
        <v>0</v>
      </c>
      <c r="K66" s="42">
        <f t="shared" si="57"/>
        <v>0</v>
      </c>
      <c r="L66" s="42">
        <f t="shared" si="58"/>
        <v>0</v>
      </c>
      <c r="M66" s="42">
        <f t="shared" si="59"/>
        <v>0</v>
      </c>
      <c r="N66" s="42">
        <f t="shared" si="60"/>
        <v>0</v>
      </c>
      <c r="O66" s="42">
        <f t="shared" si="61"/>
        <v>0</v>
      </c>
      <c r="P66" s="42">
        <f t="shared" si="62"/>
        <v>0</v>
      </c>
      <c r="Q66" s="42">
        <f t="shared" si="63"/>
        <v>0</v>
      </c>
      <c r="R66" s="42">
        <f t="shared" si="65"/>
        <v>0</v>
      </c>
      <c r="T66" s="42"/>
      <c r="U66" s="42"/>
      <c r="V66" s="42"/>
      <c r="W66" s="42"/>
      <c r="X66" s="42"/>
      <c r="Y66" s="42"/>
      <c r="Z66" s="42"/>
      <c r="AA66" s="42"/>
      <c r="AB66" s="42"/>
      <c r="AC66" s="42"/>
      <c r="AD66" s="42"/>
      <c r="AF66" s="169"/>
      <c r="AG66" s="38">
        <v>0</v>
      </c>
      <c r="AH66" s="158">
        <v>0</v>
      </c>
      <c r="AI66" s="38"/>
      <c r="AJ66" s="38">
        <v>0</v>
      </c>
      <c r="AK66" s="38">
        <v>0</v>
      </c>
    </row>
    <row r="67" spans="1:37" s="96" customFormat="1" ht="15" customHeight="1" x14ac:dyDescent="0.25">
      <c r="A67" s="36" t="s">
        <v>93</v>
      </c>
      <c r="B67" s="360">
        <f>SUM(B63:B66)</f>
        <v>-56.699999999999996</v>
      </c>
      <c r="C67" s="360">
        <f t="shared" ref="C67:I67" si="73">SUM(C63:C66)</f>
        <v>-42.3</v>
      </c>
      <c r="D67" s="360">
        <f t="shared" si="73"/>
        <v>-36.9</v>
      </c>
      <c r="E67" s="360">
        <f t="shared" si="73"/>
        <v>-46.6</v>
      </c>
      <c r="F67" s="360">
        <f t="shared" si="73"/>
        <v>-61.300000000000004</v>
      </c>
      <c r="G67" s="360">
        <f t="shared" si="73"/>
        <v>-53.2</v>
      </c>
      <c r="H67" s="360">
        <f t="shared" si="73"/>
        <v>-40</v>
      </c>
      <c r="I67" s="360">
        <f t="shared" si="73"/>
        <v>-50.5</v>
      </c>
      <c r="J67" s="64"/>
      <c r="K67" s="97">
        <f t="shared" si="57"/>
        <v>-2.6880955767316167E-2</v>
      </c>
      <c r="L67" s="97">
        <f t="shared" si="58"/>
        <v>-2.1358242867962635E-2</v>
      </c>
      <c r="M67" s="97">
        <f t="shared" si="59"/>
        <v>-2.1982604551411891E-2</v>
      </c>
      <c r="N67" s="97">
        <f t="shared" si="60"/>
        <v>-2.7919237912647537E-2</v>
      </c>
      <c r="O67" s="97">
        <f t="shared" si="61"/>
        <v>-3.7446548564447159E-2</v>
      </c>
      <c r="P67" s="97">
        <f t="shared" si="62"/>
        <v>-3.4043642413771037E-2</v>
      </c>
      <c r="Q67" s="97">
        <f t="shared" si="63"/>
        <v>-2.7109454422229753E-2</v>
      </c>
      <c r="R67" s="97">
        <f t="shared" si="65"/>
        <v>-3.5658805253495268E-2</v>
      </c>
      <c r="S67" s="64"/>
      <c r="T67" s="97">
        <f t="shared" si="66"/>
        <v>-2.9099261240752683E-2</v>
      </c>
      <c r="U67" s="97">
        <f>_xlfn.RRI(5.5,H67,B67)</f>
        <v>6.5490663850708897E-2</v>
      </c>
      <c r="V67" s="97">
        <f>_xlfn.RRI(5,H67,C67)</f>
        <v>1.1244273304527264E-2</v>
      </c>
      <c r="W67" s="97">
        <f t="shared" si="67"/>
        <v>8.6843981092323497E-2</v>
      </c>
      <c r="X67" s="97">
        <f t="shared" ref="X67:AD68" si="74">(B67-C67)/C67</f>
        <v>0.34042553191489361</v>
      </c>
      <c r="Y67" s="97">
        <f t="shared" si="74"/>
        <v>0.14634146341463411</v>
      </c>
      <c r="Z67" s="97">
        <f t="shared" si="74"/>
        <v>-0.20815450643776828</v>
      </c>
      <c r="AA67" s="97">
        <f t="shared" si="74"/>
        <v>-0.23980424143556284</v>
      </c>
      <c r="AB67" s="97">
        <f t="shared" si="74"/>
        <v>0.15225563909774437</v>
      </c>
      <c r="AC67" s="97">
        <f t="shared" si="74"/>
        <v>0.33000000000000007</v>
      </c>
      <c r="AD67" s="97">
        <f t="shared" si="74"/>
        <v>-0.20792079207920791</v>
      </c>
      <c r="AE67" s="64"/>
      <c r="AF67" s="170"/>
      <c r="AG67" s="65">
        <f>SUM(AG63:AG66)</f>
        <v>-20.100000000000001</v>
      </c>
      <c r="AH67" s="156">
        <f t="shared" ref="AH67:AK67" si="75">SUM(AH63:AH66)</f>
        <v>-14.2</v>
      </c>
      <c r="AI67" s="65"/>
      <c r="AJ67" s="65">
        <f t="shared" si="75"/>
        <v>-10.7</v>
      </c>
      <c r="AK67" s="65">
        <f t="shared" si="75"/>
        <v>-9.2000000000000011</v>
      </c>
    </row>
    <row r="68" spans="1:37" s="96" customFormat="1" ht="15" customHeight="1" x14ac:dyDescent="0.25">
      <c r="A68" s="36" t="s">
        <v>94</v>
      </c>
      <c r="B68" s="359">
        <f>SUM(B62,B67)</f>
        <v>117.60000000000016</v>
      </c>
      <c r="C68" s="359">
        <f t="shared" ref="C68:I68" si="76">SUM(C62,C67)</f>
        <v>92.999999999999929</v>
      </c>
      <c r="D68" s="359">
        <f t="shared" si="76"/>
        <v>91.199999999999903</v>
      </c>
      <c r="E68" s="359">
        <f t="shared" si="76"/>
        <v>117.19999999999985</v>
      </c>
      <c r="F68" s="359">
        <f t="shared" si="76"/>
        <v>70.700000000000045</v>
      </c>
      <c r="G68" s="359">
        <f t="shared" si="76"/>
        <v>44.499999999999957</v>
      </c>
      <c r="H68" s="359">
        <f t="shared" si="76"/>
        <v>100.19999999999993</v>
      </c>
      <c r="I68" s="359">
        <f t="shared" si="76"/>
        <v>60.900000000000006</v>
      </c>
      <c r="J68" s="13"/>
      <c r="K68" s="95">
        <f t="shared" si="57"/>
        <v>5.57530934433225E-2</v>
      </c>
      <c r="L68" s="95">
        <f t="shared" si="58"/>
        <v>4.6957838929563206E-2</v>
      </c>
      <c r="M68" s="95">
        <f t="shared" si="59"/>
        <v>5.4330990110806568E-2</v>
      </c>
      <c r="N68" s="95">
        <f t="shared" si="60"/>
        <v>7.0217482475585555E-2</v>
      </c>
      <c r="O68" s="95">
        <f t="shared" si="61"/>
        <v>4.31887599266952E-2</v>
      </c>
      <c r="P68" s="95">
        <f t="shared" si="62"/>
        <v>2.8476355026556571E-2</v>
      </c>
      <c r="Q68" s="95">
        <f t="shared" si="63"/>
        <v>6.7909183327685488E-2</v>
      </c>
      <c r="R68" s="95">
        <f t="shared" si="65"/>
        <v>4.3002400790848751E-2</v>
      </c>
      <c r="S68" s="13"/>
      <c r="T68" s="95">
        <f t="shared" si="66"/>
        <v>7.3110084098951589E-2</v>
      </c>
      <c r="U68" s="95">
        <f>_xlfn.RRI(5.5,H68,B68)</f>
        <v>2.954080375747492E-2</v>
      </c>
      <c r="V68" s="95">
        <f>_xlfn.RRI(5,H68,C68)</f>
        <v>-1.480308008874931E-2</v>
      </c>
      <c r="W68" s="95">
        <f t="shared" si="67"/>
        <v>0.12549906952018966</v>
      </c>
      <c r="X68" s="95">
        <f t="shared" si="74"/>
        <v>0.26451612903226079</v>
      </c>
      <c r="Y68" s="95">
        <f t="shared" si="74"/>
        <v>1.9736842105263459E-2</v>
      </c>
      <c r="Z68" s="95">
        <f t="shared" si="74"/>
        <v>-0.22184300341296909</v>
      </c>
      <c r="AA68" s="95">
        <f t="shared" si="74"/>
        <v>0.65770862800565444</v>
      </c>
      <c r="AB68" s="95">
        <f t="shared" si="74"/>
        <v>0.58876404494382273</v>
      </c>
      <c r="AC68" s="95">
        <f t="shared" si="74"/>
        <v>-0.55588822355289436</v>
      </c>
      <c r="AD68" s="95">
        <f t="shared" si="74"/>
        <v>0.64532019704433374</v>
      </c>
      <c r="AE68" s="13"/>
      <c r="AF68" s="13"/>
      <c r="AG68" s="24" t="e">
        <f t="shared" ref="AG68:AK68" si="77">SUM(AG67,AG62)</f>
        <v>#REF!</v>
      </c>
      <c r="AH68" s="157" t="e">
        <f t="shared" si="77"/>
        <v>#REF!</v>
      </c>
      <c r="AI68" s="138"/>
      <c r="AJ68" s="24" t="e">
        <f t="shared" si="77"/>
        <v>#REF!</v>
      </c>
      <c r="AK68" s="24" t="e">
        <f t="shared" si="77"/>
        <v>#REF!</v>
      </c>
    </row>
    <row r="69" spans="1:37" s="35" customFormat="1" ht="15" customHeight="1" x14ac:dyDescent="0.25">
      <c r="A69" s="37" t="str">
        <f>A510</f>
        <v>Income tax provision (See Note)</v>
      </c>
      <c r="B69" s="358">
        <f t="shared" ref="B69:I69" si="78">B68*B117-B107</f>
        <v>25.872000000000035</v>
      </c>
      <c r="C69" s="358">
        <f t="shared" si="78"/>
        <v>20.459999999999983</v>
      </c>
      <c r="D69" s="358">
        <f t="shared" si="78"/>
        <v>20.063999999999979</v>
      </c>
      <c r="E69" s="358">
        <f t="shared" si="78"/>
        <v>25.783999999999967</v>
      </c>
      <c r="F69" s="358">
        <f t="shared" si="78"/>
        <v>15.554000000000011</v>
      </c>
      <c r="G69" s="358">
        <f t="shared" si="78"/>
        <v>9.7899999999999903</v>
      </c>
      <c r="H69" s="358">
        <f t="shared" si="78"/>
        <v>1.5439999999999863</v>
      </c>
      <c r="I69" s="358">
        <f t="shared" si="78"/>
        <v>13.398000000000001</v>
      </c>
      <c r="K69" s="42">
        <f t="shared" si="57"/>
        <v>1.226568055753095E-2</v>
      </c>
      <c r="L69" s="42">
        <f t="shared" si="58"/>
        <v>1.0330724564503905E-2</v>
      </c>
      <c r="M69" s="42">
        <f t="shared" si="59"/>
        <v>1.1952817824377446E-2</v>
      </c>
      <c r="N69" s="42">
        <f t="shared" si="60"/>
        <v>1.5447846144628822E-2</v>
      </c>
      <c r="O69" s="42">
        <f t="shared" si="61"/>
        <v>9.5015271838729456E-3</v>
      </c>
      <c r="P69" s="42">
        <f t="shared" si="62"/>
        <v>6.2647981058424462E-3</v>
      </c>
      <c r="Q69" s="42">
        <f t="shared" si="63"/>
        <v>1.0464249406980592E-3</v>
      </c>
      <c r="R69" s="42">
        <f t="shared" si="65"/>
        <v>9.4605281739867254E-3</v>
      </c>
      <c r="T69" s="42">
        <f t="shared" si="66"/>
        <v>7.3110084098951589E-2</v>
      </c>
      <c r="U69" s="42">
        <f>_xlfn.RRI(5.5,H69,B69)</f>
        <v>0.66947021001847218</v>
      </c>
      <c r="V69" s="42">
        <f>_xlfn.RRI(5,H69,C69)</f>
        <v>0.67668572433945195</v>
      </c>
      <c r="W69" s="42"/>
      <c r="X69" s="42"/>
      <c r="Y69" s="42"/>
      <c r="Z69" s="42"/>
      <c r="AA69" s="42"/>
      <c r="AB69" s="42"/>
      <c r="AC69" s="42"/>
      <c r="AD69" s="42"/>
      <c r="AF69" s="169"/>
      <c r="AG69" s="23">
        <v>9.9</v>
      </c>
      <c r="AH69" s="146">
        <v>9.9</v>
      </c>
      <c r="AI69" s="136"/>
      <c r="AJ69" s="23">
        <v>6.8</v>
      </c>
      <c r="AK69" s="23">
        <v>9.6999999999999993</v>
      </c>
    </row>
    <row r="70" spans="1:37" s="96" customFormat="1" ht="15" customHeight="1" x14ac:dyDescent="0.25">
      <c r="A70" s="36" t="s">
        <v>102</v>
      </c>
      <c r="B70" s="359">
        <f>B68-B69</f>
        <v>91.728000000000122</v>
      </c>
      <c r="C70" s="359">
        <f t="shared" ref="C70:I70" si="79">C68-C69</f>
        <v>72.539999999999949</v>
      </c>
      <c r="D70" s="359">
        <f t="shared" si="79"/>
        <v>71.135999999999925</v>
      </c>
      <c r="E70" s="359">
        <f t="shared" si="79"/>
        <v>91.415999999999883</v>
      </c>
      <c r="F70" s="359">
        <f t="shared" si="79"/>
        <v>55.146000000000036</v>
      </c>
      <c r="G70" s="359">
        <f t="shared" si="79"/>
        <v>34.709999999999965</v>
      </c>
      <c r="H70" s="359">
        <f t="shared" si="79"/>
        <v>98.655999999999949</v>
      </c>
      <c r="I70" s="359">
        <f t="shared" si="79"/>
        <v>47.502000000000002</v>
      </c>
      <c r="J70" s="13"/>
      <c r="K70" s="95">
        <f t="shared" si="57"/>
        <v>4.3487412885791547E-2</v>
      </c>
      <c r="L70" s="95">
        <f t="shared" si="58"/>
        <v>3.6627114365059305E-2</v>
      </c>
      <c r="M70" s="95">
        <f t="shared" si="59"/>
        <v>4.2378172286429122E-2</v>
      </c>
      <c r="N70" s="95">
        <f t="shared" si="60"/>
        <v>5.4769636330956738E-2</v>
      </c>
      <c r="O70" s="95">
        <f t="shared" si="61"/>
        <v>3.368723274282226E-2</v>
      </c>
      <c r="P70" s="95">
        <f t="shared" si="62"/>
        <v>2.2211556920714127E-2</v>
      </c>
      <c r="Q70" s="95">
        <f t="shared" si="63"/>
        <v>6.6862758386987423E-2</v>
      </c>
      <c r="R70" s="95">
        <f t="shared" si="65"/>
        <v>3.3541872616862027E-2</v>
      </c>
      <c r="S70" s="13"/>
      <c r="T70" s="95">
        <f t="shared" si="66"/>
        <v>7.3110084098951589E-2</v>
      </c>
      <c r="U70" s="95">
        <f>_xlfn.RRI(5.5,H70,B70)</f>
        <v>-1.315118928569925E-2</v>
      </c>
      <c r="V70" s="95">
        <f>_xlfn.RRI(5,H70,C70)</f>
        <v>-5.9647226880954585E-2</v>
      </c>
      <c r="W70" s="95">
        <f t="shared" si="67"/>
        <v>0.11011853612271823</v>
      </c>
      <c r="X70" s="95">
        <f t="shared" ref="X70:AD70" si="80">(B70-C70)/C70</f>
        <v>0.26451612903226063</v>
      </c>
      <c r="Y70" s="95">
        <f t="shared" si="80"/>
        <v>1.9736842105263528E-2</v>
      </c>
      <c r="Z70" s="95">
        <f t="shared" si="80"/>
        <v>-0.22184300341296911</v>
      </c>
      <c r="AA70" s="95">
        <f t="shared" si="80"/>
        <v>0.65770862800565455</v>
      </c>
      <c r="AB70" s="95">
        <f t="shared" si="80"/>
        <v>0.58876404494382284</v>
      </c>
      <c r="AC70" s="95">
        <f t="shared" si="80"/>
        <v>-0.6481714239377232</v>
      </c>
      <c r="AD70" s="95">
        <f t="shared" si="80"/>
        <v>1.0768809734326963</v>
      </c>
      <c r="AE70" s="13"/>
      <c r="AF70" s="13"/>
      <c r="AG70" s="24" t="e">
        <f t="shared" ref="AG70:AK70" si="81">AG68-AG69</f>
        <v>#REF!</v>
      </c>
      <c r="AH70" s="157" t="e">
        <f t="shared" si="81"/>
        <v>#REF!</v>
      </c>
      <c r="AI70" s="138"/>
      <c r="AJ70" s="24" t="e">
        <f t="shared" si="81"/>
        <v>#REF!</v>
      </c>
      <c r="AK70" s="24" t="e">
        <f t="shared" si="81"/>
        <v>#REF!</v>
      </c>
    </row>
    <row r="71" spans="1:37" s="35" customFormat="1" ht="15" customHeight="1" x14ac:dyDescent="0.25">
      <c r="A71" s="37" t="s">
        <v>103</v>
      </c>
      <c r="B71" s="358">
        <f>Reclassified!B71+B105+B106</f>
        <v>0</v>
      </c>
      <c r="C71" s="358">
        <f>Reclassified!C71+C105+C106</f>
        <v>-1.1401990462900358E-13</v>
      </c>
      <c r="D71" s="358">
        <f>Reclassified!D71+D105+D106</f>
        <v>0</v>
      </c>
      <c r="E71" s="358">
        <f>Reclassified!E71+E105+E106</f>
        <v>3</v>
      </c>
      <c r="F71" s="358">
        <f>Reclassified!F71+F105+F106</f>
        <v>0</v>
      </c>
      <c r="G71" s="358">
        <f>Reclassified!G71+G105+G106</f>
        <v>0</v>
      </c>
      <c r="H71" s="358">
        <f>Reclassified!H71+H105+H106</f>
        <v>0</v>
      </c>
      <c r="I71" s="358">
        <f>Reclassified!I71+I105+I106</f>
        <v>0</v>
      </c>
      <c r="K71" s="42">
        <f t="shared" si="57"/>
        <v>0</v>
      </c>
      <c r="L71" s="42">
        <f t="shared" si="58"/>
        <v>-5.7571272218633465E-17</v>
      </c>
      <c r="M71" s="42">
        <f t="shared" si="59"/>
        <v>0</v>
      </c>
      <c r="N71" s="42">
        <f t="shared" si="60"/>
        <v>1.797375831286322E-3</v>
      </c>
      <c r="O71" s="42">
        <f t="shared" si="61"/>
        <v>0</v>
      </c>
      <c r="P71" s="42">
        <f t="shared" si="62"/>
        <v>0</v>
      </c>
      <c r="Q71" s="42">
        <f t="shared" si="63"/>
        <v>0</v>
      </c>
      <c r="R71" s="42">
        <f t="shared" si="65"/>
        <v>0</v>
      </c>
      <c r="T71" s="42"/>
      <c r="U71" s="42"/>
      <c r="V71" s="42"/>
      <c r="W71" s="42"/>
      <c r="X71" s="42"/>
      <c r="Y71" s="42"/>
      <c r="Z71" s="42"/>
      <c r="AA71" s="42"/>
      <c r="AB71" s="42"/>
      <c r="AC71" s="42"/>
      <c r="AD71" s="42"/>
      <c r="AF71" s="169"/>
      <c r="AG71" s="23">
        <v>0</v>
      </c>
      <c r="AH71" s="146">
        <v>0</v>
      </c>
      <c r="AI71" s="136"/>
      <c r="AJ71" s="23">
        <v>0</v>
      </c>
      <c r="AK71" s="23">
        <v>-0.5</v>
      </c>
    </row>
    <row r="72" spans="1:37" s="96" customFormat="1" ht="15" customHeight="1" x14ac:dyDescent="0.25">
      <c r="A72" s="36" t="s">
        <v>104</v>
      </c>
      <c r="B72" s="359">
        <f>B70+B71</f>
        <v>91.728000000000122</v>
      </c>
      <c r="C72" s="359">
        <f t="shared" ref="C72:I72" si="82">C70+C71</f>
        <v>72.539999999999836</v>
      </c>
      <c r="D72" s="359">
        <f t="shared" si="82"/>
        <v>71.135999999999925</v>
      </c>
      <c r="E72" s="359">
        <f t="shared" si="82"/>
        <v>94.415999999999883</v>
      </c>
      <c r="F72" s="359">
        <f t="shared" si="82"/>
        <v>55.146000000000036</v>
      </c>
      <c r="G72" s="359">
        <f t="shared" si="82"/>
        <v>34.709999999999965</v>
      </c>
      <c r="H72" s="359">
        <f t="shared" si="82"/>
        <v>98.655999999999949</v>
      </c>
      <c r="I72" s="359">
        <f t="shared" si="82"/>
        <v>47.502000000000002</v>
      </c>
      <c r="J72" s="13"/>
      <c r="K72" s="95">
        <f t="shared" si="57"/>
        <v>4.3487412885791547E-2</v>
      </c>
      <c r="L72" s="95">
        <f t="shared" si="58"/>
        <v>3.6627114365059242E-2</v>
      </c>
      <c r="M72" s="95">
        <f t="shared" si="59"/>
        <v>4.2378172286429122E-2</v>
      </c>
      <c r="N72" s="95">
        <f t="shared" si="60"/>
        <v>5.6567012162243059E-2</v>
      </c>
      <c r="O72" s="95">
        <f t="shared" si="61"/>
        <v>3.368723274282226E-2</v>
      </c>
      <c r="P72" s="95">
        <f t="shared" si="62"/>
        <v>2.2211556920714127E-2</v>
      </c>
      <c r="Q72" s="95">
        <f t="shared" si="63"/>
        <v>6.6862758386987423E-2</v>
      </c>
      <c r="R72" s="95">
        <f t="shared" si="65"/>
        <v>3.3541872616862027E-2</v>
      </c>
      <c r="S72" s="13"/>
      <c r="T72" s="95">
        <f t="shared" si="66"/>
        <v>7.3110084098951367E-2</v>
      </c>
      <c r="U72" s="95">
        <f>_xlfn.RRI(5.5,H72,B72)</f>
        <v>-1.315118928569925E-2</v>
      </c>
      <c r="V72" s="95">
        <f>_xlfn.RRI(5,H72,C72)</f>
        <v>-5.9647226880954918E-2</v>
      </c>
      <c r="W72" s="95">
        <f t="shared" si="67"/>
        <v>0.11506448106805951</v>
      </c>
      <c r="X72" s="95">
        <f t="shared" ref="X72:AD72" si="83">(B72-C72)/C72</f>
        <v>0.26451612903226263</v>
      </c>
      <c r="Y72" s="95">
        <f t="shared" si="83"/>
        <v>1.9736842105261929E-2</v>
      </c>
      <c r="Z72" s="95">
        <f t="shared" si="83"/>
        <v>-0.24656837824097597</v>
      </c>
      <c r="AA72" s="95">
        <f t="shared" si="83"/>
        <v>0.71210967250570889</v>
      </c>
      <c r="AB72" s="95">
        <f t="shared" si="83"/>
        <v>0.58876404494382284</v>
      </c>
      <c r="AC72" s="95">
        <f t="shared" si="83"/>
        <v>-0.6481714239377232</v>
      </c>
      <c r="AD72" s="95">
        <f t="shared" si="83"/>
        <v>1.0768809734326963</v>
      </c>
      <c r="AE72" s="13"/>
      <c r="AF72" s="13"/>
      <c r="AG72" s="76" t="e">
        <f t="shared" ref="AG72:AK72" si="84">SUM(AG70:AG71)</f>
        <v>#REF!</v>
      </c>
      <c r="AH72" s="159" t="e">
        <f t="shared" si="84"/>
        <v>#REF!</v>
      </c>
      <c r="AI72" s="139"/>
      <c r="AJ72" s="76" t="e">
        <f t="shared" si="84"/>
        <v>#REF!</v>
      </c>
      <c r="AK72" s="76" t="e">
        <f t="shared" si="84"/>
        <v>#REF!</v>
      </c>
    </row>
    <row r="73" spans="1:37" s="35" customFormat="1" ht="15" customHeight="1" x14ac:dyDescent="0.25">
      <c r="A73" s="37" t="s">
        <v>105</v>
      </c>
      <c r="B73" s="107">
        <f>Reclassified!B73</f>
        <v>0.49999999999999989</v>
      </c>
      <c r="C73" s="107">
        <f>Reclassified!C73</f>
        <v>-0.2</v>
      </c>
      <c r="D73" s="107">
        <f>Reclassified!D73</f>
        <v>-0.3</v>
      </c>
      <c r="E73" s="107">
        <f>Reclassified!E73</f>
        <v>-1</v>
      </c>
      <c r="F73" s="107">
        <f>Reclassified!F73</f>
        <v>0.8</v>
      </c>
      <c r="G73" s="107">
        <f>Reclassified!G73</f>
        <v>5.8</v>
      </c>
      <c r="H73" s="107">
        <f>Reclassified!H73</f>
        <v>1.4</v>
      </c>
      <c r="I73" s="107">
        <f>Reclassified!I73</f>
        <v>-1.6</v>
      </c>
      <c r="K73" s="42">
        <f t="shared" si="57"/>
        <v>2.3704546532024836E-4</v>
      </c>
      <c r="L73" s="42">
        <f t="shared" si="58"/>
        <v>-1.009845998485231E-4</v>
      </c>
      <c r="M73" s="42">
        <f t="shared" si="59"/>
        <v>-1.7872036220660075E-4</v>
      </c>
      <c r="N73" s="42">
        <f t="shared" si="60"/>
        <v>-5.9912527709544072E-4</v>
      </c>
      <c r="O73" s="42">
        <f t="shared" si="61"/>
        <v>4.8869883934025656E-4</v>
      </c>
      <c r="P73" s="42">
        <f t="shared" si="62"/>
        <v>3.7115249248096242E-3</v>
      </c>
      <c r="Q73" s="42">
        <f t="shared" si="63"/>
        <v>9.4883090477804123E-4</v>
      </c>
      <c r="R73" s="42">
        <f t="shared" si="65"/>
        <v>-1.1297839288236125E-3</v>
      </c>
      <c r="T73" s="42"/>
      <c r="U73" s="42"/>
      <c r="V73" s="42"/>
      <c r="W73" s="42"/>
      <c r="X73" s="42"/>
      <c r="Y73" s="42"/>
      <c r="Z73" s="42"/>
      <c r="AA73" s="42"/>
      <c r="AB73" s="42"/>
      <c r="AC73" s="42"/>
      <c r="AD73" s="42"/>
      <c r="AF73" s="169"/>
      <c r="AG73" s="8">
        <v>-0.1</v>
      </c>
      <c r="AH73" s="144">
        <v>0.7</v>
      </c>
      <c r="AI73" s="135"/>
      <c r="AJ73" s="8">
        <v>-0.1</v>
      </c>
      <c r="AK73" s="8">
        <v>0</v>
      </c>
    </row>
    <row r="74" spans="1:37" s="96" customFormat="1" ht="15" customHeight="1" thickBot="1" x14ac:dyDescent="0.3">
      <c r="A74" s="36" t="s">
        <v>106</v>
      </c>
      <c r="B74" s="30">
        <f>B72-B73</f>
        <v>91.228000000000122</v>
      </c>
      <c r="C74" s="30">
        <f t="shared" ref="C74:I74" si="85">C72-C73</f>
        <v>72.739999999999839</v>
      </c>
      <c r="D74" s="30">
        <f t="shared" si="85"/>
        <v>71.435999999999922</v>
      </c>
      <c r="E74" s="30">
        <f t="shared" si="85"/>
        <v>95.415999999999883</v>
      </c>
      <c r="F74" s="30">
        <f t="shared" si="85"/>
        <v>54.346000000000039</v>
      </c>
      <c r="G74" s="30">
        <f t="shared" si="85"/>
        <v>28.909999999999965</v>
      </c>
      <c r="H74" s="30">
        <f t="shared" si="85"/>
        <v>97.255999999999943</v>
      </c>
      <c r="I74" s="30">
        <f t="shared" si="85"/>
        <v>49.102000000000004</v>
      </c>
      <c r="J74" s="13"/>
      <c r="K74" s="98">
        <f t="shared" si="57"/>
        <v>4.3250367420471302E-2</v>
      </c>
      <c r="L74" s="98">
        <f t="shared" si="58"/>
        <v>3.6728098964907772E-2</v>
      </c>
      <c r="M74" s="98">
        <f t="shared" si="59"/>
        <v>4.255689264863572E-2</v>
      </c>
      <c r="N74" s="98">
        <f t="shared" si="60"/>
        <v>5.7166137439338502E-2</v>
      </c>
      <c r="O74" s="98">
        <f t="shared" si="61"/>
        <v>3.3198533903482E-2</v>
      </c>
      <c r="P74" s="98">
        <f t="shared" si="62"/>
        <v>1.8500031995904501E-2</v>
      </c>
      <c r="Q74" s="98">
        <f t="shared" si="63"/>
        <v>6.5913927482209381E-2</v>
      </c>
      <c r="R74" s="361">
        <f t="shared" si="65"/>
        <v>3.4671656545685638E-2</v>
      </c>
      <c r="S74" s="13"/>
      <c r="T74" s="361">
        <f t="shared" si="66"/>
        <v>6.769125542647525E-2</v>
      </c>
      <c r="U74" s="128">
        <f>_xlfn.RRI(5.5,H74,B74)</f>
        <v>-1.1566193082725218E-2</v>
      </c>
      <c r="V74" s="98">
        <f>_xlfn.RRI(5,H74,C74)</f>
        <v>-5.6435965657380072E-2</v>
      </c>
      <c r="W74" s="98">
        <f t="shared" si="67"/>
        <v>0.1589838622232467</v>
      </c>
      <c r="X74" s="98">
        <f t="shared" ref="X74:AD74" si="86">(B74-C74)/C74</f>
        <v>0.25416552103382356</v>
      </c>
      <c r="Y74" s="98">
        <f t="shared" si="86"/>
        <v>1.8254101573435218E-2</v>
      </c>
      <c r="Z74" s="98">
        <f t="shared" si="86"/>
        <v>-0.2513205332439003</v>
      </c>
      <c r="AA74" s="98">
        <f t="shared" si="86"/>
        <v>0.75571339196996679</v>
      </c>
      <c r="AB74" s="98">
        <f t="shared" si="86"/>
        <v>0.87983396748530285</v>
      </c>
      <c r="AC74" s="98">
        <f t="shared" si="86"/>
        <v>-0.70274327547914794</v>
      </c>
      <c r="AD74" s="98">
        <f t="shared" si="86"/>
        <v>0.98069325078408076</v>
      </c>
      <c r="AE74" s="13"/>
      <c r="AF74" s="171"/>
      <c r="AG74" s="30" t="e">
        <f t="shared" ref="AG74:AK74" si="87">AG72-AG73</f>
        <v>#REF!</v>
      </c>
      <c r="AH74" s="160" t="e">
        <f t="shared" si="87"/>
        <v>#REF!</v>
      </c>
      <c r="AI74" s="140"/>
      <c r="AJ74" s="30" t="e">
        <f t="shared" si="87"/>
        <v>#REF!</v>
      </c>
      <c r="AK74" s="30" t="e">
        <f t="shared" si="87"/>
        <v>#REF!</v>
      </c>
    </row>
    <row r="75" spans="1:37" s="35" customFormat="1" ht="15" customHeight="1" thickTop="1" x14ac:dyDescent="0.25">
      <c r="A75" s="363" t="s">
        <v>563</v>
      </c>
      <c r="B75" s="38">
        <f>B74-B110</f>
        <v>0</v>
      </c>
      <c r="C75" s="38">
        <f t="shared" ref="C75:I75" si="88">C74-C110</f>
        <v>0</v>
      </c>
      <c r="D75" s="38">
        <f t="shared" si="88"/>
        <v>0</v>
      </c>
      <c r="E75" s="38">
        <f t="shared" si="88"/>
        <v>0</v>
      </c>
      <c r="F75" s="38">
        <f t="shared" si="88"/>
        <v>0</v>
      </c>
      <c r="G75" s="38">
        <f t="shared" si="88"/>
        <v>0</v>
      </c>
      <c r="H75" s="38">
        <f t="shared" si="88"/>
        <v>0</v>
      </c>
      <c r="I75" s="38">
        <f t="shared" si="88"/>
        <v>0</v>
      </c>
    </row>
    <row r="76" spans="1:37" s="35" customFormat="1" ht="15" customHeight="1" x14ac:dyDescent="0.25">
      <c r="A76" s="363"/>
      <c r="B76" s="38"/>
      <c r="C76" s="38"/>
      <c r="D76" s="38"/>
      <c r="E76" s="38"/>
      <c r="F76" s="38"/>
      <c r="G76" s="38"/>
      <c r="H76" s="38"/>
      <c r="I76" s="38"/>
    </row>
    <row r="77" spans="1:37" s="35" customFormat="1" ht="15" customHeight="1" x14ac:dyDescent="0.25">
      <c r="A77" s="78" t="s">
        <v>115</v>
      </c>
      <c r="B77" s="38">
        <f>C77+AG77+AH77-(AJ77+AK77)</f>
        <v>21.020000000000003</v>
      </c>
      <c r="C77" s="38">
        <v>21.21</v>
      </c>
      <c r="D77" s="38">
        <v>21.93</v>
      </c>
      <c r="E77" s="38">
        <v>21.37</v>
      </c>
      <c r="F77" s="38">
        <v>21.07</v>
      </c>
      <c r="G77" s="38">
        <v>20.87</v>
      </c>
      <c r="H77" s="38">
        <v>22</v>
      </c>
      <c r="I77" s="336">
        <v>21.06</v>
      </c>
      <c r="AG77" s="77">
        <v>21.35</v>
      </c>
      <c r="AH77" s="77">
        <v>21.39</v>
      </c>
      <c r="AI77" s="77"/>
      <c r="AJ77" s="77">
        <v>21.24</v>
      </c>
      <c r="AK77" s="77">
        <v>21.69</v>
      </c>
    </row>
    <row r="78" spans="1:37" s="35" customFormat="1" ht="15" customHeight="1" x14ac:dyDescent="0.25">
      <c r="A78" s="78" t="s">
        <v>116</v>
      </c>
      <c r="B78" s="43">
        <f t="shared" ref="B78:I78" si="89">B74/B77</f>
        <v>4.3400570884871605</v>
      </c>
      <c r="C78" s="43">
        <f t="shared" si="89"/>
        <v>3.4295143800094219</v>
      </c>
      <c r="D78" s="43">
        <f t="shared" si="89"/>
        <v>3.2574555403556738</v>
      </c>
      <c r="E78" s="43">
        <f t="shared" si="89"/>
        <v>4.4649508656995733</v>
      </c>
      <c r="F78" s="43">
        <f t="shared" si="89"/>
        <v>2.5793070716658777</v>
      </c>
      <c r="G78" s="43">
        <f t="shared" si="89"/>
        <v>1.3852419741255373</v>
      </c>
      <c r="H78" s="43">
        <f t="shared" si="89"/>
        <v>4.4207272727272704</v>
      </c>
      <c r="I78" s="43">
        <f t="shared" si="89"/>
        <v>2.3315289648622985</v>
      </c>
      <c r="L78" s="40"/>
      <c r="M78" s="40"/>
      <c r="N78" s="40"/>
      <c r="O78" s="40"/>
      <c r="P78" s="40"/>
      <c r="Q78" s="40"/>
      <c r="R78" s="40"/>
      <c r="S78" s="40"/>
      <c r="T78" s="40"/>
    </row>
    <row r="79" spans="1:37" s="35" customFormat="1" ht="15" customHeight="1" x14ac:dyDescent="0.25">
      <c r="A79" s="78" t="s">
        <v>159</v>
      </c>
      <c r="B79" s="43">
        <f t="shared" ref="B79:I79" si="90">B188/B77</f>
        <v>0.23786869647954326</v>
      </c>
      <c r="C79" s="43">
        <f t="shared" si="90"/>
        <v>0.19801980198019803</v>
      </c>
      <c r="D79" s="43">
        <f t="shared" si="90"/>
        <v>0</v>
      </c>
      <c r="E79" s="43">
        <f t="shared" si="90"/>
        <v>0</v>
      </c>
      <c r="F79" s="43">
        <f t="shared" si="90"/>
        <v>0</v>
      </c>
      <c r="G79" s="43">
        <f t="shared" si="90"/>
        <v>0</v>
      </c>
      <c r="H79" s="43">
        <f t="shared" si="90"/>
        <v>0</v>
      </c>
      <c r="I79" s="43">
        <f t="shared" si="90"/>
        <v>0</v>
      </c>
    </row>
    <row r="80" spans="1:37" s="35" customFormat="1" ht="15" customHeight="1" x14ac:dyDescent="0.25">
      <c r="A80" s="78"/>
      <c r="B80" s="43"/>
      <c r="C80" s="43"/>
      <c r="D80" s="43"/>
      <c r="E80" s="43"/>
      <c r="F80" s="43"/>
      <c r="G80" s="43"/>
      <c r="H80" s="43"/>
      <c r="I80" s="43"/>
    </row>
    <row r="81" spans="1:37" s="35" customFormat="1" ht="15" customHeight="1" x14ac:dyDescent="0.25">
      <c r="A81" s="277" t="s">
        <v>441</v>
      </c>
      <c r="B81" s="43"/>
      <c r="C81" s="43"/>
      <c r="D81" s="43"/>
      <c r="E81" s="43"/>
      <c r="F81" s="43"/>
      <c r="G81" s="43"/>
      <c r="H81" s="43"/>
      <c r="I81" s="43"/>
    </row>
    <row r="82" spans="1:37" s="35" customFormat="1" ht="15" customHeight="1" x14ac:dyDescent="0.25">
      <c r="A82" s="78" t="s">
        <v>436</v>
      </c>
      <c r="B82" s="44">
        <f t="shared" ref="B82:I82" si="91">B74</f>
        <v>91.228000000000122</v>
      </c>
      <c r="C82" s="44">
        <f t="shared" si="91"/>
        <v>72.739999999999839</v>
      </c>
      <c r="D82" s="44">
        <f t="shared" si="91"/>
        <v>71.435999999999922</v>
      </c>
      <c r="E82" s="44">
        <f t="shared" si="91"/>
        <v>95.415999999999883</v>
      </c>
      <c r="F82" s="44">
        <f t="shared" si="91"/>
        <v>54.346000000000039</v>
      </c>
      <c r="G82" s="44">
        <f t="shared" si="91"/>
        <v>28.909999999999965</v>
      </c>
      <c r="H82" s="44">
        <f t="shared" si="91"/>
        <v>97.255999999999943</v>
      </c>
      <c r="I82" s="44">
        <f t="shared" si="91"/>
        <v>49.102000000000004</v>
      </c>
      <c r="T82" s="41">
        <f>_xlfn.RRI(6,I82,C82)</f>
        <v>6.769125542647525E-2</v>
      </c>
      <c r="U82" s="41">
        <f>_xlfn.RRI(5.5,H82,B82)</f>
        <v>-1.1566193082725218E-2</v>
      </c>
      <c r="V82" s="41">
        <f>_xlfn.RRI(5,H82,C82)</f>
        <v>-5.6435965657380072E-2</v>
      </c>
    </row>
    <row r="83" spans="1:37" s="35" customFormat="1" ht="15" customHeight="1" x14ac:dyDescent="0.25">
      <c r="A83" s="78" t="s">
        <v>437</v>
      </c>
      <c r="B83" s="279">
        <f>-B187</f>
        <v>19.090601728451141</v>
      </c>
      <c r="C83" s="279">
        <f t="shared" ref="C83:G83" si="92">-C187</f>
        <v>20.7</v>
      </c>
      <c r="D83" s="279">
        <f t="shared" si="92"/>
        <v>23.4</v>
      </c>
      <c r="E83" s="279">
        <f t="shared" si="92"/>
        <v>13.4</v>
      </c>
      <c r="F83" s="279">
        <f t="shared" si="92"/>
        <v>16.8</v>
      </c>
      <c r="G83" s="279">
        <f t="shared" si="92"/>
        <v>25.9</v>
      </c>
      <c r="H83" s="279">
        <f>-H187</f>
        <v>16.600000000000001</v>
      </c>
      <c r="I83" s="279">
        <f t="shared" ref="I83" si="93">-I187</f>
        <v>11.6</v>
      </c>
      <c r="T83" s="41">
        <f t="shared" ref="T83:T88" si="94">_xlfn.RRI(6,I83,C83)</f>
        <v>0.10133318652841328</v>
      </c>
      <c r="U83" s="41">
        <f t="shared" ref="U83:U88" si="95">_xlfn.RRI(5.5,H83,B83)</f>
        <v>2.5742759091786471E-2</v>
      </c>
      <c r="V83" s="41">
        <f t="shared" ref="V83:V88" si="96">_xlfn.RRI(5,H83,C83)</f>
        <v>4.5135143503306274E-2</v>
      </c>
    </row>
    <row r="84" spans="1:37" s="35" customFormat="1" ht="15" customHeight="1" x14ac:dyDescent="0.25">
      <c r="A84" s="278" t="s">
        <v>439</v>
      </c>
      <c r="B84" s="107">
        <f>SUM(B82:B83)</f>
        <v>110.31860172845126</v>
      </c>
      <c r="C84" s="107">
        <f t="shared" ref="C84:I84" si="97">SUM(C82:C83)</f>
        <v>93.439999999999841</v>
      </c>
      <c r="D84" s="107">
        <f t="shared" si="97"/>
        <v>94.835999999999927</v>
      </c>
      <c r="E84" s="107">
        <f t="shared" si="97"/>
        <v>108.81599999999989</v>
      </c>
      <c r="F84" s="107">
        <f t="shared" si="97"/>
        <v>71.146000000000043</v>
      </c>
      <c r="G84" s="107">
        <f t="shared" si="97"/>
        <v>54.80999999999996</v>
      </c>
      <c r="H84" s="107">
        <f t="shared" si="97"/>
        <v>113.85599999999994</v>
      </c>
      <c r="I84" s="107">
        <f t="shared" si="97"/>
        <v>60.702000000000005</v>
      </c>
      <c r="T84" s="41">
        <f t="shared" si="94"/>
        <v>7.4537652935113829E-2</v>
      </c>
      <c r="U84" s="41">
        <f t="shared" si="95"/>
        <v>-5.7220994002465941E-3</v>
      </c>
      <c r="V84" s="41">
        <f t="shared" si="96"/>
        <v>-3.875214976632535E-2</v>
      </c>
    </row>
    <row r="85" spans="1:37" s="35" customFormat="1" ht="15" customHeight="1" x14ac:dyDescent="0.25">
      <c r="A85" s="78" t="s">
        <v>90</v>
      </c>
      <c r="B85" s="279">
        <f t="shared" ref="B85:I85" si="98">-B64</f>
        <v>58.199999999999996</v>
      </c>
      <c r="C85" s="279">
        <f t="shared" si="98"/>
        <v>44.8</v>
      </c>
      <c r="D85" s="279">
        <f t="shared" si="98"/>
        <v>40.5</v>
      </c>
      <c r="E85" s="279">
        <f t="shared" si="98"/>
        <v>48.9</v>
      </c>
      <c r="F85" s="279">
        <f t="shared" si="98"/>
        <v>61.7</v>
      </c>
      <c r="G85" s="279">
        <f t="shared" si="98"/>
        <v>54.1</v>
      </c>
      <c r="H85" s="279">
        <f t="shared" si="98"/>
        <v>42.5</v>
      </c>
      <c r="I85" s="279">
        <f t="shared" si="98"/>
        <v>50.8</v>
      </c>
      <c r="T85" s="41">
        <f t="shared" si="94"/>
        <v>-2.0730149837643985E-2</v>
      </c>
      <c r="U85" s="41">
        <f t="shared" si="95"/>
        <v>5.8825455064547505E-2</v>
      </c>
      <c r="V85" s="41">
        <f t="shared" si="96"/>
        <v>1.0596562775805785E-2</v>
      </c>
    </row>
    <row r="86" spans="1:37" s="35" customFormat="1" ht="15" customHeight="1" x14ac:dyDescent="0.25">
      <c r="A86" s="277" t="s">
        <v>438</v>
      </c>
      <c r="B86" s="107">
        <f>SUM(B84:B85)</f>
        <v>168.51860172845124</v>
      </c>
      <c r="C86" s="107">
        <f t="shared" ref="C86:I86" si="99">SUM(C84:C85)</f>
        <v>138.23999999999984</v>
      </c>
      <c r="D86" s="107">
        <f t="shared" si="99"/>
        <v>135.33599999999993</v>
      </c>
      <c r="E86" s="107">
        <f t="shared" si="99"/>
        <v>157.71599999999989</v>
      </c>
      <c r="F86" s="107">
        <f t="shared" si="99"/>
        <v>132.84600000000006</v>
      </c>
      <c r="G86" s="107">
        <f t="shared" si="99"/>
        <v>108.90999999999997</v>
      </c>
      <c r="H86" s="107">
        <f t="shared" si="99"/>
        <v>156.35599999999994</v>
      </c>
      <c r="I86" s="107">
        <f t="shared" si="99"/>
        <v>111.50200000000001</v>
      </c>
      <c r="T86" s="41">
        <f t="shared" si="94"/>
        <v>3.647423633934066E-2</v>
      </c>
      <c r="U86" s="41">
        <f t="shared" si="95"/>
        <v>1.3713300268494377E-2</v>
      </c>
      <c r="V86" s="41">
        <f t="shared" si="96"/>
        <v>-2.4328015693485194E-2</v>
      </c>
    </row>
    <row r="87" spans="1:37" s="35" customFormat="1" ht="15" customHeight="1" x14ac:dyDescent="0.25">
      <c r="A87" s="78" t="s">
        <v>440</v>
      </c>
      <c r="B87" s="279">
        <f>B127</f>
        <v>56.9</v>
      </c>
      <c r="C87" s="279">
        <f t="shared" ref="C87:I87" si="100">C127</f>
        <v>56.1</v>
      </c>
      <c r="D87" s="279">
        <f t="shared" si="100"/>
        <v>57.7</v>
      </c>
      <c r="E87" s="279">
        <f t="shared" si="100"/>
        <v>54.1</v>
      </c>
      <c r="F87" s="279">
        <f t="shared" si="100"/>
        <v>55.1</v>
      </c>
      <c r="G87" s="279">
        <f t="shared" si="100"/>
        <v>50.8</v>
      </c>
      <c r="H87" s="279">
        <f t="shared" si="100"/>
        <v>49.8</v>
      </c>
      <c r="I87" s="279">
        <f t="shared" si="100"/>
        <v>52.9</v>
      </c>
      <c r="T87" s="41">
        <f t="shared" si="94"/>
        <v>9.8368120898744138E-3</v>
      </c>
      <c r="U87" s="41">
        <f t="shared" si="95"/>
        <v>2.4528792443905489E-2</v>
      </c>
      <c r="V87" s="41">
        <f t="shared" si="96"/>
        <v>2.4110228352600682E-2</v>
      </c>
    </row>
    <row r="88" spans="1:37" s="35" customFormat="1" ht="15" customHeight="1" thickBot="1" x14ac:dyDescent="0.3">
      <c r="A88" s="277" t="s">
        <v>426</v>
      </c>
      <c r="B88" s="280">
        <f>SUM(B86:B87)</f>
        <v>225.41860172845125</v>
      </c>
      <c r="C88" s="280">
        <f t="shared" ref="C88:I88" si="101">SUM(C86:C87)</f>
        <v>194.33999999999983</v>
      </c>
      <c r="D88" s="280">
        <f t="shared" si="101"/>
        <v>193.03599999999994</v>
      </c>
      <c r="E88" s="280">
        <f t="shared" si="101"/>
        <v>211.81599999999989</v>
      </c>
      <c r="F88" s="280">
        <f t="shared" si="101"/>
        <v>187.94600000000005</v>
      </c>
      <c r="G88" s="280">
        <f t="shared" si="101"/>
        <v>159.70999999999998</v>
      </c>
      <c r="H88" s="280">
        <f t="shared" si="101"/>
        <v>206.15599999999995</v>
      </c>
      <c r="I88" s="280">
        <f t="shared" si="101"/>
        <v>164.40200000000002</v>
      </c>
      <c r="T88" s="41">
        <f t="shared" si="94"/>
        <v>2.8274778663071709E-2</v>
      </c>
      <c r="U88" s="41">
        <f t="shared" si="95"/>
        <v>1.6373687321323604E-2</v>
      </c>
      <c r="V88" s="41">
        <f t="shared" si="96"/>
        <v>-1.1735389072704994E-2</v>
      </c>
    </row>
    <row r="89" spans="1:37" s="35" customFormat="1" ht="15" customHeight="1" thickTop="1" x14ac:dyDescent="0.25">
      <c r="A89" s="277"/>
      <c r="B89" s="299"/>
      <c r="C89" s="299"/>
      <c r="D89" s="299"/>
      <c r="E89" s="299"/>
      <c r="F89" s="299"/>
      <c r="G89" s="299"/>
      <c r="H89" s="299"/>
      <c r="I89" s="299"/>
    </row>
    <row r="90" spans="1:37" s="1" customFormat="1" x14ac:dyDescent="0.25">
      <c r="A90" s="1" t="s">
        <v>111</v>
      </c>
      <c r="B90" s="1" t="s">
        <v>476</v>
      </c>
    </row>
    <row r="91" spans="1:37" s="1" customFormat="1" x14ac:dyDescent="0.25">
      <c r="A91" s="1" t="s">
        <v>529</v>
      </c>
      <c r="K91" s="364"/>
    </row>
    <row r="92" spans="1:37" s="1" customFormat="1" x14ac:dyDescent="0.25">
      <c r="A92" s="1" t="s">
        <v>3</v>
      </c>
      <c r="H92" s="2"/>
      <c r="I92" s="2"/>
      <c r="Q92" s="2"/>
      <c r="R92" s="2"/>
      <c r="T92" s="1" t="s">
        <v>536</v>
      </c>
      <c r="U92" s="1" t="s">
        <v>263</v>
      </c>
      <c r="V92" s="1" t="s">
        <v>4</v>
      </c>
      <c r="W92" s="1" t="s">
        <v>5</v>
      </c>
      <c r="X92" s="22" t="s">
        <v>75</v>
      </c>
      <c r="Y92" s="1" t="s">
        <v>6</v>
      </c>
      <c r="Z92" s="1" t="s">
        <v>7</v>
      </c>
      <c r="AA92" s="1" t="s">
        <v>8</v>
      </c>
      <c r="AB92" s="1" t="s">
        <v>9</v>
      </c>
      <c r="AC92" s="1" t="s">
        <v>10</v>
      </c>
      <c r="AD92" s="1" t="s">
        <v>537</v>
      </c>
      <c r="AF92" s="109"/>
      <c r="AG92" s="109"/>
      <c r="AH92" s="111"/>
      <c r="AI92" s="109"/>
      <c r="AJ92" s="109"/>
      <c r="AK92" s="109"/>
    </row>
    <row r="93" spans="1:37" s="1" customFormat="1" ht="15.75" thickBot="1" x14ac:dyDescent="0.3">
      <c r="A93" s="2" t="s">
        <v>11</v>
      </c>
      <c r="B93" s="17" t="s">
        <v>72</v>
      </c>
      <c r="C93" s="3">
        <v>2022</v>
      </c>
      <c r="D93" s="3">
        <v>2021</v>
      </c>
      <c r="E93" s="3">
        <v>2020</v>
      </c>
      <c r="F93" s="3">
        <v>2019</v>
      </c>
      <c r="G93" s="3">
        <v>2018</v>
      </c>
      <c r="H93" s="3">
        <v>2017</v>
      </c>
      <c r="I93" s="3">
        <v>2016</v>
      </c>
      <c r="K93" s="17" t="s">
        <v>72</v>
      </c>
      <c r="L93" s="3">
        <v>2022</v>
      </c>
      <c r="M93" s="3">
        <v>2021</v>
      </c>
      <c r="N93" s="3">
        <v>2020</v>
      </c>
      <c r="O93" s="3">
        <v>2019</v>
      </c>
      <c r="P93" s="3">
        <v>2018</v>
      </c>
      <c r="Q93" s="3">
        <v>2017</v>
      </c>
      <c r="R93" s="3">
        <v>2016</v>
      </c>
      <c r="T93" s="4" t="s">
        <v>12</v>
      </c>
      <c r="U93" s="4" t="s">
        <v>12</v>
      </c>
      <c r="V93" s="4" t="s">
        <v>12</v>
      </c>
      <c r="W93" s="4" t="s">
        <v>13</v>
      </c>
      <c r="X93" s="21" t="s">
        <v>72</v>
      </c>
      <c r="Y93" s="3">
        <v>2022</v>
      </c>
      <c r="Z93" s="3">
        <v>2021</v>
      </c>
      <c r="AA93" s="3">
        <v>2020</v>
      </c>
      <c r="AB93" s="3">
        <v>2019</v>
      </c>
      <c r="AC93" s="3">
        <v>2018</v>
      </c>
      <c r="AD93" s="3">
        <v>2017</v>
      </c>
      <c r="AE93" s="7"/>
      <c r="AF93" s="110"/>
      <c r="AG93" s="110"/>
      <c r="AH93" s="112"/>
      <c r="AI93" s="110"/>
      <c r="AJ93" s="110"/>
      <c r="AK93" s="110"/>
    </row>
    <row r="94" spans="1:37" s="35" customFormat="1" ht="15" customHeight="1" x14ac:dyDescent="0.25">
      <c r="A94" s="277" t="s">
        <v>450</v>
      </c>
      <c r="B94" s="300">
        <v>81.800000000000182</v>
      </c>
      <c r="C94" s="300">
        <v>62.299999999999912</v>
      </c>
      <c r="D94" s="300">
        <v>85.199999999999875</v>
      </c>
      <c r="E94" s="300">
        <v>121.99999999999986</v>
      </c>
      <c r="F94" s="300">
        <v>66.600000000000051</v>
      </c>
      <c r="G94" s="300">
        <v>23.399999999999974</v>
      </c>
      <c r="H94" s="300">
        <v>29.099999999999913</v>
      </c>
      <c r="I94" s="300">
        <v>29.299999999999983</v>
      </c>
      <c r="K94" s="378" t="s">
        <v>562</v>
      </c>
      <c r="L94" s="378"/>
      <c r="M94" s="378"/>
      <c r="N94" s="378"/>
      <c r="O94" s="378"/>
      <c r="P94" s="378"/>
      <c r="Q94" s="378"/>
      <c r="R94" s="378"/>
    </row>
    <row r="95" spans="1:37" s="35" customFormat="1" ht="15" customHeight="1" x14ac:dyDescent="0.25">
      <c r="A95" s="277" t="s">
        <v>451</v>
      </c>
      <c r="B95" s="300"/>
      <c r="C95" s="300"/>
      <c r="D95" s="300"/>
      <c r="E95" s="300"/>
      <c r="F95" s="300"/>
      <c r="G95" s="300"/>
      <c r="H95" s="300"/>
      <c r="I95" s="300"/>
      <c r="K95" s="379"/>
      <c r="L95" s="379"/>
      <c r="M95" s="379"/>
      <c r="N95" s="379"/>
      <c r="O95" s="379"/>
      <c r="P95" s="379"/>
      <c r="Q95" s="379"/>
      <c r="R95" s="379"/>
    </row>
    <row r="96" spans="1:37" s="35" customFormat="1" ht="15" customHeight="1" x14ac:dyDescent="0.25">
      <c r="A96" s="78" t="s">
        <v>452</v>
      </c>
      <c r="B96" s="300">
        <v>-1.7999999999999998</v>
      </c>
      <c r="C96" s="300">
        <v>-2.5</v>
      </c>
      <c r="D96" s="300">
        <v>-31.2</v>
      </c>
      <c r="E96" s="300">
        <v>0</v>
      </c>
      <c r="F96" s="300">
        <v>0</v>
      </c>
      <c r="G96" s="300">
        <v>8.3000000000000007</v>
      </c>
      <c r="H96" s="300">
        <v>0</v>
      </c>
      <c r="I96" s="300">
        <v>-2.1</v>
      </c>
      <c r="K96" s="379"/>
      <c r="L96" s="379"/>
      <c r="M96" s="379"/>
      <c r="N96" s="379"/>
      <c r="O96" s="379"/>
      <c r="P96" s="379"/>
      <c r="Q96" s="379"/>
      <c r="R96" s="379"/>
    </row>
    <row r="97" spans="1:22" s="35" customFormat="1" ht="15" customHeight="1" x14ac:dyDescent="0.25">
      <c r="A97" s="78" t="s">
        <v>453</v>
      </c>
      <c r="B97" s="300">
        <v>1.1000000000000001</v>
      </c>
      <c r="C97" s="300">
        <v>1.1000000000000001</v>
      </c>
      <c r="D97" s="300">
        <v>2.2000000000000002</v>
      </c>
      <c r="E97" s="300">
        <v>6.5</v>
      </c>
      <c r="F97" s="300">
        <v>6</v>
      </c>
      <c r="G97" s="300">
        <v>4</v>
      </c>
      <c r="H97" s="300">
        <v>16.2</v>
      </c>
      <c r="I97" s="300">
        <v>20.100000000000001</v>
      </c>
      <c r="K97" s="379"/>
      <c r="L97" s="379"/>
      <c r="M97" s="379"/>
      <c r="N97" s="379"/>
      <c r="O97" s="379"/>
      <c r="P97" s="379"/>
      <c r="Q97" s="379"/>
      <c r="R97" s="379"/>
    </row>
    <row r="98" spans="1:22" s="35" customFormat="1" ht="15" customHeight="1" x14ac:dyDescent="0.25">
      <c r="A98" s="78" t="s">
        <v>455</v>
      </c>
      <c r="B98" s="300">
        <v>0</v>
      </c>
      <c r="C98" s="300">
        <v>0</v>
      </c>
      <c r="D98" s="300">
        <v>0</v>
      </c>
      <c r="E98" s="300">
        <v>0</v>
      </c>
      <c r="F98" s="300">
        <v>0</v>
      </c>
      <c r="G98" s="300">
        <v>0</v>
      </c>
      <c r="H98" s="300">
        <v>10</v>
      </c>
      <c r="I98" s="300">
        <v>4.4000000000000004</v>
      </c>
      <c r="K98" s="379"/>
      <c r="L98" s="379"/>
      <c r="M98" s="379"/>
      <c r="N98" s="379"/>
      <c r="O98" s="379"/>
      <c r="P98" s="379"/>
      <c r="Q98" s="379"/>
      <c r="R98" s="379"/>
    </row>
    <row r="99" spans="1:22" s="35" customFormat="1" ht="15" customHeight="1" x14ac:dyDescent="0.25">
      <c r="A99" s="78" t="s">
        <v>456</v>
      </c>
      <c r="B99" s="300">
        <v>0</v>
      </c>
      <c r="C99" s="300">
        <v>0</v>
      </c>
      <c r="D99" s="300">
        <v>0</v>
      </c>
      <c r="E99" s="300">
        <v>0</v>
      </c>
      <c r="F99" s="300">
        <v>0</v>
      </c>
      <c r="G99" s="300">
        <v>0</v>
      </c>
      <c r="H99" s="300">
        <v>13.3</v>
      </c>
      <c r="I99" s="300">
        <v>0</v>
      </c>
      <c r="K99" s="379"/>
      <c r="L99" s="379"/>
      <c r="M99" s="379"/>
      <c r="N99" s="379"/>
      <c r="O99" s="379"/>
      <c r="P99" s="379"/>
      <c r="Q99" s="379"/>
      <c r="R99" s="379"/>
    </row>
    <row r="100" spans="1:22" s="35" customFormat="1" ht="15" customHeight="1" x14ac:dyDescent="0.25">
      <c r="A100" s="78" t="s">
        <v>461</v>
      </c>
      <c r="B100" s="38">
        <v>0</v>
      </c>
      <c r="C100" s="300">
        <v>-1.1000000000000001</v>
      </c>
      <c r="D100" s="300">
        <v>0</v>
      </c>
      <c r="E100" s="300">
        <v>0</v>
      </c>
      <c r="F100" s="300">
        <v>0</v>
      </c>
      <c r="G100" s="300">
        <v>0</v>
      </c>
      <c r="H100" s="300">
        <v>0</v>
      </c>
      <c r="I100" s="300">
        <v>0</v>
      </c>
      <c r="K100" s="35" t="s">
        <v>543</v>
      </c>
    </row>
    <row r="101" spans="1:22" s="35" customFormat="1" ht="15" customHeight="1" x14ac:dyDescent="0.25">
      <c r="A101" s="78" t="s">
        <v>462</v>
      </c>
      <c r="B101" s="279">
        <v>1</v>
      </c>
      <c r="C101" s="279">
        <v>1.2</v>
      </c>
      <c r="D101" s="279">
        <v>0.6</v>
      </c>
      <c r="E101" s="279">
        <v>0.6</v>
      </c>
      <c r="F101" s="279">
        <v>1</v>
      </c>
      <c r="G101" s="279">
        <v>1</v>
      </c>
      <c r="H101" s="279">
        <v>0.4</v>
      </c>
      <c r="I101" s="279">
        <v>0</v>
      </c>
      <c r="K101" s="35" t="s">
        <v>542</v>
      </c>
    </row>
    <row r="102" spans="1:22" s="35" customFormat="1" ht="15" customHeight="1" x14ac:dyDescent="0.25">
      <c r="A102" s="277" t="s">
        <v>463</v>
      </c>
      <c r="B102" s="302">
        <v>0.30000000000000027</v>
      </c>
      <c r="C102" s="302">
        <v>-1.3</v>
      </c>
      <c r="D102" s="302">
        <v>-28.4</v>
      </c>
      <c r="E102" s="302">
        <v>7.1</v>
      </c>
      <c r="F102" s="302">
        <v>7</v>
      </c>
      <c r="G102" s="302">
        <v>13.3</v>
      </c>
      <c r="H102" s="302">
        <v>39.9</v>
      </c>
      <c r="I102" s="302">
        <v>22.4</v>
      </c>
    </row>
    <row r="103" spans="1:22" s="35" customFormat="1" ht="15" customHeight="1" x14ac:dyDescent="0.25">
      <c r="A103" s="78" t="s">
        <v>464</v>
      </c>
      <c r="B103" s="279">
        <v>-6.6000000000000059E-2</v>
      </c>
      <c r="C103" s="279">
        <v>0.28600000000000003</v>
      </c>
      <c r="D103" s="279">
        <v>6.2479999999999993</v>
      </c>
      <c r="E103" s="279">
        <v>-1.5619999999999998</v>
      </c>
      <c r="F103" s="279">
        <v>-1.54</v>
      </c>
      <c r="G103" s="279">
        <v>-2.9260000000000002</v>
      </c>
      <c r="H103" s="279">
        <v>-8.7780000000000005</v>
      </c>
      <c r="I103" s="279">
        <v>-4.9279999999999999</v>
      </c>
    </row>
    <row r="104" spans="1:22" s="35" customFormat="1" ht="15" customHeight="1" x14ac:dyDescent="0.25">
      <c r="A104" s="277" t="s">
        <v>465</v>
      </c>
      <c r="B104" s="302">
        <v>0.23400000000000021</v>
      </c>
      <c r="C104" s="302">
        <v>-1.014</v>
      </c>
      <c r="D104" s="302">
        <v>-22.152000000000001</v>
      </c>
      <c r="E104" s="302">
        <v>5.5380000000000003</v>
      </c>
      <c r="F104" s="302">
        <v>5.46</v>
      </c>
      <c r="G104" s="302">
        <v>10.374000000000001</v>
      </c>
      <c r="H104" s="302">
        <v>31.122</v>
      </c>
      <c r="I104" s="302">
        <v>17.471999999999998</v>
      </c>
    </row>
    <row r="105" spans="1:22" s="35" customFormat="1" ht="15" customHeight="1" x14ac:dyDescent="0.25">
      <c r="A105" s="78" t="s">
        <v>457</v>
      </c>
      <c r="B105" s="300">
        <v>9.9999999999999978E-2</v>
      </c>
      <c r="C105" s="300">
        <v>0.59999999999988596</v>
      </c>
      <c r="D105" s="300">
        <v>0.2</v>
      </c>
      <c r="E105" s="300">
        <v>-31.9</v>
      </c>
      <c r="F105" s="300">
        <v>-3.7</v>
      </c>
      <c r="G105" s="300">
        <v>-23.7</v>
      </c>
      <c r="H105" s="300">
        <v>0.8</v>
      </c>
      <c r="I105" s="300">
        <v>-0.6</v>
      </c>
      <c r="L105" s="371"/>
    </row>
    <row r="106" spans="1:22" s="35" customFormat="1" ht="15" customHeight="1" x14ac:dyDescent="0.25">
      <c r="A106" s="78" t="s">
        <v>459</v>
      </c>
      <c r="B106" s="300">
        <v>0</v>
      </c>
      <c r="C106" s="300">
        <v>0</v>
      </c>
      <c r="D106" s="300">
        <v>0</v>
      </c>
      <c r="E106" s="300">
        <v>3</v>
      </c>
      <c r="F106" s="300">
        <v>0</v>
      </c>
      <c r="G106" s="300">
        <v>0</v>
      </c>
      <c r="H106" s="38">
        <v>0</v>
      </c>
      <c r="I106" s="38">
        <v>0</v>
      </c>
      <c r="K106" t="s">
        <v>460</v>
      </c>
    </row>
    <row r="107" spans="1:22" s="35" customFormat="1" ht="15" customHeight="1" x14ac:dyDescent="0.25">
      <c r="A107" s="78" t="s">
        <v>454</v>
      </c>
      <c r="B107" s="300">
        <v>0</v>
      </c>
      <c r="C107" s="300">
        <v>0</v>
      </c>
      <c r="D107" s="300">
        <v>0</v>
      </c>
      <c r="E107" s="300">
        <v>0</v>
      </c>
      <c r="F107" s="300">
        <v>0</v>
      </c>
      <c r="G107" s="300">
        <v>0</v>
      </c>
      <c r="H107" s="300">
        <v>20.5</v>
      </c>
      <c r="I107" s="300">
        <v>0</v>
      </c>
      <c r="K107" t="s">
        <v>458</v>
      </c>
    </row>
    <row r="108" spans="1:22" s="35" customFormat="1" ht="15" customHeight="1" x14ac:dyDescent="0.25">
      <c r="A108" s="78" t="str">
        <f>A120</f>
        <v>Unusual Taxes</v>
      </c>
      <c r="B108" s="279">
        <v>9.0939999999999586</v>
      </c>
      <c r="C108" s="279">
        <v>10.854000000000021</v>
      </c>
      <c r="D108" s="279">
        <v>8.1880000000000202</v>
      </c>
      <c r="E108" s="279">
        <v>-3.2219999999999693</v>
      </c>
      <c r="F108" s="279">
        <v>-14.014000000000012</v>
      </c>
      <c r="G108" s="279">
        <v>18.836000000000006</v>
      </c>
      <c r="H108" s="279">
        <v>15.73400000000002</v>
      </c>
      <c r="I108" s="279">
        <v>2.930000000000005</v>
      </c>
      <c r="J108" s="300"/>
      <c r="K108"/>
      <c r="T108" s="41">
        <f>_xlfn.RRI(6,I108,C108)</f>
        <v>0.2439044824451686</v>
      </c>
      <c r="U108" s="41">
        <f>_xlfn.RRI(5.5,H108,B108)</f>
        <v>-9.486790584961402E-2</v>
      </c>
      <c r="V108" s="41">
        <f>_xlfn.RRI(5,H108,C108)</f>
        <v>-7.1567928305618755E-2</v>
      </c>
    </row>
    <row r="109" spans="1:22" s="35" customFormat="1" ht="15" customHeight="1" x14ac:dyDescent="0.25">
      <c r="A109" s="277" t="s">
        <v>466</v>
      </c>
      <c r="B109" s="303">
        <v>9.4279999999999582</v>
      </c>
      <c r="C109" s="303">
        <v>10.440000000000021</v>
      </c>
      <c r="D109" s="303">
        <v>-13.763999999999982</v>
      </c>
      <c r="E109" s="303">
        <v>-26.583999999999968</v>
      </c>
      <c r="F109" s="303">
        <v>-12.254000000000012</v>
      </c>
      <c r="G109" s="303">
        <v>5.5100000000000069</v>
      </c>
      <c r="H109" s="303">
        <v>68.15600000000002</v>
      </c>
      <c r="I109" s="303">
        <v>19.802</v>
      </c>
      <c r="T109" s="41">
        <f t="shared" ref="T109:T112" si="102">_xlfn.RRI(6,I109,C109)</f>
        <v>-0.10119549523607474</v>
      </c>
      <c r="U109" s="41">
        <f t="shared" ref="U109:U112" si="103">_xlfn.RRI(5.5,H109,B109)</f>
        <v>-0.30208454692768327</v>
      </c>
      <c r="V109" s="41">
        <f t="shared" ref="V109:V112" si="104">_xlfn.RRI(5,H109,C109)</f>
        <v>-0.31286941349876451</v>
      </c>
    </row>
    <row r="110" spans="1:22" s="35" customFormat="1" ht="15" customHeight="1" x14ac:dyDescent="0.25">
      <c r="A110" s="277" t="s">
        <v>540</v>
      </c>
      <c r="B110" s="302">
        <v>91.228000000000137</v>
      </c>
      <c r="C110" s="302">
        <v>72.739999999999938</v>
      </c>
      <c r="D110" s="302">
        <v>71.435999999999893</v>
      </c>
      <c r="E110" s="302">
        <v>95.415999999999883</v>
      </c>
      <c r="F110" s="302">
        <v>54.346000000000039</v>
      </c>
      <c r="G110" s="302">
        <v>28.909999999999982</v>
      </c>
      <c r="H110" s="302">
        <v>97.255999999999929</v>
      </c>
      <c r="I110" s="302">
        <v>49.101999999999983</v>
      </c>
      <c r="K110" s="41"/>
      <c r="T110" s="41">
        <f t="shared" si="102"/>
        <v>6.7691255426475694E-2</v>
      </c>
      <c r="U110" s="41">
        <f t="shared" si="103"/>
        <v>-1.1566193082725218E-2</v>
      </c>
      <c r="V110" s="41">
        <f t="shared" si="104"/>
        <v>-5.6435965657379739E-2</v>
      </c>
    </row>
    <row r="111" spans="1:22" s="35" customFormat="1" ht="15" customHeight="1" x14ac:dyDescent="0.25">
      <c r="A111" s="277"/>
      <c r="B111" s="302"/>
      <c r="C111" s="302"/>
      <c r="D111" s="302"/>
      <c r="E111" s="302"/>
      <c r="F111" s="302"/>
      <c r="G111" s="302"/>
      <c r="H111" s="302"/>
      <c r="I111" s="302"/>
      <c r="K111" s="41"/>
      <c r="T111" s="41"/>
      <c r="U111" s="41"/>
      <c r="V111" s="41"/>
    </row>
    <row r="112" spans="1:22" s="35" customFormat="1" ht="15" customHeight="1" x14ac:dyDescent="0.25">
      <c r="A112" s="277" t="s">
        <v>470</v>
      </c>
      <c r="B112" s="304">
        <v>3.8915318744053362</v>
      </c>
      <c r="C112" s="304">
        <v>2.9372937293729331</v>
      </c>
      <c r="D112" s="304">
        <v>3.88508891928864</v>
      </c>
      <c r="E112" s="304">
        <v>5.7089377632194598</v>
      </c>
      <c r="F112" s="304">
        <v>3.1608922638822996</v>
      </c>
      <c r="G112" s="304">
        <v>1.1212266411116423</v>
      </c>
      <c r="H112" s="304">
        <v>1.3227272727272688</v>
      </c>
      <c r="I112" s="304">
        <v>1.3912630579297238</v>
      </c>
      <c r="K112" s="41"/>
      <c r="T112" s="41">
        <f t="shared" si="102"/>
        <v>0.13263424273701974</v>
      </c>
      <c r="U112" s="41">
        <f t="shared" si="103"/>
        <v>0.21677181847388471</v>
      </c>
      <c r="V112" s="41">
        <f t="shared" si="104"/>
        <v>0.17299298267540775</v>
      </c>
    </row>
    <row r="113" spans="1:37" s="35" customFormat="1" ht="15" customHeight="1" x14ac:dyDescent="0.25">
      <c r="A113" s="277" t="s">
        <v>469</v>
      </c>
      <c r="B113" s="304">
        <v>0.44852521408182433</v>
      </c>
      <c r="C113" s="304">
        <v>0.49222065063649323</v>
      </c>
      <c r="D113" s="304">
        <v>-0.62763337893296756</v>
      </c>
      <c r="E113" s="304">
        <v>-1.2439868975198864</v>
      </c>
      <c r="F113" s="304">
        <v>-0.58158519221642191</v>
      </c>
      <c r="G113" s="304">
        <v>0.2640153330138959</v>
      </c>
      <c r="H113" s="304">
        <v>3.0980000000000008</v>
      </c>
      <c r="I113" s="304">
        <v>0.94026590693257384</v>
      </c>
      <c r="K113" s="41"/>
      <c r="T113" s="41">
        <f t="shared" ref="T113:T114" si="105">_xlfn.RRI(6,I113,C113)</f>
        <v>-0.10225804183804665</v>
      </c>
      <c r="U113" s="41">
        <f t="shared" ref="U113:U114" si="106">_xlfn.RRI(5.5,H113,B113)</f>
        <v>-0.2962782230033566</v>
      </c>
      <c r="V113" s="41">
        <f t="shared" ref="V113:V114" si="107">_xlfn.RRI(5,H113,C113)</f>
        <v>-0.30782536024997664</v>
      </c>
    </row>
    <row r="114" spans="1:37" s="35" customFormat="1" ht="15" customHeight="1" x14ac:dyDescent="0.25">
      <c r="A114" s="277" t="s">
        <v>541</v>
      </c>
      <c r="B114" s="304">
        <v>4.3400570884871605</v>
      </c>
      <c r="C114" s="304">
        <v>3.4295143800094263</v>
      </c>
      <c r="D114" s="304">
        <v>3.2574555403556724</v>
      </c>
      <c r="E114" s="304">
        <v>4.4649508656995733</v>
      </c>
      <c r="F114" s="304">
        <v>2.5793070716658777</v>
      </c>
      <c r="G114" s="304">
        <v>1.3852419741255382</v>
      </c>
      <c r="H114" s="304">
        <v>4.4207272727272695</v>
      </c>
      <c r="I114" s="304">
        <v>2.3315289648622977</v>
      </c>
      <c r="K114" s="41"/>
      <c r="T114" s="41">
        <f t="shared" si="105"/>
        <v>6.6429054681602429E-2</v>
      </c>
      <c r="U114" s="41">
        <f t="shared" si="106"/>
        <v>-3.3428949232524596E-3</v>
      </c>
      <c r="V114" s="41">
        <f t="shared" si="107"/>
        <v>-4.9509498801786345E-2</v>
      </c>
    </row>
    <row r="115" spans="1:37" s="35" customFormat="1" ht="15" customHeight="1" x14ac:dyDescent="0.25">
      <c r="A115" s="277"/>
      <c r="B115" s="302"/>
      <c r="C115" s="302"/>
      <c r="D115" s="302"/>
      <c r="E115" s="302"/>
      <c r="F115" s="302"/>
      <c r="G115" s="302"/>
      <c r="H115" s="302"/>
      <c r="I115" s="302"/>
      <c r="K115" s="41"/>
      <c r="T115" s="41"/>
      <c r="U115" s="41"/>
      <c r="V115" s="41"/>
    </row>
    <row r="116" spans="1:37" s="35" customFormat="1" ht="15" customHeight="1" x14ac:dyDescent="0.25">
      <c r="A116" s="277" t="s">
        <v>471</v>
      </c>
      <c r="B116" s="305">
        <v>0.29752770673486739</v>
      </c>
      <c r="C116" s="305">
        <v>0.33510074231177128</v>
      </c>
      <c r="D116" s="305">
        <v>0.28846153846153871</v>
      </c>
      <c r="E116" s="305">
        <v>0.19073569482288855</v>
      </c>
      <c r="F116" s="305">
        <v>0</v>
      </c>
      <c r="G116" s="305">
        <v>0.82371794871794934</v>
      </c>
      <c r="H116" s="305">
        <v>0.48092868988391446</v>
      </c>
      <c r="I116" s="305">
        <v>0.29610389610389626</v>
      </c>
      <c r="K116" s="41"/>
      <c r="T116" s="41">
        <f t="shared" ref="T116:T120" si="108">_xlfn.RRI(6,I116,C116)</f>
        <v>2.0834199958305932E-2</v>
      </c>
      <c r="U116" s="41">
        <f t="shared" ref="U116:U120" si="109">_xlfn.RRI(5.5,H116,B116)</f>
        <v>-8.3608138677045529E-2</v>
      </c>
      <c r="V116" s="41">
        <f t="shared" ref="V116:V120" si="110">_xlfn.RRI(5,H116,C116)</f>
        <v>-6.9708739990087421E-2</v>
      </c>
    </row>
    <row r="117" spans="1:37" s="35" customFormat="1" ht="15" customHeight="1" x14ac:dyDescent="0.25">
      <c r="A117" s="277" t="s">
        <v>472</v>
      </c>
      <c r="B117" s="306">
        <v>0.22</v>
      </c>
      <c r="C117" s="306">
        <v>0.22</v>
      </c>
      <c r="D117" s="306">
        <v>0.22</v>
      </c>
      <c r="E117" s="306">
        <v>0.22</v>
      </c>
      <c r="F117" s="306">
        <v>0.22</v>
      </c>
      <c r="G117" s="306">
        <v>0.22</v>
      </c>
      <c r="H117" s="306">
        <v>0.22</v>
      </c>
      <c r="I117" s="306">
        <v>0.22</v>
      </c>
      <c r="K117" s="41"/>
      <c r="T117" s="41">
        <f t="shared" si="108"/>
        <v>0</v>
      </c>
      <c r="U117" s="41">
        <f t="shared" si="109"/>
        <v>0</v>
      </c>
      <c r="V117" s="41">
        <f t="shared" si="110"/>
        <v>0</v>
      </c>
    </row>
    <row r="118" spans="1:37" s="35" customFormat="1" ht="15" customHeight="1" x14ac:dyDescent="0.25">
      <c r="A118" s="277" t="s">
        <v>473</v>
      </c>
      <c r="B118" s="302">
        <v>25.80600000000004</v>
      </c>
      <c r="C118" s="302">
        <v>20.745999999999981</v>
      </c>
      <c r="D118" s="302">
        <v>26.311999999999973</v>
      </c>
      <c r="E118" s="302">
        <v>24.221999999999969</v>
      </c>
      <c r="F118" s="302">
        <v>14.014000000000012</v>
      </c>
      <c r="G118" s="302">
        <v>6.8639999999999946</v>
      </c>
      <c r="H118" s="302">
        <v>13.26599999999998</v>
      </c>
      <c r="I118" s="302">
        <v>8.4699999999999953</v>
      </c>
      <c r="K118" s="41"/>
      <c r="T118" s="41">
        <f t="shared" si="108"/>
        <v>0.16102568393598582</v>
      </c>
      <c r="U118" s="41">
        <f t="shared" si="109"/>
        <v>0.12860493627846448</v>
      </c>
      <c r="V118" s="41">
        <f t="shared" si="110"/>
        <v>9.3550582156779472E-2</v>
      </c>
    </row>
    <row r="119" spans="1:37" s="35" customFormat="1" ht="15" customHeight="1" x14ac:dyDescent="0.25">
      <c r="A119" s="277" t="s">
        <v>474</v>
      </c>
      <c r="B119" s="307">
        <v>34.9</v>
      </c>
      <c r="C119" s="307">
        <v>31.6</v>
      </c>
      <c r="D119" s="307">
        <v>34.499999999999993</v>
      </c>
      <c r="E119" s="307">
        <v>21</v>
      </c>
      <c r="F119" s="307">
        <v>0</v>
      </c>
      <c r="G119" s="307">
        <v>25.7</v>
      </c>
      <c r="H119" s="307">
        <v>29</v>
      </c>
      <c r="I119" s="307">
        <v>11.4</v>
      </c>
      <c r="K119" s="41"/>
      <c r="T119" s="41">
        <f t="shared" si="108"/>
        <v>0.18521472519183702</v>
      </c>
      <c r="U119" s="41">
        <f t="shared" si="109"/>
        <v>3.4244378254496555E-2</v>
      </c>
      <c r="V119" s="41">
        <f t="shared" si="110"/>
        <v>1.7320548959203874E-2</v>
      </c>
    </row>
    <row r="120" spans="1:37" s="35" customFormat="1" ht="15" customHeight="1" x14ac:dyDescent="0.25">
      <c r="A120" s="277" t="s">
        <v>475</v>
      </c>
      <c r="B120" s="302">
        <v>9.0939999999999586</v>
      </c>
      <c r="C120" s="302">
        <v>10.854000000000021</v>
      </c>
      <c r="D120" s="302">
        <v>8.1880000000000202</v>
      </c>
      <c r="E120" s="302">
        <v>-3.2219999999999693</v>
      </c>
      <c r="F120" s="302">
        <v>-14.014000000000012</v>
      </c>
      <c r="G120" s="302">
        <v>18.836000000000006</v>
      </c>
      <c r="H120" s="302">
        <v>15.73400000000002</v>
      </c>
      <c r="I120" s="302">
        <v>2.930000000000005</v>
      </c>
      <c r="K120" s="41"/>
      <c r="T120" s="41">
        <f t="shared" si="108"/>
        <v>0.2439044824451686</v>
      </c>
      <c r="U120" s="41">
        <f t="shared" si="109"/>
        <v>-9.486790584961402E-2</v>
      </c>
      <c r="V120" s="41">
        <f t="shared" si="110"/>
        <v>-7.1567928305618755E-2</v>
      </c>
    </row>
    <row r="121" spans="1:37" s="35" customFormat="1" ht="15" customHeight="1" x14ac:dyDescent="0.25">
      <c r="A121" s="301"/>
      <c r="B121" s="300"/>
      <c r="C121" s="300"/>
      <c r="D121" s="300"/>
      <c r="E121" s="300"/>
      <c r="F121" s="300"/>
      <c r="G121" s="300"/>
      <c r="H121" s="300"/>
      <c r="I121" s="300"/>
      <c r="T121" s="41"/>
      <c r="U121" s="41"/>
      <c r="V121" s="41"/>
    </row>
    <row r="122" spans="1:37" s="1" customFormat="1" x14ac:dyDescent="0.25">
      <c r="A122" s="1" t="s">
        <v>111</v>
      </c>
      <c r="B122" s="1" t="s">
        <v>476</v>
      </c>
      <c r="K122" s="1" t="s">
        <v>476</v>
      </c>
      <c r="U122" s="1" t="s">
        <v>476</v>
      </c>
      <c r="AF122" s="1" t="s">
        <v>476</v>
      </c>
    </row>
    <row r="123" spans="1:37" s="1" customFormat="1" x14ac:dyDescent="0.25">
      <c r="A123" s="1" t="s">
        <v>163</v>
      </c>
      <c r="K123" s="1" t="s">
        <v>161</v>
      </c>
      <c r="U123" s="1" t="s">
        <v>74</v>
      </c>
      <c r="AF123" s="1" t="s">
        <v>73</v>
      </c>
    </row>
    <row r="124" spans="1:37" s="1" customFormat="1" x14ac:dyDescent="0.25">
      <c r="A124" s="1" t="s">
        <v>3</v>
      </c>
      <c r="H124" s="2"/>
      <c r="I124" s="2"/>
      <c r="Q124" s="2"/>
      <c r="R124" s="2"/>
      <c r="T124" s="1" t="s">
        <v>536</v>
      </c>
      <c r="U124" s="1" t="s">
        <v>263</v>
      </c>
      <c r="V124" s="1" t="s">
        <v>4</v>
      </c>
      <c r="W124" s="1" t="s">
        <v>5</v>
      </c>
      <c r="X124" s="22" t="s">
        <v>75</v>
      </c>
      <c r="Y124" s="1" t="s">
        <v>6</v>
      </c>
      <c r="Z124" s="1" t="s">
        <v>7</v>
      </c>
      <c r="AA124" s="1" t="s">
        <v>8</v>
      </c>
      <c r="AB124" s="1" t="s">
        <v>9</v>
      </c>
      <c r="AC124" s="1" t="s">
        <v>10</v>
      </c>
      <c r="AD124" s="1" t="s">
        <v>537</v>
      </c>
      <c r="AF124" s="109" t="s">
        <v>262</v>
      </c>
      <c r="AG124" s="109" t="s">
        <v>260</v>
      </c>
      <c r="AH124" s="111" t="s">
        <v>261</v>
      </c>
      <c r="AI124" s="109" t="s">
        <v>262</v>
      </c>
      <c r="AJ124" s="109" t="s">
        <v>260</v>
      </c>
      <c r="AK124" s="109" t="s">
        <v>261</v>
      </c>
    </row>
    <row r="125" spans="1:37" s="1" customFormat="1" ht="15.75" thickBot="1" x14ac:dyDescent="0.3">
      <c r="A125" s="2" t="s">
        <v>11</v>
      </c>
      <c r="B125" s="17" t="s">
        <v>72</v>
      </c>
      <c r="C125" s="3">
        <v>2022</v>
      </c>
      <c r="D125" s="3">
        <v>2021</v>
      </c>
      <c r="E125" s="3">
        <v>2020</v>
      </c>
      <c r="F125" s="3">
        <v>2019</v>
      </c>
      <c r="G125" s="3">
        <v>2018</v>
      </c>
      <c r="H125" s="3">
        <v>2017</v>
      </c>
      <c r="I125" s="3">
        <v>2016</v>
      </c>
      <c r="K125" s="17" t="s">
        <v>72</v>
      </c>
      <c r="L125" s="3">
        <v>2022</v>
      </c>
      <c r="M125" s="3">
        <v>2021</v>
      </c>
      <c r="N125" s="3">
        <v>2020</v>
      </c>
      <c r="O125" s="3">
        <v>2019</v>
      </c>
      <c r="P125" s="3">
        <v>2018</v>
      </c>
      <c r="Q125" s="3">
        <v>2017</v>
      </c>
      <c r="R125" s="3">
        <v>2016</v>
      </c>
      <c r="T125" s="4" t="s">
        <v>12</v>
      </c>
      <c r="U125" s="4" t="s">
        <v>12</v>
      </c>
      <c r="V125" s="4" t="s">
        <v>12</v>
      </c>
      <c r="W125" s="4" t="s">
        <v>13</v>
      </c>
      <c r="X125" s="21" t="s">
        <v>72</v>
      </c>
      <c r="Y125" s="3">
        <v>2022</v>
      </c>
      <c r="Z125" s="3">
        <v>2021</v>
      </c>
      <c r="AA125" s="3">
        <v>2020</v>
      </c>
      <c r="AB125" s="3">
        <v>2019</v>
      </c>
      <c r="AC125" s="3">
        <v>2018</v>
      </c>
      <c r="AD125" s="3">
        <v>2017</v>
      </c>
      <c r="AE125" s="7"/>
      <c r="AF125" s="110">
        <v>2023</v>
      </c>
      <c r="AG125" s="110">
        <v>2023</v>
      </c>
      <c r="AH125" s="112">
        <v>2023</v>
      </c>
      <c r="AI125" s="110">
        <v>2022</v>
      </c>
      <c r="AJ125" s="110">
        <v>2022</v>
      </c>
      <c r="AK125" s="110">
        <v>2022</v>
      </c>
    </row>
    <row r="126" spans="1:37" x14ac:dyDescent="0.25">
      <c r="A126" s="14" t="s">
        <v>104</v>
      </c>
      <c r="B126" s="28">
        <f t="shared" ref="B126:I126" si="111">B72</f>
        <v>91.728000000000122</v>
      </c>
      <c r="C126" s="28">
        <f t="shared" si="111"/>
        <v>72.539999999999836</v>
      </c>
      <c r="D126" s="28">
        <f t="shared" si="111"/>
        <v>71.135999999999925</v>
      </c>
      <c r="E126" s="28">
        <f t="shared" si="111"/>
        <v>94.415999999999883</v>
      </c>
      <c r="F126" s="28">
        <f t="shared" si="111"/>
        <v>55.146000000000036</v>
      </c>
      <c r="G126" s="28">
        <f t="shared" si="111"/>
        <v>34.709999999999965</v>
      </c>
      <c r="H126" s="28">
        <f t="shared" si="111"/>
        <v>98.655999999999949</v>
      </c>
      <c r="I126" s="28">
        <f t="shared" si="111"/>
        <v>47.502000000000002</v>
      </c>
      <c r="J126" s="57"/>
      <c r="K126" s="57"/>
      <c r="L126" s="57"/>
      <c r="M126" s="57"/>
      <c r="N126" s="57"/>
      <c r="O126" s="57"/>
      <c r="P126" s="57"/>
      <c r="Q126" s="57"/>
      <c r="R126" s="57"/>
      <c r="S126" s="57"/>
      <c r="T126" s="41">
        <f t="shared" ref="T126:T147" si="112">_xlfn.RRI(6,I126,C126)</f>
        <v>7.3110084098951367E-2</v>
      </c>
      <c r="U126" s="41">
        <f t="shared" ref="U126:U127" si="113">_xlfn.RRI(5.5,H126,B126)</f>
        <v>-1.315118928569925E-2</v>
      </c>
      <c r="V126" s="41">
        <f t="shared" ref="V126:V127" si="114">_xlfn.RRI(5,H126,C126)</f>
        <v>-5.9647226880954918E-2</v>
      </c>
      <c r="W126" s="58">
        <f>AVERAGE(X126:AC126)</f>
        <v>0.11506448106805951</v>
      </c>
      <c r="X126" s="58">
        <f t="shared" ref="X126:AC127" si="115">(B126-C126)/C126</f>
        <v>0.26451612903226263</v>
      </c>
      <c r="Y126" s="58">
        <f t="shared" si="115"/>
        <v>1.9736842105261929E-2</v>
      </c>
      <c r="Z126" s="58">
        <f t="shared" si="115"/>
        <v>-0.24656837824097597</v>
      </c>
      <c r="AA126" s="58">
        <f t="shared" si="115"/>
        <v>0.71210967250570889</v>
      </c>
      <c r="AB126" s="58">
        <f t="shared" si="115"/>
        <v>0.58876404494382284</v>
      </c>
      <c r="AC126" s="58">
        <f t="shared" si="115"/>
        <v>-0.6481714239377232</v>
      </c>
      <c r="AD126" s="58"/>
      <c r="AE126" s="57"/>
      <c r="AF126" s="61"/>
      <c r="AG126" s="28">
        <v>24.4</v>
      </c>
      <c r="AH126" s="166">
        <v>26.2</v>
      </c>
      <c r="AI126" s="135"/>
      <c r="AJ126" s="28">
        <v>11.6</v>
      </c>
      <c r="AK126" s="28">
        <v>18.8</v>
      </c>
    </row>
    <row r="127" spans="1:37" x14ac:dyDescent="0.25">
      <c r="A127" s="14" t="s">
        <v>83</v>
      </c>
      <c r="B127" s="61">
        <f t="shared" ref="B127:B142" si="116">C127+AG127+AH127-(AJ127+AK127)</f>
        <v>56.9</v>
      </c>
      <c r="C127" s="8">
        <v>56.1</v>
      </c>
      <c r="D127" s="8">
        <v>57.7</v>
      </c>
      <c r="E127" s="8">
        <v>54.1</v>
      </c>
      <c r="F127" s="8">
        <v>55.1</v>
      </c>
      <c r="G127" s="8">
        <v>50.8</v>
      </c>
      <c r="H127" s="8">
        <v>49.8</v>
      </c>
      <c r="I127" s="336">
        <v>52.9</v>
      </c>
      <c r="J127" s="57"/>
      <c r="K127" s="57"/>
      <c r="L127" s="57"/>
      <c r="M127" s="57"/>
      <c r="N127" s="57"/>
      <c r="O127" s="57"/>
      <c r="P127" s="57"/>
      <c r="Q127" s="57"/>
      <c r="R127" s="57"/>
      <c r="S127" s="57"/>
      <c r="T127" s="41">
        <f t="shared" si="112"/>
        <v>9.8368120898744138E-3</v>
      </c>
      <c r="U127" s="41">
        <f t="shared" si="113"/>
        <v>2.4528792443905489E-2</v>
      </c>
      <c r="V127" s="41">
        <f t="shared" si="114"/>
        <v>2.4110228352600682E-2</v>
      </c>
      <c r="W127" s="58">
        <f t="shared" ref="W127:W184" si="117">AVERAGE(X127:AC127)</f>
        <v>2.3275203638879128E-2</v>
      </c>
      <c r="X127" s="58">
        <f t="shared" si="115"/>
        <v>1.426024955436715E-2</v>
      </c>
      <c r="Y127" s="58">
        <f t="shared" si="115"/>
        <v>-2.7729636048526886E-2</v>
      </c>
      <c r="Z127" s="58">
        <f t="shared" si="115"/>
        <v>6.6543438077634035E-2</v>
      </c>
      <c r="AA127" s="58">
        <f t="shared" si="115"/>
        <v>-1.8148820326678767E-2</v>
      </c>
      <c r="AB127" s="58">
        <f t="shared" si="115"/>
        <v>8.4645669291338668E-2</v>
      </c>
      <c r="AC127" s="58">
        <f t="shared" si="115"/>
        <v>2.0080321285140562E-2</v>
      </c>
      <c r="AD127" s="58"/>
      <c r="AE127" s="57"/>
      <c r="AF127" s="61"/>
      <c r="AG127" s="8">
        <v>14.4</v>
      </c>
      <c r="AH127" s="144">
        <v>14</v>
      </c>
      <c r="AI127" s="135"/>
      <c r="AJ127" s="8">
        <v>13.4</v>
      </c>
      <c r="AK127" s="8">
        <v>14.2</v>
      </c>
    </row>
    <row r="128" spans="1:37" x14ac:dyDescent="0.25">
      <c r="A128" s="14" t="s">
        <v>117</v>
      </c>
      <c r="B128" s="61">
        <f t="shared" si="116"/>
        <v>-0.59999999999999964</v>
      </c>
      <c r="C128" s="8">
        <v>6.5</v>
      </c>
      <c r="D128" s="8">
        <v>3.8</v>
      </c>
      <c r="E128" s="8">
        <v>-9.1999999999999993</v>
      </c>
      <c r="F128" s="8">
        <v>-4.0999999999999996</v>
      </c>
      <c r="G128" s="8">
        <v>6.9</v>
      </c>
      <c r="H128" s="8">
        <v>0</v>
      </c>
      <c r="I128" s="336">
        <v>0</v>
      </c>
      <c r="J128" s="57"/>
      <c r="K128" s="57"/>
      <c r="L128" s="57"/>
      <c r="M128" s="57"/>
      <c r="N128" s="57"/>
      <c r="O128" s="57"/>
      <c r="P128" s="57"/>
      <c r="Q128" s="57"/>
      <c r="R128" s="57"/>
      <c r="S128" s="57"/>
      <c r="T128" s="41"/>
      <c r="U128" s="41"/>
      <c r="V128" s="41"/>
      <c r="W128" s="58"/>
      <c r="X128" s="58">
        <f>(B128-C128)/C128</f>
        <v>-1.0923076923076922</v>
      </c>
      <c r="Y128" s="58">
        <f>(C128-D128)/D128</f>
        <v>0.71052631578947378</v>
      </c>
      <c r="Z128" s="58">
        <f>(D128-E128)/E128</f>
        <v>-1.4130434782608696</v>
      </c>
      <c r="AA128" s="58">
        <f>(E128-F128)/F128</f>
        <v>1.2439024390243902</v>
      </c>
      <c r="AB128" s="58">
        <f>(F128-G128)/G128</f>
        <v>-1.5942028985507246</v>
      </c>
      <c r="AC128" s="58"/>
      <c r="AD128" s="58"/>
      <c r="AE128" s="57"/>
      <c r="AF128" s="61"/>
      <c r="AG128" s="8">
        <v>1.1000000000000001</v>
      </c>
      <c r="AH128" s="144">
        <v>-1.1000000000000001</v>
      </c>
      <c r="AI128" s="135"/>
      <c r="AJ128" s="8">
        <v>6.8</v>
      </c>
      <c r="AK128" s="8">
        <v>0.3</v>
      </c>
    </row>
    <row r="129" spans="1:37" x14ac:dyDescent="0.25">
      <c r="A129" s="14" t="s">
        <v>118</v>
      </c>
      <c r="B129" s="61">
        <f t="shared" si="116"/>
        <v>0</v>
      </c>
      <c r="C129" s="8">
        <v>0</v>
      </c>
      <c r="D129" s="8">
        <v>0</v>
      </c>
      <c r="E129" s="8">
        <v>0</v>
      </c>
      <c r="F129" s="8">
        <v>0</v>
      </c>
      <c r="G129" s="8">
        <v>0</v>
      </c>
      <c r="H129" s="8">
        <v>3.7</v>
      </c>
      <c r="I129" s="336">
        <v>3.5</v>
      </c>
      <c r="J129" s="57"/>
      <c r="K129" s="57"/>
      <c r="L129" s="57"/>
      <c r="M129" s="57"/>
      <c r="N129" s="57"/>
      <c r="O129" s="57"/>
      <c r="P129" s="57"/>
      <c r="Q129" s="57"/>
      <c r="R129" s="57"/>
      <c r="S129" s="57"/>
      <c r="T129" s="41"/>
      <c r="U129" s="41"/>
      <c r="V129" s="41"/>
      <c r="W129" s="58"/>
      <c r="X129" s="58"/>
      <c r="Y129" s="58"/>
      <c r="Z129" s="58"/>
      <c r="AA129" s="58"/>
      <c r="AB129" s="58"/>
      <c r="AC129" s="58"/>
      <c r="AD129" s="58"/>
      <c r="AE129" s="57"/>
      <c r="AF129" s="61"/>
      <c r="AG129" s="8">
        <v>0</v>
      </c>
      <c r="AH129" s="144">
        <v>0</v>
      </c>
      <c r="AI129" s="135"/>
      <c r="AJ129" s="8">
        <v>0</v>
      </c>
      <c r="AK129" s="8">
        <v>0</v>
      </c>
    </row>
    <row r="130" spans="1:37" x14ac:dyDescent="0.25">
      <c r="A130" s="14" t="s">
        <v>92</v>
      </c>
      <c r="B130" s="61">
        <f t="shared" si="116"/>
        <v>0</v>
      </c>
      <c r="C130" s="8">
        <v>0</v>
      </c>
      <c r="D130" s="8">
        <v>0</v>
      </c>
      <c r="E130" s="8">
        <v>0</v>
      </c>
      <c r="F130" s="8">
        <v>0</v>
      </c>
      <c r="G130" s="8">
        <v>0</v>
      </c>
      <c r="H130" s="8">
        <v>13.3</v>
      </c>
      <c r="I130" s="336">
        <v>0</v>
      </c>
      <c r="J130" s="57"/>
      <c r="K130" s="57"/>
      <c r="L130" s="57"/>
      <c r="M130" s="57"/>
      <c r="N130" s="57"/>
      <c r="O130" s="57"/>
      <c r="P130" s="57"/>
      <c r="Q130" s="57"/>
      <c r="R130" s="57"/>
      <c r="S130" s="57"/>
      <c r="T130" s="41"/>
      <c r="U130" s="41"/>
      <c r="V130" s="41"/>
      <c r="W130" s="58"/>
      <c r="X130" s="58"/>
      <c r="Y130" s="58"/>
      <c r="Z130" s="58"/>
      <c r="AA130" s="58"/>
      <c r="AB130" s="58"/>
      <c r="AC130" s="58"/>
      <c r="AD130" s="58"/>
      <c r="AE130" s="57"/>
      <c r="AF130" s="61"/>
      <c r="AG130" s="8">
        <v>0</v>
      </c>
      <c r="AH130" s="144">
        <v>0</v>
      </c>
      <c r="AI130" s="135"/>
      <c r="AJ130" s="8">
        <v>0</v>
      </c>
      <c r="AK130" s="8">
        <v>0</v>
      </c>
    </row>
    <row r="131" spans="1:37" x14ac:dyDescent="0.25">
      <c r="A131" s="14" t="s">
        <v>119</v>
      </c>
      <c r="B131" s="61">
        <f t="shared" si="116"/>
        <v>0</v>
      </c>
      <c r="C131" s="8">
        <v>0</v>
      </c>
      <c r="D131" s="8">
        <v>0.3</v>
      </c>
      <c r="E131" s="8">
        <v>-35.6</v>
      </c>
      <c r="F131" s="8">
        <v>0.8</v>
      </c>
      <c r="G131" s="8">
        <v>0.7</v>
      </c>
      <c r="H131" s="8">
        <v>-0.7</v>
      </c>
      <c r="I131" s="336">
        <v>-2.9</v>
      </c>
      <c r="J131" s="57"/>
      <c r="K131" s="57"/>
      <c r="L131" s="57"/>
      <c r="M131" s="57"/>
      <c r="N131" s="57"/>
      <c r="O131" s="57"/>
      <c r="P131" s="57"/>
      <c r="Q131" s="57"/>
      <c r="R131" s="57"/>
      <c r="S131" s="57"/>
      <c r="T131" s="41"/>
      <c r="U131" s="58"/>
      <c r="V131" s="58"/>
      <c r="W131" s="58"/>
      <c r="X131" s="58"/>
      <c r="Y131" s="58"/>
      <c r="Z131" s="58"/>
      <c r="AA131" s="58"/>
      <c r="AB131" s="58"/>
      <c r="AC131" s="58"/>
      <c r="AD131" s="58"/>
      <c r="AE131" s="57"/>
      <c r="AF131" s="61"/>
      <c r="AG131" s="8">
        <v>0</v>
      </c>
      <c r="AH131" s="144">
        <v>0</v>
      </c>
      <c r="AI131" s="135"/>
      <c r="AJ131" s="8">
        <v>0</v>
      </c>
      <c r="AK131" s="8">
        <v>0</v>
      </c>
    </row>
    <row r="132" spans="1:37" x14ac:dyDescent="0.25">
      <c r="A132" s="14" t="s">
        <v>120</v>
      </c>
      <c r="B132" s="61">
        <f t="shared" si="116"/>
        <v>-0.20000000000000007</v>
      </c>
      <c r="C132" s="8">
        <v>-0.8</v>
      </c>
      <c r="D132" s="8">
        <v>-6.1</v>
      </c>
      <c r="E132" s="8">
        <v>-0.7</v>
      </c>
      <c r="F132" s="8">
        <v>-3</v>
      </c>
      <c r="G132" s="8">
        <v>-1.5</v>
      </c>
      <c r="H132" s="8">
        <v>0</v>
      </c>
      <c r="I132" s="336">
        <v>0</v>
      </c>
      <c r="J132" s="57"/>
      <c r="K132" s="57"/>
      <c r="L132" s="57"/>
      <c r="M132" s="57"/>
      <c r="N132" s="57"/>
      <c r="O132" s="57"/>
      <c r="P132" s="57"/>
      <c r="Q132" s="57"/>
      <c r="R132" s="57"/>
      <c r="S132" s="57"/>
      <c r="T132" s="41"/>
      <c r="U132" s="58"/>
      <c r="V132" s="58"/>
      <c r="W132" s="58"/>
      <c r="X132" s="58">
        <f>(B132-C132)/C132</f>
        <v>-0.74999999999999989</v>
      </c>
      <c r="Y132" s="58">
        <f>(C132-D132)/D132</f>
        <v>-0.86885245901639352</v>
      </c>
      <c r="Z132" s="58">
        <f>(D132-E132)/E132</f>
        <v>7.7142857142857144</v>
      </c>
      <c r="AA132" s="58">
        <f>(E132-F132)/F132</f>
        <v>-0.76666666666666661</v>
      </c>
      <c r="AB132" s="58">
        <f>(F132-G132)/G132</f>
        <v>1</v>
      </c>
      <c r="AC132" s="58"/>
      <c r="AD132" s="58"/>
      <c r="AE132" s="57"/>
      <c r="AF132" s="61"/>
      <c r="AG132" s="8">
        <v>-0.1</v>
      </c>
      <c r="AH132" s="144">
        <v>0</v>
      </c>
      <c r="AI132" s="135"/>
      <c r="AJ132" s="8">
        <v>-0.3</v>
      </c>
      <c r="AK132" s="8">
        <v>-0.4</v>
      </c>
    </row>
    <row r="133" spans="1:37" x14ac:dyDescent="0.25">
      <c r="A133" s="14" t="s">
        <v>84</v>
      </c>
      <c r="B133" s="61">
        <f t="shared" si="116"/>
        <v>-1.8000000000000003</v>
      </c>
      <c r="C133" s="8">
        <v>-2.6</v>
      </c>
      <c r="D133" s="8">
        <v>-31.5</v>
      </c>
      <c r="E133" s="8">
        <v>0</v>
      </c>
      <c r="F133" s="8">
        <v>0</v>
      </c>
      <c r="G133" s="8">
        <v>8.3000000000000007</v>
      </c>
      <c r="H133" s="8">
        <v>-1.5</v>
      </c>
      <c r="I133" s="336">
        <v>0</v>
      </c>
      <c r="J133" s="57"/>
      <c r="K133" s="57"/>
      <c r="L133" s="57"/>
      <c r="M133" s="57"/>
      <c r="N133" s="57"/>
      <c r="O133" s="57"/>
      <c r="P133" s="57"/>
      <c r="Q133" s="57"/>
      <c r="R133" s="57"/>
      <c r="S133" s="57"/>
      <c r="T133" s="41"/>
      <c r="U133" s="58">
        <f>_xlfn.RRI(5.5,H133,B133)</f>
        <v>3.3704936311998557E-2</v>
      </c>
      <c r="V133" s="58">
        <f>_xlfn.RRI(5,H133,C133)</f>
        <v>0.11628841548417412</v>
      </c>
      <c r="W133" s="58"/>
      <c r="X133" s="58"/>
      <c r="Y133" s="58"/>
      <c r="Z133" s="58"/>
      <c r="AA133" s="58"/>
      <c r="AB133" s="58"/>
      <c r="AC133" s="58"/>
      <c r="AD133" s="58"/>
      <c r="AE133" s="57"/>
      <c r="AF133" s="61"/>
      <c r="AG133" s="8">
        <v>0</v>
      </c>
      <c r="AH133" s="144">
        <v>-1.8</v>
      </c>
      <c r="AI133" s="135"/>
      <c r="AJ133" s="8">
        <v>-0.1</v>
      </c>
      <c r="AK133" s="8">
        <v>-2.5</v>
      </c>
    </row>
    <row r="134" spans="1:37" x14ac:dyDescent="0.25">
      <c r="A134" s="14" t="s">
        <v>121</v>
      </c>
      <c r="B134" s="61">
        <f t="shared" si="116"/>
        <v>3</v>
      </c>
      <c r="C134" s="8">
        <v>2.7</v>
      </c>
      <c r="D134" s="8">
        <v>16.899999999999999</v>
      </c>
      <c r="E134" s="8">
        <v>9.4</v>
      </c>
      <c r="F134" s="8">
        <v>-10.9</v>
      </c>
      <c r="G134" s="8">
        <v>9.1</v>
      </c>
      <c r="H134" s="8">
        <v>1.6</v>
      </c>
      <c r="I134" s="336">
        <v>-0.1</v>
      </c>
      <c r="J134" s="57"/>
      <c r="K134" s="57"/>
      <c r="L134" s="57"/>
      <c r="M134" s="57"/>
      <c r="N134" s="57"/>
      <c r="O134" s="57"/>
      <c r="P134" s="57"/>
      <c r="Q134" s="57"/>
      <c r="R134" s="57"/>
      <c r="S134" s="57"/>
      <c r="T134" s="41"/>
      <c r="U134" s="58">
        <f>_xlfn.RRI(5.5,H134,B134)</f>
        <v>0.12107997436634665</v>
      </c>
      <c r="V134" s="58">
        <f>_xlfn.RRI(5,H134,C134)</f>
        <v>0.11032151746146002</v>
      </c>
      <c r="W134" s="58">
        <f t="shared" si="117"/>
        <v>0.11600987437383248</v>
      </c>
      <c r="X134" s="58">
        <f t="shared" ref="X134:AC137" si="118">(B134-C134)/C134</f>
        <v>0.11111111111111104</v>
      </c>
      <c r="Y134" s="58">
        <f t="shared" si="118"/>
        <v>-0.84023668639053262</v>
      </c>
      <c r="Z134" s="58">
        <f t="shared" si="118"/>
        <v>0.79787234042553168</v>
      </c>
      <c r="AA134" s="58">
        <f t="shared" si="118"/>
        <v>-1.8623853211009174</v>
      </c>
      <c r="AB134" s="58">
        <f t="shared" si="118"/>
        <v>-2.197802197802198</v>
      </c>
      <c r="AC134" s="58">
        <f t="shared" si="118"/>
        <v>4.6875</v>
      </c>
      <c r="AD134" s="58"/>
      <c r="AE134" s="57"/>
      <c r="AF134" s="61"/>
      <c r="AG134" s="8">
        <v>1</v>
      </c>
      <c r="AH134" s="144">
        <v>-0.1</v>
      </c>
      <c r="AI134" s="135"/>
      <c r="AJ134" s="8">
        <v>0.3</v>
      </c>
      <c r="AK134" s="8">
        <v>0.3</v>
      </c>
    </row>
    <row r="135" spans="1:37" x14ac:dyDescent="0.25">
      <c r="A135" s="14" t="s">
        <v>122</v>
      </c>
      <c r="B135" s="61">
        <f t="shared" si="116"/>
        <v>1.2000000000000002</v>
      </c>
      <c r="C135" s="8">
        <v>1.1000000000000001</v>
      </c>
      <c r="D135" s="8">
        <v>2.1</v>
      </c>
      <c r="E135" s="8">
        <v>-8.6</v>
      </c>
      <c r="F135" s="8">
        <v>-18.399999999999999</v>
      </c>
      <c r="G135" s="8">
        <v>-22.6</v>
      </c>
      <c r="H135" s="8">
        <v>-21.1</v>
      </c>
      <c r="I135" s="336">
        <v>-5</v>
      </c>
      <c r="J135" s="57"/>
      <c r="K135" s="57"/>
      <c r="L135" s="57"/>
      <c r="M135" s="57"/>
      <c r="N135" s="57"/>
      <c r="O135" s="57"/>
      <c r="P135" s="57"/>
      <c r="Q135" s="57"/>
      <c r="R135" s="57"/>
      <c r="S135" s="57"/>
      <c r="T135" s="41"/>
      <c r="U135" s="58"/>
      <c r="V135" s="58"/>
      <c r="W135" s="58">
        <f t="shared" si="117"/>
        <v>-0.37947113133607063</v>
      </c>
      <c r="X135" s="58">
        <f t="shared" si="118"/>
        <v>9.0909090909090981E-2</v>
      </c>
      <c r="Y135" s="58">
        <f t="shared" si="118"/>
        <v>-0.47619047619047616</v>
      </c>
      <c r="Z135" s="58">
        <f t="shared" si="118"/>
        <v>-1.2441860465116279</v>
      </c>
      <c r="AA135" s="58">
        <f t="shared" si="118"/>
        <v>-0.53260869565217395</v>
      </c>
      <c r="AB135" s="58">
        <f t="shared" si="118"/>
        <v>-0.18584070796460189</v>
      </c>
      <c r="AC135" s="58">
        <f t="shared" si="118"/>
        <v>7.1090047393364927E-2</v>
      </c>
      <c r="AD135" s="58"/>
      <c r="AE135" s="57"/>
      <c r="AF135" s="61"/>
      <c r="AG135" s="8">
        <v>-1.3</v>
      </c>
      <c r="AH135" s="144">
        <v>0.4</v>
      </c>
      <c r="AI135" s="135"/>
      <c r="AJ135" s="8">
        <v>-2</v>
      </c>
      <c r="AK135" s="8">
        <v>1</v>
      </c>
    </row>
    <row r="136" spans="1:37" x14ac:dyDescent="0.25">
      <c r="A136" s="14" t="s">
        <v>123</v>
      </c>
      <c r="B136" s="61">
        <f t="shared" si="116"/>
        <v>4.3999999999999995</v>
      </c>
      <c r="C136" s="8">
        <v>2.8</v>
      </c>
      <c r="D136" s="8">
        <v>2.7</v>
      </c>
      <c r="E136" s="8">
        <v>2.6</v>
      </c>
      <c r="F136" s="8">
        <v>2.6</v>
      </c>
      <c r="G136" s="8">
        <v>2.4</v>
      </c>
      <c r="H136" s="8">
        <v>2.1</v>
      </c>
      <c r="I136" s="336">
        <v>5.7</v>
      </c>
      <c r="J136" s="57"/>
      <c r="K136" s="57"/>
      <c r="L136" s="57"/>
      <c r="M136" s="57"/>
      <c r="N136" s="57"/>
      <c r="O136" s="57"/>
      <c r="P136" s="57"/>
      <c r="Q136" s="57"/>
      <c r="R136" s="57"/>
      <c r="S136" s="57"/>
      <c r="T136" s="41">
        <f t="shared" si="112"/>
        <v>-0.11172549775559781</v>
      </c>
      <c r="U136" s="58">
        <f>_xlfn.RRI(5.5,H136,B136)</f>
        <v>0.14394743647263364</v>
      </c>
      <c r="V136" s="58">
        <f>_xlfn.RRI(5,H136,C136)</f>
        <v>5.9223841048812176E-2</v>
      </c>
      <c r="W136" s="58">
        <f t="shared" si="117"/>
        <v>0.14551960385293713</v>
      </c>
      <c r="X136" s="58">
        <f t="shared" si="118"/>
        <v>0.57142857142857129</v>
      </c>
      <c r="Y136" s="58">
        <f t="shared" si="118"/>
        <v>3.7037037037036903E-2</v>
      </c>
      <c r="Z136" s="58">
        <f t="shared" si="118"/>
        <v>3.8461538461538491E-2</v>
      </c>
      <c r="AA136" s="58">
        <f t="shared" si="118"/>
        <v>0</v>
      </c>
      <c r="AB136" s="58">
        <f t="shared" si="118"/>
        <v>8.3333333333333412E-2</v>
      </c>
      <c r="AC136" s="58">
        <f t="shared" si="118"/>
        <v>0.14285714285714277</v>
      </c>
      <c r="AD136" s="58"/>
      <c r="AE136" s="57"/>
      <c r="AF136" s="61"/>
      <c r="AG136" s="8">
        <v>2.7</v>
      </c>
      <c r="AH136" s="144">
        <v>0.6</v>
      </c>
      <c r="AI136" s="135"/>
      <c r="AJ136" s="8">
        <v>1</v>
      </c>
      <c r="AK136" s="8">
        <v>0.7</v>
      </c>
    </row>
    <row r="137" spans="1:37" x14ac:dyDescent="0.25">
      <c r="A137" s="14" t="s">
        <v>124</v>
      </c>
      <c r="B137" s="61">
        <f t="shared" si="116"/>
        <v>14.3</v>
      </c>
      <c r="C137" s="8">
        <v>13.2</v>
      </c>
      <c r="D137" s="8">
        <v>13</v>
      </c>
      <c r="E137" s="8">
        <v>11.3</v>
      </c>
      <c r="F137" s="8">
        <v>12.1</v>
      </c>
      <c r="G137" s="8">
        <v>12.5</v>
      </c>
      <c r="H137" s="8">
        <v>10.6</v>
      </c>
      <c r="I137" s="336">
        <v>8.9</v>
      </c>
      <c r="J137" s="57"/>
      <c r="K137" s="57"/>
      <c r="L137" s="57"/>
      <c r="M137" s="57"/>
      <c r="N137" s="57"/>
      <c r="O137" s="57"/>
      <c r="P137" s="57"/>
      <c r="Q137" s="57"/>
      <c r="R137" s="57"/>
      <c r="S137" s="57"/>
      <c r="T137" s="41">
        <f t="shared" si="112"/>
        <v>6.7900166179857502E-2</v>
      </c>
      <c r="U137" s="58">
        <f>_xlfn.RRI(5.5,H137,B137)</f>
        <v>5.5946340643771242E-2</v>
      </c>
      <c r="V137" s="58">
        <f>_xlfn.RRI(5,H137,C137)</f>
        <v>4.4849196772801969E-2</v>
      </c>
      <c r="W137" s="58">
        <f t="shared" si="117"/>
        <v>5.5048334522264014E-2</v>
      </c>
      <c r="X137" s="58">
        <f t="shared" si="118"/>
        <v>8.333333333333344E-2</v>
      </c>
      <c r="Y137" s="58">
        <f t="shared" si="118"/>
        <v>1.538461538461533E-2</v>
      </c>
      <c r="Z137" s="58">
        <f t="shared" si="118"/>
        <v>0.15044247787610612</v>
      </c>
      <c r="AA137" s="58">
        <f t="shared" si="118"/>
        <v>-6.6115702479338762E-2</v>
      </c>
      <c r="AB137" s="58">
        <f t="shared" si="118"/>
        <v>-3.2000000000000028E-2</v>
      </c>
      <c r="AC137" s="58">
        <f t="shared" si="118"/>
        <v>0.17924528301886797</v>
      </c>
      <c r="AD137" s="58"/>
      <c r="AE137" s="57"/>
      <c r="AF137" s="61"/>
      <c r="AG137" s="8">
        <v>3.8</v>
      </c>
      <c r="AH137" s="144">
        <v>4</v>
      </c>
      <c r="AI137" s="135"/>
      <c r="AJ137" s="8">
        <v>3.2</v>
      </c>
      <c r="AK137" s="8">
        <v>3.5</v>
      </c>
    </row>
    <row r="138" spans="1:37" x14ac:dyDescent="0.25">
      <c r="A138" s="14" t="s">
        <v>125</v>
      </c>
      <c r="B138" s="61">
        <f t="shared" si="116"/>
        <v>0</v>
      </c>
      <c r="C138" s="8">
        <v>0</v>
      </c>
      <c r="D138" s="8">
        <v>0</v>
      </c>
      <c r="E138" s="8">
        <v>0</v>
      </c>
      <c r="F138" s="8">
        <v>0</v>
      </c>
      <c r="G138" s="8">
        <v>0</v>
      </c>
      <c r="H138" s="8">
        <v>10</v>
      </c>
      <c r="I138" s="336">
        <v>0</v>
      </c>
      <c r="J138" s="57"/>
      <c r="K138" s="57"/>
      <c r="L138" s="57"/>
      <c r="M138" s="57"/>
      <c r="N138" s="57"/>
      <c r="O138" s="57"/>
      <c r="P138" s="57"/>
      <c r="Q138" s="57"/>
      <c r="R138" s="57"/>
      <c r="S138" s="57"/>
      <c r="T138" s="41"/>
      <c r="U138" s="58"/>
      <c r="V138" s="58"/>
      <c r="W138" s="58"/>
      <c r="X138" s="58"/>
      <c r="Y138" s="58"/>
      <c r="Z138" s="58"/>
      <c r="AA138" s="58"/>
      <c r="AB138" s="58"/>
      <c r="AC138" s="58"/>
      <c r="AD138" s="58"/>
      <c r="AE138" s="57"/>
      <c r="AF138" s="61"/>
      <c r="AG138" s="61">
        <v>0</v>
      </c>
      <c r="AH138" s="145">
        <v>0</v>
      </c>
      <c r="AI138" s="61"/>
      <c r="AJ138" s="61">
        <v>0</v>
      </c>
      <c r="AK138" s="61">
        <v>0</v>
      </c>
    </row>
    <row r="139" spans="1:37" x14ac:dyDescent="0.25">
      <c r="A139" s="14" t="s">
        <v>126</v>
      </c>
      <c r="B139" s="61">
        <f t="shared" si="116"/>
        <v>0</v>
      </c>
      <c r="C139" s="8">
        <v>0</v>
      </c>
      <c r="D139" s="8">
        <v>0</v>
      </c>
      <c r="E139" s="8">
        <v>0</v>
      </c>
      <c r="F139" s="8">
        <v>0</v>
      </c>
      <c r="G139" s="8">
        <v>0</v>
      </c>
      <c r="H139" s="8">
        <v>0</v>
      </c>
      <c r="I139" s="336">
        <v>0</v>
      </c>
      <c r="J139" s="57"/>
      <c r="K139" s="57"/>
      <c r="L139" s="57"/>
      <c r="M139" s="57"/>
      <c r="N139" s="57"/>
      <c r="O139" s="57"/>
      <c r="P139" s="57"/>
      <c r="Q139" s="57"/>
      <c r="R139" s="57"/>
      <c r="S139" s="57"/>
      <c r="T139" s="41"/>
      <c r="U139" s="58"/>
      <c r="V139" s="58"/>
      <c r="W139" s="58"/>
      <c r="X139" s="58"/>
      <c r="Y139" s="58"/>
      <c r="Z139" s="58"/>
      <c r="AA139" s="58"/>
      <c r="AB139" s="58"/>
      <c r="AC139" s="58"/>
      <c r="AD139" s="58"/>
      <c r="AE139" s="57"/>
      <c r="AF139" s="61"/>
      <c r="AG139" s="61">
        <v>0</v>
      </c>
      <c r="AH139" s="145">
        <v>0</v>
      </c>
      <c r="AI139" s="61"/>
      <c r="AJ139" s="61">
        <v>0</v>
      </c>
      <c r="AK139" s="61">
        <v>0</v>
      </c>
    </row>
    <row r="140" spans="1:37" x14ac:dyDescent="0.25">
      <c r="A140" s="14" t="s">
        <v>127</v>
      </c>
      <c r="B140" s="61">
        <f t="shared" si="116"/>
        <v>0.20000000000000018</v>
      </c>
      <c r="C140" s="8">
        <v>5.3</v>
      </c>
      <c r="D140" s="8">
        <v>4</v>
      </c>
      <c r="E140" s="8">
        <v>-0.6</v>
      </c>
      <c r="F140" s="8">
        <v>-0.3</v>
      </c>
      <c r="G140" s="8">
        <v>-0.8</v>
      </c>
      <c r="H140" s="8">
        <v>-0.1</v>
      </c>
      <c r="I140" s="336">
        <v>8.1999999999999993</v>
      </c>
      <c r="J140" s="57"/>
      <c r="K140" s="57"/>
      <c r="L140" s="57"/>
      <c r="M140" s="57"/>
      <c r="N140" s="57"/>
      <c r="O140" s="57"/>
      <c r="P140" s="57"/>
      <c r="Q140" s="57"/>
      <c r="R140" s="57"/>
      <c r="S140" s="57"/>
      <c r="T140" s="41"/>
      <c r="U140" s="58"/>
      <c r="V140" s="58"/>
      <c r="W140" s="58"/>
      <c r="X140" s="58"/>
      <c r="Y140" s="58"/>
      <c r="Z140" s="58"/>
      <c r="AA140" s="58"/>
      <c r="AB140" s="58"/>
      <c r="AC140" s="58"/>
      <c r="AD140" s="58"/>
      <c r="AE140" s="57"/>
      <c r="AF140" s="61"/>
      <c r="AG140" s="8">
        <v>0.3</v>
      </c>
      <c r="AH140" s="144">
        <v>0.4</v>
      </c>
      <c r="AI140" s="135"/>
      <c r="AJ140" s="8">
        <v>3.4</v>
      </c>
      <c r="AK140" s="8">
        <v>2.4</v>
      </c>
    </row>
    <row r="141" spans="1:37" x14ac:dyDescent="0.25">
      <c r="A141" s="14" t="s">
        <v>128</v>
      </c>
      <c r="B141" s="61">
        <f t="shared" si="116"/>
        <v>0</v>
      </c>
      <c r="C141" s="8">
        <v>0</v>
      </c>
      <c r="D141" s="8">
        <v>0</v>
      </c>
      <c r="E141" s="8">
        <v>0</v>
      </c>
      <c r="F141" s="8">
        <v>0</v>
      </c>
      <c r="G141" s="8">
        <v>0</v>
      </c>
      <c r="H141" s="8">
        <v>0</v>
      </c>
      <c r="I141" s="336">
        <v>-2.1</v>
      </c>
      <c r="J141" s="57"/>
      <c r="K141" s="57"/>
      <c r="L141" s="57"/>
      <c r="M141" s="57"/>
      <c r="N141" s="57"/>
      <c r="O141" s="57"/>
      <c r="P141" s="57"/>
      <c r="Q141" s="57"/>
      <c r="R141" s="57"/>
      <c r="S141" s="57"/>
      <c r="T141" s="41"/>
      <c r="U141" s="58"/>
      <c r="V141" s="58"/>
      <c r="W141" s="58"/>
      <c r="X141" s="58"/>
      <c r="Y141" s="58"/>
      <c r="Z141" s="58"/>
      <c r="AA141" s="58"/>
      <c r="AB141" s="58"/>
      <c r="AC141" s="58"/>
      <c r="AD141" s="58"/>
      <c r="AE141" s="57"/>
      <c r="AF141" s="61"/>
      <c r="AG141" s="61">
        <v>0</v>
      </c>
      <c r="AH141" s="145">
        <v>0</v>
      </c>
      <c r="AI141" s="61"/>
      <c r="AJ141" s="61">
        <v>0</v>
      </c>
      <c r="AK141" s="61">
        <v>0</v>
      </c>
    </row>
    <row r="142" spans="1:37" x14ac:dyDescent="0.25">
      <c r="A142" s="14" t="s">
        <v>129</v>
      </c>
      <c r="B142" s="66">
        <f t="shared" si="116"/>
        <v>0</v>
      </c>
      <c r="C142" s="23">
        <v>0</v>
      </c>
      <c r="D142" s="23">
        <v>0</v>
      </c>
      <c r="E142" s="23">
        <v>0</v>
      </c>
      <c r="F142" s="23">
        <v>0</v>
      </c>
      <c r="G142" s="23">
        <v>0</v>
      </c>
      <c r="H142" s="23">
        <v>0</v>
      </c>
      <c r="I142" s="341">
        <v>1</v>
      </c>
      <c r="J142" s="57"/>
      <c r="K142" s="73"/>
      <c r="L142" s="73"/>
      <c r="M142" s="73"/>
      <c r="N142" s="73"/>
      <c r="O142" s="73"/>
      <c r="P142" s="73"/>
      <c r="Q142" s="73"/>
      <c r="R142" s="57"/>
      <c r="S142" s="57"/>
      <c r="T142" s="41"/>
      <c r="U142" s="59"/>
      <c r="V142" s="59"/>
      <c r="W142" s="59"/>
      <c r="X142" s="59"/>
      <c r="Y142" s="59"/>
      <c r="Z142" s="59"/>
      <c r="AA142" s="59"/>
      <c r="AB142" s="59"/>
      <c r="AC142" s="59"/>
      <c r="AD142" s="80"/>
      <c r="AE142" s="57"/>
      <c r="AF142" s="67"/>
      <c r="AG142" s="67">
        <v>0</v>
      </c>
      <c r="AH142" s="161">
        <v>0</v>
      </c>
      <c r="AI142" s="67"/>
      <c r="AJ142" s="67">
        <v>0</v>
      </c>
      <c r="AK142" s="67">
        <v>0</v>
      </c>
    </row>
    <row r="143" spans="1:37" x14ac:dyDescent="0.25">
      <c r="A143" s="6" t="s">
        <v>162</v>
      </c>
      <c r="B143" s="56">
        <f t="shared" ref="B143:I143" si="119">SUM(B126:B142)</f>
        <v>169.12800000000013</v>
      </c>
      <c r="C143" s="56">
        <f t="shared" si="119"/>
        <v>156.83999999999983</v>
      </c>
      <c r="D143" s="56">
        <f t="shared" si="119"/>
        <v>134.03599999999994</v>
      </c>
      <c r="E143" s="56">
        <f t="shared" si="119"/>
        <v>117.1159999999999</v>
      </c>
      <c r="F143" s="56">
        <f t="shared" si="119"/>
        <v>89.046000000000035</v>
      </c>
      <c r="G143" s="56">
        <f t="shared" si="119"/>
        <v>100.50999999999998</v>
      </c>
      <c r="H143" s="56">
        <f t="shared" si="119"/>
        <v>166.35599999999997</v>
      </c>
      <c r="I143" s="56">
        <f t="shared" si="119"/>
        <v>117.60200000000002</v>
      </c>
      <c r="J143" s="57"/>
      <c r="K143" s="57"/>
      <c r="L143" s="57"/>
      <c r="M143" s="57"/>
      <c r="N143" s="57"/>
      <c r="O143" s="57"/>
      <c r="P143" s="57"/>
      <c r="Q143" s="57"/>
      <c r="R143" s="57"/>
      <c r="S143" s="57"/>
      <c r="T143" s="41">
        <f t="shared" si="112"/>
        <v>4.915669013440338E-2</v>
      </c>
      <c r="U143" s="58">
        <f>_xlfn.RRI(5.5,H143,B143)</f>
        <v>3.009201192127664E-3</v>
      </c>
      <c r="V143" s="58">
        <f>_xlfn.RRI(5,H143,C143)</f>
        <v>-1.1711656913963253E-2</v>
      </c>
      <c r="W143" s="20">
        <f t="shared" si="117"/>
        <v>3.305185590916538E-2</v>
      </c>
      <c r="X143" s="20">
        <f t="shared" ref="X143:AC143" si="120">(B143-C143)/C143</f>
        <v>7.8347360367255217E-2</v>
      </c>
      <c r="Y143" s="20">
        <f t="shared" si="120"/>
        <v>0.17013339699782071</v>
      </c>
      <c r="Z143" s="20">
        <f t="shared" si="120"/>
        <v>0.14447214727278987</v>
      </c>
      <c r="AA143" s="20">
        <f t="shared" si="120"/>
        <v>0.31523033039103221</v>
      </c>
      <c r="AB143" s="20">
        <f t="shared" si="120"/>
        <v>-0.11405830265645155</v>
      </c>
      <c r="AC143" s="20">
        <f t="shared" si="120"/>
        <v>-0.39581379691745416</v>
      </c>
      <c r="AD143" s="20"/>
      <c r="AE143" s="57"/>
      <c r="AF143" s="61"/>
      <c r="AG143" s="56">
        <f>SUM(AG126:AG142)</f>
        <v>46.3</v>
      </c>
      <c r="AH143" s="147">
        <f>SUM(AH126:AH142)</f>
        <v>42.6</v>
      </c>
      <c r="AI143" s="56"/>
      <c r="AJ143" s="56">
        <f t="shared" ref="AJ143:AK143" si="121">SUM(AJ126:AJ142)</f>
        <v>37.299999999999997</v>
      </c>
      <c r="AK143" s="56">
        <f t="shared" si="121"/>
        <v>38.299999999999997</v>
      </c>
    </row>
    <row r="144" spans="1:37" x14ac:dyDescent="0.25">
      <c r="A144" s="6" t="s">
        <v>327</v>
      </c>
      <c r="B144" s="56"/>
      <c r="C144" s="56"/>
      <c r="D144" s="56"/>
      <c r="E144" s="56"/>
      <c r="F144" s="56"/>
      <c r="G144" s="56"/>
      <c r="H144" s="56"/>
      <c r="I144" s="56"/>
      <c r="J144" s="57"/>
      <c r="K144" s="57"/>
      <c r="L144" s="57"/>
      <c r="M144" s="57"/>
      <c r="N144" s="57"/>
      <c r="O144" s="57"/>
      <c r="P144" s="57"/>
      <c r="Q144" s="57"/>
      <c r="R144" s="57"/>
      <c r="S144" s="57"/>
      <c r="T144" s="41">
        <f t="shared" si="112"/>
        <v>0</v>
      </c>
      <c r="U144" s="58"/>
      <c r="V144" s="58"/>
      <c r="W144" s="20"/>
      <c r="X144" s="20"/>
      <c r="Y144" s="20"/>
      <c r="Z144" s="20"/>
      <c r="AA144" s="20"/>
      <c r="AB144" s="20"/>
      <c r="AC144" s="20"/>
      <c r="AD144" s="20"/>
      <c r="AE144" s="57"/>
      <c r="AF144" s="61"/>
      <c r="AG144" s="56"/>
      <c r="AH144" s="147"/>
      <c r="AI144" s="56"/>
      <c r="AJ144" s="56"/>
      <c r="AK144" s="56"/>
    </row>
    <row r="145" spans="1:37" x14ac:dyDescent="0.25">
      <c r="A145" s="14" t="s">
        <v>130</v>
      </c>
      <c r="B145" s="61">
        <f>C145+AG145+AH145-(AJ145+AK145)</f>
        <v>-21.799999999999997</v>
      </c>
      <c r="C145" s="8">
        <v>-32.299999999999997</v>
      </c>
      <c r="D145" s="8">
        <v>-12.7</v>
      </c>
      <c r="E145" s="8">
        <v>-11.5</v>
      </c>
      <c r="F145" s="8">
        <v>25.4</v>
      </c>
      <c r="G145" s="8">
        <v>-7.7</v>
      </c>
      <c r="H145" s="8">
        <v>-16</v>
      </c>
      <c r="I145" s="336">
        <v>12.7</v>
      </c>
      <c r="J145" s="57"/>
      <c r="K145" s="57"/>
      <c r="L145" s="57"/>
      <c r="M145" s="57"/>
      <c r="N145" s="57"/>
      <c r="O145" s="57"/>
      <c r="P145" s="57"/>
      <c r="Q145" s="57"/>
      <c r="R145" s="57"/>
      <c r="S145" s="57"/>
      <c r="T145" s="41"/>
      <c r="U145" s="58">
        <f>_xlfn.RRI(5.5,H145,B145)</f>
        <v>5.7851777592576648E-2</v>
      </c>
      <c r="V145" s="58">
        <f>_xlfn.RRI(5,H145,C145)</f>
        <v>0.15084413276322484</v>
      </c>
      <c r="W145" s="58">
        <f t="shared" si="117"/>
        <v>-0.82460494848213084</v>
      </c>
      <c r="X145" s="58">
        <f t="shared" ref="X145:AC149" si="122">(B145-C145)/C145</f>
        <v>-0.32507739938080499</v>
      </c>
      <c r="Y145" s="58">
        <f t="shared" si="122"/>
        <v>1.5433070866141732</v>
      </c>
      <c r="Z145" s="58">
        <f t="shared" si="122"/>
        <v>0.10434782608695646</v>
      </c>
      <c r="AA145" s="58">
        <f t="shared" si="122"/>
        <v>-1.4527559055118111</v>
      </c>
      <c r="AB145" s="58">
        <f t="shared" si="122"/>
        <v>-4.2987012987012987</v>
      </c>
      <c r="AC145" s="58">
        <f t="shared" si="122"/>
        <v>-0.51875000000000004</v>
      </c>
      <c r="AD145" s="58"/>
      <c r="AE145" s="57"/>
      <c r="AF145" s="61"/>
      <c r="AG145" s="8">
        <v>-16.7</v>
      </c>
      <c r="AH145" s="144">
        <v>-25.1</v>
      </c>
      <c r="AI145" s="135"/>
      <c r="AJ145" s="8">
        <v>-12.3</v>
      </c>
      <c r="AK145" s="8">
        <v>-40</v>
      </c>
    </row>
    <row r="146" spans="1:37" x14ac:dyDescent="0.25">
      <c r="A146" s="14" t="s">
        <v>131</v>
      </c>
      <c r="B146" s="61">
        <f>C146+AG146+AH146-(AJ146+AK146)</f>
        <v>-39.399999999999991</v>
      </c>
      <c r="C146" s="8">
        <v>-41.8</v>
      </c>
      <c r="D146" s="8">
        <v>-24.3</v>
      </c>
      <c r="E146" s="8">
        <v>8.6999999999999993</v>
      </c>
      <c r="F146" s="8">
        <v>-14.8</v>
      </c>
      <c r="G146" s="8">
        <v>-18.3</v>
      </c>
      <c r="H146" s="8">
        <v>0.7</v>
      </c>
      <c r="I146" s="336">
        <v>-3.3</v>
      </c>
      <c r="J146" s="57"/>
      <c r="K146" s="57"/>
      <c r="L146" s="57"/>
      <c r="M146" s="57"/>
      <c r="N146" s="57"/>
      <c r="O146" s="57"/>
      <c r="P146" s="57"/>
      <c r="Q146" s="57"/>
      <c r="R146" s="57"/>
      <c r="S146" s="57"/>
      <c r="T146" s="41">
        <f t="shared" si="112"/>
        <v>0.52678209067097148</v>
      </c>
      <c r="U146" s="58"/>
      <c r="V146" s="58"/>
      <c r="W146" s="58">
        <f t="shared" si="117"/>
        <v>-5.342051153076838</v>
      </c>
      <c r="X146" s="58">
        <f t="shared" si="122"/>
        <v>-5.7416267942583872E-2</v>
      </c>
      <c r="Y146" s="58">
        <f t="shared" si="122"/>
        <v>0.72016460905349777</v>
      </c>
      <c r="Z146" s="58">
        <f t="shared" si="122"/>
        <v>-3.7931034482758625</v>
      </c>
      <c r="AA146" s="58">
        <f t="shared" si="122"/>
        <v>-1.5878378378378377</v>
      </c>
      <c r="AB146" s="58">
        <f t="shared" si="122"/>
        <v>-0.19125683060109289</v>
      </c>
      <c r="AC146" s="58">
        <f t="shared" si="122"/>
        <v>-27.142857142857146</v>
      </c>
      <c r="AD146" s="58"/>
      <c r="AE146" s="57"/>
      <c r="AF146" s="61"/>
      <c r="AG146" s="8">
        <v>5.2</v>
      </c>
      <c r="AH146" s="144">
        <v>-22.4</v>
      </c>
      <c r="AI146" s="135"/>
      <c r="AJ146" s="8">
        <v>-6.1</v>
      </c>
      <c r="AK146" s="8">
        <v>-13.5</v>
      </c>
    </row>
    <row r="147" spans="1:37" x14ac:dyDescent="0.25">
      <c r="A147" s="14" t="s">
        <v>49</v>
      </c>
      <c r="B147" s="61">
        <f>C147+AG147+AH147-(AJ147+AK147)</f>
        <v>-2.7999999999999972</v>
      </c>
      <c r="C147" s="8">
        <v>32.700000000000003</v>
      </c>
      <c r="D147" s="8">
        <v>20.9</v>
      </c>
      <c r="E147" s="8">
        <v>-25.3</v>
      </c>
      <c r="F147" s="8">
        <v>-3.1</v>
      </c>
      <c r="G147" s="8">
        <v>30.8</v>
      </c>
      <c r="H147" s="8">
        <v>-13.6</v>
      </c>
      <c r="I147" s="336">
        <v>5</v>
      </c>
      <c r="J147" s="57"/>
      <c r="K147" s="57"/>
      <c r="L147" s="57"/>
      <c r="M147" s="57"/>
      <c r="N147" s="57"/>
      <c r="O147" s="57"/>
      <c r="P147" s="57"/>
      <c r="Q147" s="57"/>
      <c r="R147" s="57"/>
      <c r="S147" s="57"/>
      <c r="T147" s="41">
        <f t="shared" si="112"/>
        <v>0.3675072098402794</v>
      </c>
      <c r="U147" s="58"/>
      <c r="V147" s="58"/>
      <c r="W147" s="58">
        <f t="shared" si="117"/>
        <v>7.4802420529506142E-2</v>
      </c>
      <c r="X147" s="58">
        <f t="shared" si="122"/>
        <v>-1.0856269113149846</v>
      </c>
      <c r="Y147" s="58">
        <f t="shared" si="122"/>
        <v>0.56459330143540698</v>
      </c>
      <c r="Z147" s="58">
        <f t="shared" si="122"/>
        <v>-1.8260869565217392</v>
      </c>
      <c r="AA147" s="58">
        <f t="shared" si="122"/>
        <v>7.161290322580645</v>
      </c>
      <c r="AB147" s="58">
        <f t="shared" si="122"/>
        <v>-1.1006493506493507</v>
      </c>
      <c r="AC147" s="58">
        <f t="shared" si="122"/>
        <v>-3.2647058823529411</v>
      </c>
      <c r="AD147" s="58"/>
      <c r="AE147" s="57"/>
      <c r="AF147" s="61"/>
      <c r="AG147" s="8">
        <v>-21.6</v>
      </c>
      <c r="AH147" s="144">
        <v>14.1</v>
      </c>
      <c r="AI147" s="135"/>
      <c r="AJ147" s="8">
        <v>15</v>
      </c>
      <c r="AK147" s="8">
        <v>13</v>
      </c>
    </row>
    <row r="148" spans="1:37" x14ac:dyDescent="0.25">
      <c r="A148" s="14" t="s">
        <v>132</v>
      </c>
      <c r="B148" s="61">
        <f>C148+AG148+AH148-(AJ148+AK148)</f>
        <v>-18.100000000000001</v>
      </c>
      <c r="C148" s="8">
        <v>-7.3</v>
      </c>
      <c r="D148" s="8">
        <v>-21</v>
      </c>
      <c r="E148" s="8">
        <v>8.5</v>
      </c>
      <c r="F148" s="8">
        <v>3.9</v>
      </c>
      <c r="G148" s="8">
        <v>-27</v>
      </c>
      <c r="H148" s="8">
        <v>31.2</v>
      </c>
      <c r="I148" s="336">
        <v>8.4</v>
      </c>
      <c r="J148" s="57"/>
      <c r="K148" s="57"/>
      <c r="L148" s="57"/>
      <c r="M148" s="57"/>
      <c r="N148" s="57"/>
      <c r="O148" s="57"/>
      <c r="P148" s="57"/>
      <c r="Q148" s="57"/>
      <c r="R148" s="57"/>
      <c r="S148" s="57"/>
      <c r="T148" s="41"/>
      <c r="U148" s="58"/>
      <c r="V148" s="58"/>
      <c r="W148" s="58">
        <f t="shared" si="117"/>
        <v>-0.74564316887040505</v>
      </c>
      <c r="X148" s="58">
        <f t="shared" si="122"/>
        <v>1.4794520547945207</v>
      </c>
      <c r="Y148" s="58">
        <f t="shared" si="122"/>
        <v>-0.65238095238095239</v>
      </c>
      <c r="Z148" s="58">
        <f t="shared" si="122"/>
        <v>-3.4705882352941178</v>
      </c>
      <c r="AA148" s="58">
        <f t="shared" si="122"/>
        <v>1.1794871794871795</v>
      </c>
      <c r="AB148" s="58">
        <f t="shared" si="122"/>
        <v>-1.1444444444444444</v>
      </c>
      <c r="AC148" s="58">
        <f t="shared" si="122"/>
        <v>-1.8653846153846154</v>
      </c>
      <c r="AD148" s="58"/>
      <c r="AE148" s="57"/>
      <c r="AF148" s="61"/>
      <c r="AG148" s="8">
        <v>-0.2</v>
      </c>
      <c r="AH148" s="144">
        <v>-18.5</v>
      </c>
      <c r="AI148" s="135"/>
      <c r="AJ148" s="8">
        <v>-3.4</v>
      </c>
      <c r="AK148" s="8">
        <v>-4.5</v>
      </c>
    </row>
    <row r="149" spans="1:37" x14ac:dyDescent="0.25">
      <c r="A149" s="14" t="s">
        <v>133</v>
      </c>
      <c r="B149" s="66">
        <f>C149+AG149+AH149-(AJ149+AK149)</f>
        <v>0.30000000000000027</v>
      </c>
      <c r="C149" s="23">
        <v>3.5</v>
      </c>
      <c r="D149" s="23">
        <v>-7.7</v>
      </c>
      <c r="E149" s="23">
        <v>3</v>
      </c>
      <c r="F149" s="23">
        <v>2.6</v>
      </c>
      <c r="G149" s="23">
        <v>5.5</v>
      </c>
      <c r="H149" s="23">
        <v>1.3</v>
      </c>
      <c r="I149" s="341">
        <v>-1.1000000000000001</v>
      </c>
      <c r="J149" s="57"/>
      <c r="K149" s="73"/>
      <c r="L149" s="73"/>
      <c r="M149" s="73"/>
      <c r="N149" s="73"/>
      <c r="O149" s="73"/>
      <c r="P149" s="73"/>
      <c r="Q149" s="73"/>
      <c r="R149" s="57"/>
      <c r="S149" s="57"/>
      <c r="T149" s="41"/>
      <c r="U149" s="59">
        <f>_xlfn.RRI(5.5,H149,B149)</f>
        <v>-0.23402576055975999</v>
      </c>
      <c r="V149" s="59">
        <f>_xlfn.RRI(5,H149,C149)</f>
        <v>0.21905959874044001</v>
      </c>
      <c r="W149" s="59">
        <f t="shared" si="117"/>
        <v>-0.51302586302586295</v>
      </c>
      <c r="X149" s="59">
        <f t="shared" si="122"/>
        <v>-0.91428571428571426</v>
      </c>
      <c r="Y149" s="59">
        <f t="shared" si="122"/>
        <v>-1.4545454545454544</v>
      </c>
      <c r="Z149" s="59">
        <f t="shared" si="122"/>
        <v>-3.5666666666666664</v>
      </c>
      <c r="AA149" s="59">
        <f t="shared" si="122"/>
        <v>0.1538461538461538</v>
      </c>
      <c r="AB149" s="59">
        <f t="shared" si="122"/>
        <v>-0.52727272727272723</v>
      </c>
      <c r="AC149" s="59">
        <f t="shared" si="122"/>
        <v>3.2307692307692308</v>
      </c>
      <c r="AD149" s="80"/>
      <c r="AE149" s="57"/>
      <c r="AF149" s="67"/>
      <c r="AG149" s="23">
        <v>0.2</v>
      </c>
      <c r="AH149" s="146">
        <v>-6</v>
      </c>
      <c r="AI149" s="136"/>
      <c r="AJ149" s="23">
        <v>-1.3</v>
      </c>
      <c r="AK149" s="23">
        <v>-1.3</v>
      </c>
    </row>
    <row r="150" spans="1:37" ht="15.75" thickBot="1" x14ac:dyDescent="0.3">
      <c r="A150" s="356" t="s">
        <v>319</v>
      </c>
      <c r="B150" s="56">
        <f>SUM(B143:B149)</f>
        <v>87.328000000000159</v>
      </c>
      <c r="C150" s="56">
        <f>SUM(C143:C149)</f>
        <v>111.63999999999984</v>
      </c>
      <c r="D150" s="56">
        <f t="shared" ref="D150:I150" si="123">SUM(D143:D149)</f>
        <v>89.235999999999947</v>
      </c>
      <c r="E150" s="56">
        <f t="shared" si="123"/>
        <v>100.51599999999991</v>
      </c>
      <c r="F150" s="56">
        <f t="shared" si="123"/>
        <v>103.04600000000003</v>
      </c>
      <c r="G150" s="56">
        <f t="shared" si="123"/>
        <v>83.809999999999974</v>
      </c>
      <c r="H150" s="56">
        <f t="shared" si="123"/>
        <v>169.95599999999996</v>
      </c>
      <c r="I150" s="56">
        <f t="shared" si="123"/>
        <v>139.30200000000002</v>
      </c>
      <c r="J150" s="57"/>
      <c r="K150" s="57"/>
      <c r="L150" s="57"/>
      <c r="M150" s="57"/>
      <c r="N150" s="57"/>
      <c r="O150" s="57"/>
      <c r="P150" s="57"/>
      <c r="Q150" s="57"/>
      <c r="R150" s="57"/>
      <c r="S150" s="57"/>
      <c r="T150" s="41">
        <f t="shared" ref="T150" si="124">_xlfn.RRI(6,I150,C150)</f>
        <v>-3.6221842811444138E-2</v>
      </c>
      <c r="U150" s="59">
        <f>_xlfn.RRI(5.5,H150,B150)</f>
        <v>-0.11402539230277908</v>
      </c>
      <c r="V150" s="59">
        <f>_xlfn.RRI(5,H150,C150)</f>
        <v>-8.0616584594806362E-2</v>
      </c>
      <c r="W150" s="80"/>
      <c r="X150" s="80"/>
      <c r="Y150" s="80"/>
      <c r="Z150" s="80"/>
      <c r="AA150" s="80"/>
      <c r="AB150" s="80"/>
      <c r="AC150" s="80"/>
      <c r="AD150" s="80"/>
      <c r="AE150" s="57"/>
      <c r="AF150" s="61"/>
      <c r="AG150" s="276"/>
      <c r="AH150" s="289"/>
      <c r="AI150" s="290"/>
      <c r="AJ150" s="276"/>
      <c r="AK150" s="276"/>
    </row>
    <row r="151" spans="1:37" x14ac:dyDescent="0.25">
      <c r="A151" s="202" t="s">
        <v>320</v>
      </c>
      <c r="B151" s="203"/>
      <c r="C151" s="204"/>
      <c r="D151" s="204"/>
      <c r="E151" s="204"/>
      <c r="F151" s="204"/>
      <c r="G151" s="354"/>
      <c r="H151" s="203"/>
      <c r="I151" s="357"/>
      <c r="J151" s="201"/>
      <c r="K151" s="70"/>
      <c r="L151" s="70"/>
      <c r="M151" s="70"/>
      <c r="N151" s="70"/>
      <c r="O151" s="70"/>
      <c r="P151" s="70"/>
      <c r="Q151" s="70"/>
      <c r="R151" s="343"/>
      <c r="S151" s="201"/>
      <c r="T151" s="201"/>
      <c r="U151" s="58"/>
      <c r="V151" s="58"/>
      <c r="W151" s="20"/>
      <c r="X151" s="20"/>
      <c r="Y151" s="20"/>
      <c r="Z151" s="20"/>
      <c r="AA151" s="20"/>
      <c r="AB151" s="20"/>
      <c r="AC151" s="20"/>
      <c r="AD151" s="20"/>
      <c r="AE151" s="201"/>
      <c r="AF151" s="200"/>
      <c r="AG151" s="24"/>
      <c r="AH151" s="157"/>
      <c r="AI151" s="138"/>
      <c r="AJ151" s="24"/>
      <c r="AK151" s="24"/>
    </row>
    <row r="152" spans="1:37" x14ac:dyDescent="0.25">
      <c r="A152" s="205" t="s">
        <v>321</v>
      </c>
      <c r="B152" s="113">
        <f t="shared" ref="B152:I152" si="125">B55+B145</f>
        <v>2087.5</v>
      </c>
      <c r="C152" s="113">
        <f t="shared" si="125"/>
        <v>1948.2</v>
      </c>
      <c r="D152" s="113">
        <f t="shared" si="125"/>
        <v>1665.8999999999999</v>
      </c>
      <c r="E152" s="113">
        <f t="shared" si="125"/>
        <v>1657.6</v>
      </c>
      <c r="F152" s="113">
        <f t="shared" si="125"/>
        <v>1662.4</v>
      </c>
      <c r="G152" s="113">
        <f t="shared" si="125"/>
        <v>1555</v>
      </c>
      <c r="H152" s="113">
        <f t="shared" si="125"/>
        <v>1459.5</v>
      </c>
      <c r="I152" s="206">
        <f t="shared" si="125"/>
        <v>1428.9</v>
      </c>
      <c r="J152" s="201"/>
      <c r="K152" s="70"/>
      <c r="L152" s="70"/>
      <c r="M152" s="70"/>
      <c r="N152" s="70"/>
      <c r="O152" s="70"/>
      <c r="P152" s="70"/>
      <c r="Q152" s="70"/>
      <c r="R152" s="343"/>
      <c r="S152" s="201"/>
      <c r="T152" s="201"/>
      <c r="U152" s="58"/>
      <c r="V152" s="58"/>
      <c r="W152" s="20"/>
      <c r="X152" s="20"/>
      <c r="Y152" s="20"/>
      <c r="Z152" s="20"/>
      <c r="AA152" s="20"/>
      <c r="AB152" s="20"/>
      <c r="AC152" s="20"/>
      <c r="AD152" s="20"/>
      <c r="AE152" s="201"/>
      <c r="AF152" s="200"/>
      <c r="AG152" s="24"/>
      <c r="AH152" s="157"/>
      <c r="AI152" s="138"/>
      <c r="AJ152" s="24"/>
      <c r="AK152" s="24"/>
    </row>
    <row r="153" spans="1:37" x14ac:dyDescent="0.25">
      <c r="A153" s="205" t="s">
        <v>322</v>
      </c>
      <c r="B153" s="208">
        <f t="shared" ref="B153:I153" si="126">-B56+B146+B147</f>
        <v>-1762.4</v>
      </c>
      <c r="C153" s="84">
        <f t="shared" si="126"/>
        <v>-1645</v>
      </c>
      <c r="D153" s="84">
        <f t="shared" si="126"/>
        <v>-1347.8999999999999</v>
      </c>
      <c r="E153" s="84">
        <f t="shared" si="126"/>
        <v>-1325.3</v>
      </c>
      <c r="F153" s="84">
        <f t="shared" si="126"/>
        <v>-1324.1999999999998</v>
      </c>
      <c r="G153" s="84">
        <f t="shared" si="126"/>
        <v>-1248.4000000000001</v>
      </c>
      <c r="H153" s="84">
        <f t="shared" si="126"/>
        <v>-1166.3</v>
      </c>
      <c r="I153" s="362">
        <f t="shared" si="126"/>
        <v>-1124.5</v>
      </c>
      <c r="J153" s="201"/>
      <c r="K153" s="70"/>
      <c r="L153" s="70"/>
      <c r="M153" s="70"/>
      <c r="N153" s="70"/>
      <c r="O153" s="70"/>
      <c r="P153" s="70"/>
      <c r="Q153" s="70"/>
      <c r="R153" s="343"/>
      <c r="S153" s="201"/>
      <c r="T153" s="201"/>
      <c r="U153" s="58"/>
      <c r="V153" s="58"/>
      <c r="W153" s="20"/>
      <c r="X153" s="20"/>
      <c r="Y153" s="20"/>
      <c r="Z153" s="20"/>
      <c r="AA153" s="20"/>
      <c r="AB153" s="20"/>
      <c r="AC153" s="20"/>
      <c r="AD153" s="20"/>
      <c r="AE153" s="201"/>
      <c r="AF153" s="200"/>
      <c r="AG153" s="24"/>
      <c r="AH153" s="157"/>
      <c r="AI153" s="138"/>
      <c r="AJ153" s="24"/>
      <c r="AK153" s="24"/>
    </row>
    <row r="154" spans="1:37" x14ac:dyDescent="0.25">
      <c r="A154" s="209" t="s">
        <v>323</v>
      </c>
      <c r="B154" s="200">
        <f>SUM(B152:B153)</f>
        <v>325.09999999999991</v>
      </c>
      <c r="C154" s="200">
        <f t="shared" ref="C154:I154" si="127">SUM(C152:C153)</f>
        <v>303.20000000000005</v>
      </c>
      <c r="D154" s="200">
        <f t="shared" si="127"/>
        <v>318</v>
      </c>
      <c r="E154" s="200">
        <f t="shared" si="127"/>
        <v>332.29999999999995</v>
      </c>
      <c r="F154" s="200">
        <f t="shared" si="127"/>
        <v>338.20000000000027</v>
      </c>
      <c r="G154" s="200">
        <f t="shared" si="127"/>
        <v>306.59999999999991</v>
      </c>
      <c r="H154" s="200">
        <f t="shared" si="127"/>
        <v>293.20000000000005</v>
      </c>
      <c r="I154" s="207">
        <f t="shared" si="127"/>
        <v>304.40000000000009</v>
      </c>
      <c r="J154" s="201"/>
      <c r="K154" s="70"/>
      <c r="L154" s="70"/>
      <c r="M154" s="70"/>
      <c r="N154" s="70"/>
      <c r="O154" s="70"/>
      <c r="P154" s="70"/>
      <c r="Q154" s="70"/>
      <c r="R154" s="343"/>
      <c r="S154" s="201"/>
      <c r="T154" s="201"/>
      <c r="U154" s="58"/>
      <c r="V154" s="58"/>
      <c r="W154" s="20"/>
      <c r="X154" s="20"/>
      <c r="Y154" s="20"/>
      <c r="Z154" s="20"/>
      <c r="AA154" s="20"/>
      <c r="AB154" s="20"/>
      <c r="AC154" s="20"/>
      <c r="AD154" s="20"/>
      <c r="AE154" s="201"/>
      <c r="AF154" s="200"/>
      <c r="AG154" s="24"/>
      <c r="AH154" s="157"/>
      <c r="AI154" s="138"/>
      <c r="AJ154" s="24"/>
      <c r="AK154" s="24"/>
    </row>
    <row r="155" spans="1:37" x14ac:dyDescent="0.25">
      <c r="A155" s="275" t="s">
        <v>324</v>
      </c>
      <c r="B155" s="276">
        <f>B186</f>
        <v>-47.269821452458181</v>
      </c>
      <c r="C155" s="276">
        <f>C186</f>
        <v>-41.3</v>
      </c>
      <c r="D155" s="276">
        <f t="shared" ref="D155:I156" si="128">D186</f>
        <v>-38.1</v>
      </c>
      <c r="E155" s="276">
        <f t="shared" si="128"/>
        <v>-50.1</v>
      </c>
      <c r="F155" s="276">
        <f t="shared" si="128"/>
        <v>-60.9</v>
      </c>
      <c r="G155" s="355">
        <f t="shared" si="128"/>
        <v>-49.8</v>
      </c>
      <c r="H155" s="113">
        <f t="shared" si="128"/>
        <v>-37.6</v>
      </c>
      <c r="I155" s="206">
        <f t="shared" si="128"/>
        <v>-42.7</v>
      </c>
      <c r="J155" s="201"/>
      <c r="K155" s="70"/>
      <c r="L155" s="70"/>
      <c r="M155" s="70"/>
      <c r="N155" s="70"/>
      <c r="O155" s="70"/>
      <c r="P155" s="70"/>
      <c r="Q155" s="70"/>
      <c r="R155" s="343"/>
      <c r="S155" s="201"/>
      <c r="T155" s="201"/>
      <c r="U155" s="58"/>
      <c r="V155" s="58"/>
      <c r="W155" s="20"/>
      <c r="X155" s="20"/>
      <c r="Y155" s="20"/>
      <c r="Z155" s="20"/>
      <c r="AA155" s="20"/>
      <c r="AB155" s="20"/>
      <c r="AC155" s="20"/>
      <c r="AD155" s="20"/>
      <c r="AE155" s="201"/>
      <c r="AF155" s="200"/>
      <c r="AG155" s="24"/>
      <c r="AH155" s="157"/>
      <c r="AI155" s="138"/>
      <c r="AJ155" s="24"/>
      <c r="AK155" s="24"/>
    </row>
    <row r="156" spans="1:37" x14ac:dyDescent="0.25">
      <c r="A156" s="281" t="s">
        <v>325</v>
      </c>
      <c r="B156" s="113">
        <f>B187</f>
        <v>-19.090601728451141</v>
      </c>
      <c r="C156" s="113">
        <f>C187</f>
        <v>-20.7</v>
      </c>
      <c r="D156" s="113">
        <f t="shared" si="128"/>
        <v>-23.4</v>
      </c>
      <c r="E156" s="113">
        <f t="shared" si="128"/>
        <v>-13.4</v>
      </c>
      <c r="F156" s="113">
        <f t="shared" si="128"/>
        <v>-16.8</v>
      </c>
      <c r="G156" s="113">
        <f t="shared" si="128"/>
        <v>-25.9</v>
      </c>
      <c r="H156" s="113">
        <f t="shared" si="128"/>
        <v>-16.600000000000001</v>
      </c>
      <c r="I156" s="206">
        <f t="shared" si="128"/>
        <v>-11.6</v>
      </c>
      <c r="J156" s="201"/>
      <c r="K156" s="70"/>
      <c r="L156" s="70"/>
      <c r="M156" s="70"/>
      <c r="N156" s="70"/>
      <c r="O156" s="70"/>
      <c r="P156" s="70"/>
      <c r="Q156" s="70"/>
      <c r="R156" s="343"/>
      <c r="S156" s="201"/>
      <c r="T156" s="201"/>
      <c r="U156" s="58"/>
      <c r="V156" s="58"/>
      <c r="W156" s="20"/>
      <c r="X156" s="20"/>
      <c r="Y156" s="20"/>
      <c r="Z156" s="20"/>
      <c r="AA156" s="20"/>
      <c r="AB156" s="20"/>
      <c r="AC156" s="20"/>
      <c r="AD156" s="20"/>
      <c r="AE156" s="201"/>
      <c r="AF156" s="200"/>
      <c r="AG156" s="24"/>
      <c r="AH156" s="157"/>
      <c r="AI156" s="138"/>
      <c r="AJ156" s="24"/>
      <c r="AK156" s="24"/>
    </row>
    <row r="157" spans="1:37" x14ac:dyDescent="0.25">
      <c r="A157" s="282" t="s">
        <v>435</v>
      </c>
      <c r="B157" s="113">
        <f>-B189</f>
        <v>-28.700000000000003</v>
      </c>
      <c r="C157" s="113">
        <f t="shared" ref="C157:I157" si="129">-C189</f>
        <v>-29.3</v>
      </c>
      <c r="D157" s="113">
        <f t="shared" si="129"/>
        <v>-30.5</v>
      </c>
      <c r="E157" s="113">
        <f t="shared" si="129"/>
        <v>-31.5</v>
      </c>
      <c r="F157" s="113">
        <f t="shared" si="129"/>
        <v>-31.1</v>
      </c>
      <c r="G157" s="113">
        <f t="shared" si="129"/>
        <v>-49.4</v>
      </c>
      <c r="H157" s="113">
        <f t="shared" si="129"/>
        <v>-50.4</v>
      </c>
      <c r="I157" s="206">
        <f t="shared" si="129"/>
        <v>0</v>
      </c>
      <c r="J157" s="201"/>
      <c r="K157" s="70"/>
      <c r="L157" s="70"/>
      <c r="M157" s="70"/>
      <c r="N157" s="70"/>
      <c r="O157" s="70"/>
      <c r="P157" s="70"/>
      <c r="Q157" s="70"/>
      <c r="R157" s="343"/>
      <c r="S157" s="201"/>
      <c r="T157" s="201"/>
      <c r="U157" s="58"/>
      <c r="V157" s="58"/>
      <c r="W157" s="20"/>
      <c r="X157" s="20"/>
      <c r="Y157" s="20"/>
      <c r="Z157" s="20"/>
      <c r="AA157" s="20"/>
      <c r="AB157" s="20"/>
      <c r="AC157" s="20"/>
      <c r="AD157" s="20"/>
      <c r="AE157" s="201"/>
      <c r="AF157" s="200"/>
      <c r="AG157" s="24"/>
      <c r="AH157" s="157"/>
      <c r="AI157" s="138"/>
      <c r="AJ157" s="24"/>
      <c r="AK157" s="24"/>
    </row>
    <row r="158" spans="1:37" x14ac:dyDescent="0.25">
      <c r="A158" s="281" t="s">
        <v>124</v>
      </c>
      <c r="B158" s="113">
        <f t="shared" ref="B158:I158" si="130">B137</f>
        <v>14.3</v>
      </c>
      <c r="C158" s="113">
        <f t="shared" si="130"/>
        <v>13.2</v>
      </c>
      <c r="D158" s="113">
        <f t="shared" si="130"/>
        <v>13</v>
      </c>
      <c r="E158" s="113">
        <f t="shared" si="130"/>
        <v>11.3</v>
      </c>
      <c r="F158" s="113">
        <f t="shared" si="130"/>
        <v>12.1</v>
      </c>
      <c r="G158" s="113">
        <f t="shared" si="130"/>
        <v>12.5</v>
      </c>
      <c r="H158" s="113">
        <f t="shared" si="130"/>
        <v>10.6</v>
      </c>
      <c r="I158" s="206">
        <f t="shared" si="130"/>
        <v>8.9</v>
      </c>
      <c r="J158" s="201"/>
      <c r="K158" s="283"/>
      <c r="L158" s="283"/>
      <c r="M158" s="283"/>
      <c r="N158" s="283"/>
      <c r="O158" s="283"/>
      <c r="P158" s="283"/>
      <c r="Q158" s="283"/>
      <c r="R158" s="343"/>
      <c r="S158" s="201"/>
      <c r="T158" s="201"/>
      <c r="U158" s="58"/>
      <c r="V158" s="58"/>
      <c r="W158" s="20"/>
      <c r="X158" s="20"/>
      <c r="Y158" s="20"/>
      <c r="Z158" s="20"/>
      <c r="AA158" s="20"/>
      <c r="AB158" s="20"/>
      <c r="AC158" s="20"/>
      <c r="AD158" s="20"/>
      <c r="AE158" s="201"/>
      <c r="AF158" s="200"/>
      <c r="AG158" s="200"/>
      <c r="AH158" s="284"/>
      <c r="AI158" s="200"/>
      <c r="AJ158" s="200"/>
      <c r="AK158" s="200"/>
    </row>
    <row r="159" spans="1:37" x14ac:dyDescent="0.25">
      <c r="A159" s="281" t="s">
        <v>443</v>
      </c>
      <c r="B159" s="84">
        <f>B160-SUM(B154:B158)</f>
        <v>-157.01157681909046</v>
      </c>
      <c r="C159" s="84">
        <f t="shared" ref="C159:H159" si="131">C160-SUM(C154:C158)</f>
        <v>-113.46000000000018</v>
      </c>
      <c r="D159" s="84">
        <f t="shared" si="131"/>
        <v>-149.76400000000007</v>
      </c>
      <c r="E159" s="84">
        <f t="shared" si="131"/>
        <v>-148.08400000000006</v>
      </c>
      <c r="F159" s="84">
        <f t="shared" si="131"/>
        <v>-138.45400000000024</v>
      </c>
      <c r="G159" s="84">
        <f t="shared" si="131"/>
        <v>-110.18999999999991</v>
      </c>
      <c r="H159" s="84">
        <f t="shared" si="131"/>
        <v>-29.244000000000085</v>
      </c>
      <c r="I159" s="362">
        <f t="shared" ref="I159" si="132">I160-SUM(I154:I158)</f>
        <v>-119.69800000000009</v>
      </c>
      <c r="J159" s="201"/>
      <c r="K159" s="283"/>
      <c r="L159" s="283"/>
      <c r="M159" s="283"/>
      <c r="N159" s="283"/>
      <c r="O159" s="283"/>
      <c r="P159" s="283"/>
      <c r="Q159" s="283"/>
      <c r="R159" s="343"/>
      <c r="S159" s="201"/>
      <c r="T159" s="201"/>
      <c r="U159" s="58"/>
      <c r="V159" s="58"/>
      <c r="W159" s="20"/>
      <c r="X159" s="20"/>
      <c r="Y159" s="20"/>
      <c r="Z159" s="20"/>
      <c r="AA159" s="20"/>
      <c r="AB159" s="20"/>
      <c r="AC159" s="20"/>
      <c r="AD159" s="20"/>
      <c r="AE159" s="201"/>
      <c r="AF159" s="200"/>
      <c r="AG159" s="200"/>
      <c r="AH159" s="284"/>
      <c r="AI159" s="200"/>
      <c r="AJ159" s="200"/>
      <c r="AK159" s="200"/>
    </row>
    <row r="160" spans="1:37" ht="15.75" thickBot="1" x14ac:dyDescent="0.3">
      <c r="A160" s="285" t="s">
        <v>319</v>
      </c>
      <c r="B160" s="291">
        <f>B150</f>
        <v>87.328000000000159</v>
      </c>
      <c r="C160" s="291">
        <f t="shared" ref="C160:I160" si="133">C150</f>
        <v>111.63999999999984</v>
      </c>
      <c r="D160" s="291">
        <f t="shared" si="133"/>
        <v>89.235999999999947</v>
      </c>
      <c r="E160" s="291">
        <f t="shared" si="133"/>
        <v>100.51599999999991</v>
      </c>
      <c r="F160" s="291">
        <f t="shared" si="133"/>
        <v>103.04600000000003</v>
      </c>
      <c r="G160" s="291">
        <f t="shared" si="133"/>
        <v>83.809999999999974</v>
      </c>
      <c r="H160" s="291">
        <f t="shared" si="133"/>
        <v>169.95599999999996</v>
      </c>
      <c r="I160" s="292">
        <f t="shared" si="133"/>
        <v>139.30200000000002</v>
      </c>
      <c r="J160" s="201"/>
      <c r="K160" s="283">
        <f t="shared" ref="K160:Q161" si="134">B160/$B$150</f>
        <v>1</v>
      </c>
      <c r="L160" s="283">
        <f t="shared" si="134"/>
        <v>1.2783986808354668</v>
      </c>
      <c r="M160" s="283">
        <f t="shared" si="134"/>
        <v>1.0218486625137388</v>
      </c>
      <c r="N160" s="283">
        <f t="shared" si="134"/>
        <v>1.1510168559912024</v>
      </c>
      <c r="O160" s="283">
        <f t="shared" si="134"/>
        <v>1.1799880908757769</v>
      </c>
      <c r="P160" s="283">
        <f t="shared" si="134"/>
        <v>0.95971509710516467</v>
      </c>
      <c r="Q160" s="283">
        <f t="shared" si="134"/>
        <v>1.9461799193843858</v>
      </c>
      <c r="R160" s="343"/>
      <c r="S160" s="201"/>
      <c r="T160" s="201"/>
      <c r="U160" s="58"/>
      <c r="V160" s="58"/>
      <c r="W160" s="20"/>
      <c r="X160" s="20"/>
      <c r="Y160" s="20"/>
      <c r="Z160" s="20"/>
      <c r="AA160" s="20"/>
      <c r="AB160" s="20"/>
      <c r="AC160" s="20"/>
      <c r="AD160" s="20"/>
      <c r="AE160" s="201"/>
      <c r="AF160" s="200"/>
      <c r="AG160" s="200"/>
      <c r="AH160" s="284"/>
      <c r="AI160" s="200"/>
      <c r="AJ160" s="200"/>
      <c r="AK160" s="200"/>
    </row>
    <row r="161" spans="1:37" x14ac:dyDescent="0.25">
      <c r="A161" s="327" t="s">
        <v>135</v>
      </c>
      <c r="B161" s="61">
        <f t="shared" ref="B161:B166" si="135">C161+AG161+AH161-(AJ161+AK161)</f>
        <v>-112.10000000000001</v>
      </c>
      <c r="C161" s="29">
        <v>-105.3</v>
      </c>
      <c r="D161" s="29">
        <v>-125</v>
      </c>
      <c r="E161" s="29">
        <v>-69.8</v>
      </c>
      <c r="F161" s="29">
        <v>-37.200000000000003</v>
      </c>
      <c r="G161" s="29">
        <v>-109.7</v>
      </c>
      <c r="H161" s="29">
        <v>-67.5</v>
      </c>
      <c r="I161" s="336">
        <v>-49.9</v>
      </c>
      <c r="J161" s="57"/>
      <c r="K161" s="283">
        <f t="shared" si="134"/>
        <v>-1.2836661780872092</v>
      </c>
      <c r="L161" s="283">
        <f t="shared" si="134"/>
        <v>-1.2057988274093052</v>
      </c>
      <c r="M161" s="283">
        <f t="shared" si="134"/>
        <v>-1.4313851227555856</v>
      </c>
      <c r="N161" s="283">
        <f t="shared" si="134"/>
        <v>-0.7992854525467189</v>
      </c>
      <c r="O161" s="283">
        <f t="shared" si="134"/>
        <v>-0.42598021253206231</v>
      </c>
      <c r="P161" s="283">
        <f t="shared" si="134"/>
        <v>-1.2561835837303019</v>
      </c>
      <c r="Q161" s="283">
        <f t="shared" si="134"/>
        <v>-0.77294796628801621</v>
      </c>
      <c r="R161" s="343"/>
      <c r="S161" s="57"/>
      <c r="T161" s="57"/>
      <c r="U161" s="58">
        <f>_xlfn.RRI(5.5,H161,B161)</f>
        <v>9.6616762210732787E-2</v>
      </c>
      <c r="V161" s="58">
        <f>_xlfn.RRI(5,H161,C161)</f>
        <v>9.3011973943858628E-2</v>
      </c>
      <c r="W161" s="58">
        <f t="shared" si="117"/>
        <v>0.25640737819807785</v>
      </c>
      <c r="X161" s="58">
        <f t="shared" ref="X161:AC161" si="136">(B161-C161)/C161</f>
        <v>6.457739791073136E-2</v>
      </c>
      <c r="Y161" s="58">
        <f t="shared" si="136"/>
        <v>-0.15760000000000002</v>
      </c>
      <c r="Z161" s="58">
        <f t="shared" si="136"/>
        <v>0.79083094555873934</v>
      </c>
      <c r="AA161" s="58">
        <f t="shared" si="136"/>
        <v>0.87634408602150515</v>
      </c>
      <c r="AB161" s="58">
        <f t="shared" si="136"/>
        <v>-0.66089334548769374</v>
      </c>
      <c r="AC161" s="58">
        <f t="shared" si="136"/>
        <v>0.62518518518518518</v>
      </c>
      <c r="AD161" s="58"/>
      <c r="AE161" s="57"/>
      <c r="AF161" s="61"/>
      <c r="AG161" s="8">
        <v>-32.200000000000003</v>
      </c>
      <c r="AH161" s="144">
        <v>-30.4</v>
      </c>
      <c r="AI161" s="135"/>
      <c r="AJ161" s="8">
        <v>-29.6</v>
      </c>
      <c r="AK161" s="8">
        <v>-26.2</v>
      </c>
    </row>
    <row r="162" spans="1:37" x14ac:dyDescent="0.25">
      <c r="A162" s="14" t="s">
        <v>136</v>
      </c>
      <c r="B162" s="61">
        <f t="shared" si="135"/>
        <v>0</v>
      </c>
      <c r="C162" s="8">
        <v>0</v>
      </c>
      <c r="D162" s="8">
        <v>0</v>
      </c>
      <c r="E162" s="8">
        <v>0</v>
      </c>
      <c r="F162" s="8">
        <v>0</v>
      </c>
      <c r="G162" s="8">
        <v>-264</v>
      </c>
      <c r="H162" s="8">
        <v>0</v>
      </c>
      <c r="I162" s="336">
        <v>0</v>
      </c>
      <c r="J162" s="57"/>
      <c r="K162" s="283"/>
      <c r="L162" s="283"/>
      <c r="M162" s="283"/>
      <c r="N162" s="283"/>
      <c r="O162" s="283"/>
      <c r="P162" s="283"/>
      <c r="Q162" s="283"/>
      <c r="R162" s="343"/>
      <c r="S162" s="57"/>
      <c r="T162" s="57"/>
      <c r="U162" s="58"/>
      <c r="V162" s="58"/>
      <c r="W162" s="58"/>
      <c r="X162" s="58"/>
      <c r="Y162" s="58"/>
      <c r="Z162" s="58"/>
      <c r="AA162" s="58"/>
      <c r="AB162" s="58"/>
      <c r="AC162" s="58"/>
      <c r="AD162" s="58"/>
      <c r="AE162" s="57"/>
      <c r="AF162" s="61"/>
      <c r="AG162" s="61">
        <v>0</v>
      </c>
      <c r="AH162" s="145">
        <v>0</v>
      </c>
      <c r="AI162" s="61"/>
      <c r="AJ162" s="61">
        <v>0</v>
      </c>
      <c r="AK162" s="61">
        <v>0</v>
      </c>
    </row>
    <row r="163" spans="1:37" x14ac:dyDescent="0.25">
      <c r="A163" s="14" t="s">
        <v>137</v>
      </c>
      <c r="B163" s="61">
        <f t="shared" si="135"/>
        <v>0.20000000000000007</v>
      </c>
      <c r="C163" s="8">
        <v>0.8</v>
      </c>
      <c r="D163" s="8">
        <v>6.1</v>
      </c>
      <c r="E163" s="8">
        <v>0.7</v>
      </c>
      <c r="F163" s="8">
        <v>3</v>
      </c>
      <c r="G163" s="8">
        <v>1.5</v>
      </c>
      <c r="H163" s="8">
        <v>0</v>
      </c>
      <c r="I163" s="336">
        <v>0</v>
      </c>
      <c r="J163" s="57"/>
      <c r="K163" s="283">
        <f t="shared" ref="K163:Q163" si="137">B163/$B$150</f>
        <v>2.2902161964089376E-3</v>
      </c>
      <c r="L163" s="283">
        <f t="shared" si="137"/>
        <v>9.1608647856357486E-3</v>
      </c>
      <c r="M163" s="283">
        <f t="shared" si="137"/>
        <v>6.9851593990472569E-2</v>
      </c>
      <c r="N163" s="283">
        <f t="shared" si="137"/>
        <v>8.0157566874312792E-3</v>
      </c>
      <c r="O163" s="283">
        <f t="shared" si="137"/>
        <v>3.4353242946134052E-2</v>
      </c>
      <c r="P163" s="283">
        <f t="shared" si="137"/>
        <v>1.7176621473067026E-2</v>
      </c>
      <c r="Q163" s="283">
        <f t="shared" si="137"/>
        <v>0</v>
      </c>
      <c r="R163" s="343"/>
      <c r="S163" s="57"/>
      <c r="T163" s="57"/>
      <c r="U163" s="58"/>
      <c r="V163" s="58"/>
      <c r="W163" s="58"/>
      <c r="X163" s="58">
        <f>(B163-C163)/C163</f>
        <v>-0.74999999999999989</v>
      </c>
      <c r="Y163" s="58">
        <f>(C163-D163)/D163</f>
        <v>-0.86885245901639352</v>
      </c>
      <c r="Z163" s="58">
        <f>(D163-E163)/E163</f>
        <v>7.7142857142857144</v>
      </c>
      <c r="AA163" s="58">
        <f>(E163-F163)/F163</f>
        <v>-0.76666666666666661</v>
      </c>
      <c r="AB163" s="58">
        <f>(F163-G163)/G163</f>
        <v>1</v>
      </c>
      <c r="AC163" s="58"/>
      <c r="AD163" s="58"/>
      <c r="AE163" s="57"/>
      <c r="AF163" s="61"/>
      <c r="AG163" s="8">
        <v>0.1</v>
      </c>
      <c r="AH163" s="144">
        <v>0</v>
      </c>
      <c r="AI163" s="135"/>
      <c r="AJ163" s="8">
        <v>0.3</v>
      </c>
      <c r="AK163" s="8">
        <v>0.4</v>
      </c>
    </row>
    <row r="164" spans="1:37" x14ac:dyDescent="0.25">
      <c r="A164" s="14" t="s">
        <v>138</v>
      </c>
      <c r="B164" s="61">
        <f t="shared" si="135"/>
        <v>0</v>
      </c>
      <c r="C164" s="8">
        <v>0</v>
      </c>
      <c r="D164" s="8">
        <v>0</v>
      </c>
      <c r="E164" s="8">
        <v>0</v>
      </c>
      <c r="F164" s="8">
        <v>0</v>
      </c>
      <c r="G164" s="8">
        <v>0</v>
      </c>
      <c r="H164" s="8">
        <v>9.5</v>
      </c>
      <c r="I164" s="336">
        <v>0</v>
      </c>
      <c r="J164" s="57"/>
      <c r="K164" s="283"/>
      <c r="L164" s="283"/>
      <c r="M164" s="283"/>
      <c r="N164" s="283"/>
      <c r="O164" s="283"/>
      <c r="P164" s="283"/>
      <c r="Q164" s="283"/>
      <c r="R164" s="343"/>
      <c r="S164" s="57"/>
      <c r="T164" s="57"/>
      <c r="U164" s="58"/>
      <c r="V164" s="58"/>
      <c r="W164" s="58"/>
      <c r="X164" s="58"/>
      <c r="Y164" s="58"/>
      <c r="Z164" s="58"/>
      <c r="AA164" s="58"/>
      <c r="AB164" s="58"/>
      <c r="AC164" s="58"/>
      <c r="AD164" s="58"/>
      <c r="AE164" s="57"/>
      <c r="AF164" s="61"/>
      <c r="AG164" s="61">
        <v>0</v>
      </c>
      <c r="AH164" s="145">
        <v>0</v>
      </c>
      <c r="AI164" s="61"/>
      <c r="AJ164" s="61">
        <v>0</v>
      </c>
      <c r="AK164" s="61">
        <v>0</v>
      </c>
    </row>
    <row r="165" spans="1:37" x14ac:dyDescent="0.25">
      <c r="A165" s="14" t="s">
        <v>139</v>
      </c>
      <c r="B165" s="61">
        <f t="shared" si="135"/>
        <v>2.3000000000000007</v>
      </c>
      <c r="C165" s="8">
        <v>4.4000000000000004</v>
      </c>
      <c r="D165" s="8">
        <v>29.4</v>
      </c>
      <c r="E165" s="8">
        <v>74.7</v>
      </c>
      <c r="F165" s="8">
        <v>0.4</v>
      </c>
      <c r="G165" s="8">
        <v>-4.2</v>
      </c>
      <c r="H165" s="8">
        <v>1.5</v>
      </c>
      <c r="I165" s="336">
        <v>-3.8</v>
      </c>
      <c r="J165" s="57"/>
      <c r="K165" s="283">
        <f t="shared" ref="K165:Q167" si="138">B165/$B$150</f>
        <v>2.6337486258702782E-2</v>
      </c>
      <c r="L165" s="283">
        <f t="shared" si="138"/>
        <v>5.0384756320996614E-2</v>
      </c>
      <c r="M165" s="283">
        <f t="shared" si="138"/>
        <v>0.33666178087211368</v>
      </c>
      <c r="N165" s="283">
        <f t="shared" si="138"/>
        <v>0.85539574935873797</v>
      </c>
      <c r="O165" s="283">
        <f t="shared" si="138"/>
        <v>4.5804323928178743E-3</v>
      </c>
      <c r="P165" s="283">
        <f t="shared" si="138"/>
        <v>-4.8094540124587679E-2</v>
      </c>
      <c r="Q165" s="283">
        <f t="shared" si="138"/>
        <v>1.7176621473067026E-2</v>
      </c>
      <c r="R165" s="343"/>
      <c r="S165" s="57"/>
      <c r="T165" s="57"/>
      <c r="U165" s="58">
        <f>_xlfn.RRI(5.5,H165,B165)</f>
        <v>8.0816845416358252E-2</v>
      </c>
      <c r="V165" s="58">
        <f>_xlfn.RRI(5,H165,C165)</f>
        <v>0.2401444770294936</v>
      </c>
      <c r="W165" s="58">
        <f t="shared" si="117"/>
        <v>29.820120556437246</v>
      </c>
      <c r="X165" s="58">
        <f t="shared" ref="X165:AC165" si="139">(B165-C165)/C165</f>
        <v>-0.47727272727272713</v>
      </c>
      <c r="Y165" s="58">
        <f t="shared" si="139"/>
        <v>-0.85034013605442182</v>
      </c>
      <c r="Z165" s="58">
        <f t="shared" si="139"/>
        <v>-0.60642570281124497</v>
      </c>
      <c r="AA165" s="58">
        <f t="shared" si="139"/>
        <v>185.74999999999997</v>
      </c>
      <c r="AB165" s="58">
        <f t="shared" si="139"/>
        <v>-1.0952380952380953</v>
      </c>
      <c r="AC165" s="58">
        <f t="shared" si="139"/>
        <v>-3.8000000000000003</v>
      </c>
      <c r="AD165" s="58"/>
      <c r="AE165" s="57"/>
      <c r="AF165" s="61"/>
      <c r="AG165" s="8">
        <v>0</v>
      </c>
      <c r="AH165" s="144">
        <v>1.9</v>
      </c>
      <c r="AI165" s="135"/>
      <c r="AJ165" s="8">
        <v>0.2</v>
      </c>
      <c r="AK165" s="8">
        <v>3.8</v>
      </c>
    </row>
    <row r="166" spans="1:37" x14ac:dyDescent="0.25">
      <c r="A166" s="14" t="s">
        <v>140</v>
      </c>
      <c r="B166" s="66">
        <f t="shared" si="135"/>
        <v>-14.7</v>
      </c>
      <c r="C166" s="23">
        <v>-14.7</v>
      </c>
      <c r="D166" s="23">
        <v>0</v>
      </c>
      <c r="E166" s="23">
        <v>0</v>
      </c>
      <c r="F166" s="23">
        <v>0</v>
      </c>
      <c r="G166" s="23">
        <v>0</v>
      </c>
      <c r="H166" s="23">
        <v>0</v>
      </c>
      <c r="I166" s="341">
        <v>0</v>
      </c>
      <c r="J166" s="57"/>
      <c r="K166" s="293">
        <f t="shared" si="138"/>
        <v>-0.16833089043605684</v>
      </c>
      <c r="L166" s="293">
        <f t="shared" si="138"/>
        <v>-0.16833089043605684</v>
      </c>
      <c r="M166" s="293">
        <f t="shared" si="138"/>
        <v>0</v>
      </c>
      <c r="N166" s="293">
        <f t="shared" si="138"/>
        <v>0</v>
      </c>
      <c r="O166" s="293">
        <f t="shared" si="138"/>
        <v>0</v>
      </c>
      <c r="P166" s="293">
        <f t="shared" si="138"/>
        <v>0</v>
      </c>
      <c r="Q166" s="293">
        <f t="shared" si="138"/>
        <v>0</v>
      </c>
      <c r="R166" s="343"/>
      <c r="S166" s="57"/>
      <c r="T166" s="57"/>
      <c r="U166" s="59"/>
      <c r="V166" s="59"/>
      <c r="W166" s="59"/>
      <c r="X166" s="59"/>
      <c r="Y166" s="59"/>
      <c r="Z166" s="59"/>
      <c r="AA166" s="59"/>
      <c r="AB166" s="59"/>
      <c r="AC166" s="59"/>
      <c r="AD166" s="80"/>
      <c r="AE166" s="57"/>
      <c r="AF166" s="67"/>
      <c r="AG166" s="67">
        <v>0</v>
      </c>
      <c r="AH166" s="161">
        <v>0</v>
      </c>
      <c r="AI166" s="67"/>
      <c r="AJ166" s="67">
        <v>0</v>
      </c>
      <c r="AK166" s="67">
        <v>0</v>
      </c>
    </row>
    <row r="167" spans="1:37" x14ac:dyDescent="0.25">
      <c r="A167" s="6" t="s">
        <v>448</v>
      </c>
      <c r="B167" s="24">
        <f>SUM(B161:B166)</f>
        <v>-124.30000000000001</v>
      </c>
      <c r="C167" s="24">
        <f>SUM(C161:C166)</f>
        <v>-114.8</v>
      </c>
      <c r="D167" s="24">
        <f t="shared" ref="D167:I167" si="140">SUM(D161:D166)</f>
        <v>-89.5</v>
      </c>
      <c r="E167" s="24">
        <f t="shared" si="140"/>
        <v>5.6000000000000085</v>
      </c>
      <c r="F167" s="24">
        <f t="shared" si="140"/>
        <v>-33.800000000000004</v>
      </c>
      <c r="G167" s="24">
        <f>SUM(G161:G166)</f>
        <v>-376.4</v>
      </c>
      <c r="H167" s="24">
        <f t="shared" si="140"/>
        <v>-56.5</v>
      </c>
      <c r="I167" s="24">
        <f t="shared" si="140"/>
        <v>-53.699999999999996</v>
      </c>
      <c r="J167" s="57"/>
      <c r="K167" s="283">
        <f t="shared" si="138"/>
        <v>-1.4233693660681543</v>
      </c>
      <c r="L167" s="283">
        <f t="shared" si="138"/>
        <v>-1.3145840967387297</v>
      </c>
      <c r="M167" s="283">
        <f t="shared" si="138"/>
        <v>-1.0248717478929992</v>
      </c>
      <c r="N167" s="283">
        <f t="shared" si="138"/>
        <v>6.4126053499450331E-2</v>
      </c>
      <c r="O167" s="283">
        <f t="shared" si="138"/>
        <v>-0.38704653719311038</v>
      </c>
      <c r="P167" s="283">
        <f t="shared" si="138"/>
        <v>-4.3101868816416191</v>
      </c>
      <c r="Q167" s="283">
        <f t="shared" si="138"/>
        <v>-0.64698607548552467</v>
      </c>
      <c r="R167" s="343"/>
      <c r="S167" s="57"/>
      <c r="T167" s="57"/>
      <c r="U167" s="58">
        <f>_xlfn.RRI(5.5,H167,B167)</f>
        <v>0.15414046837008022</v>
      </c>
      <c r="V167" s="58">
        <f>_xlfn.RRI(5,H167,C167)</f>
        <v>0.15233482776686635</v>
      </c>
      <c r="W167" s="20">
        <f t="shared" si="117"/>
        <v>-2.1717740272055299</v>
      </c>
      <c r="X167" s="20">
        <f t="shared" ref="X167:AC167" si="141">(B167-C167)/C167</f>
        <v>8.2752613240418244E-2</v>
      </c>
      <c r="Y167" s="20">
        <f t="shared" si="141"/>
        <v>0.28268156424581004</v>
      </c>
      <c r="Z167" s="20">
        <f t="shared" si="141"/>
        <v>-16.982142857142833</v>
      </c>
      <c r="AA167" s="20">
        <f t="shared" si="141"/>
        <v>-1.1656804733727812</v>
      </c>
      <c r="AB167" s="20">
        <f t="shared" si="141"/>
        <v>-0.91020191285866092</v>
      </c>
      <c r="AC167" s="20">
        <f t="shared" si="141"/>
        <v>5.6619469026548668</v>
      </c>
      <c r="AD167" s="20"/>
      <c r="AE167" s="57"/>
      <c r="AF167" s="61"/>
      <c r="AG167" s="56">
        <f>SUM(AG161:AG166)</f>
        <v>-32.1</v>
      </c>
      <c r="AH167" s="147">
        <f t="shared" ref="AH167:AK167" si="142">SUM(AH161:AH166)</f>
        <v>-28.5</v>
      </c>
      <c r="AI167" s="56"/>
      <c r="AJ167" s="56">
        <f t="shared" si="142"/>
        <v>-29.1</v>
      </c>
      <c r="AK167" s="56">
        <f t="shared" si="142"/>
        <v>-22</v>
      </c>
    </row>
    <row r="168" spans="1:37" x14ac:dyDescent="0.25">
      <c r="A168" s="14" t="s">
        <v>142</v>
      </c>
      <c r="B168" s="61">
        <f t="shared" ref="B168:B177" si="143">C168+AG168+AH168-(AJ168+AK168)</f>
        <v>0</v>
      </c>
      <c r="C168" s="8">
        <v>0</v>
      </c>
      <c r="D168" s="8">
        <v>0</v>
      </c>
      <c r="E168" s="8">
        <v>-57.3</v>
      </c>
      <c r="F168" s="8">
        <v>-61.1</v>
      </c>
      <c r="G168" s="8">
        <v>0</v>
      </c>
      <c r="H168" s="8">
        <v>0</v>
      </c>
      <c r="I168" s="336"/>
      <c r="J168" s="57"/>
      <c r="K168" s="283"/>
      <c r="L168" s="283"/>
      <c r="M168" s="283"/>
      <c r="N168" s="283"/>
      <c r="O168" s="283"/>
      <c r="P168" s="283"/>
      <c r="Q168" s="283"/>
      <c r="R168" s="343"/>
      <c r="S168" s="57"/>
      <c r="T168" s="57"/>
      <c r="U168" s="58"/>
      <c r="V168" s="58"/>
      <c r="W168" s="58"/>
      <c r="X168" s="58"/>
      <c r="Y168" s="58"/>
      <c r="Z168" s="58"/>
      <c r="AA168" s="58"/>
      <c r="AB168" s="58"/>
      <c r="AC168" s="58"/>
      <c r="AD168" s="58"/>
      <c r="AE168" s="57"/>
      <c r="AF168" s="61"/>
      <c r="AG168" s="61">
        <v>0</v>
      </c>
      <c r="AH168" s="145">
        <v>0</v>
      </c>
      <c r="AI168" s="61"/>
      <c r="AJ168" s="61">
        <v>0</v>
      </c>
      <c r="AK168" s="61">
        <v>0</v>
      </c>
    </row>
    <row r="169" spans="1:37" x14ac:dyDescent="0.25">
      <c r="A169" s="14" t="s">
        <v>143</v>
      </c>
      <c r="B169" s="61">
        <f t="shared" si="143"/>
        <v>186.39999999999998</v>
      </c>
      <c r="C169" s="8">
        <v>38.299999999999997</v>
      </c>
      <c r="D169" s="8">
        <v>15.2</v>
      </c>
      <c r="E169" s="8">
        <v>0</v>
      </c>
      <c r="F169" s="8">
        <v>0</v>
      </c>
      <c r="G169" s="8">
        <v>234.9</v>
      </c>
      <c r="H169" s="8">
        <v>705.4</v>
      </c>
      <c r="I169" s="336">
        <v>595.70000000000005</v>
      </c>
      <c r="J169" s="57"/>
      <c r="K169" s="283"/>
      <c r="L169" s="283"/>
      <c r="M169" s="283"/>
      <c r="N169" s="283"/>
      <c r="O169" s="283"/>
      <c r="P169" s="283"/>
      <c r="Q169" s="283"/>
      <c r="R169" s="343"/>
      <c r="S169" s="57"/>
      <c r="T169" s="57"/>
      <c r="U169" s="58"/>
      <c r="V169" s="58"/>
      <c r="W169" s="58"/>
      <c r="X169" s="58"/>
      <c r="Y169" s="58"/>
      <c r="Z169" s="58"/>
      <c r="AA169" s="58"/>
      <c r="AB169" s="58"/>
      <c r="AC169" s="58"/>
      <c r="AD169" s="58"/>
      <c r="AE169" s="57"/>
      <c r="AF169" s="61"/>
      <c r="AG169" s="8">
        <v>139.6</v>
      </c>
      <c r="AH169" s="144">
        <v>63.5</v>
      </c>
      <c r="AI169" s="135"/>
      <c r="AJ169" s="8">
        <v>7.6</v>
      </c>
      <c r="AK169" s="8">
        <v>47.4</v>
      </c>
    </row>
    <row r="170" spans="1:37" x14ac:dyDescent="0.25">
      <c r="A170" s="14" t="s">
        <v>144</v>
      </c>
      <c r="B170" s="61">
        <f t="shared" si="143"/>
        <v>0</v>
      </c>
      <c r="C170" s="8">
        <v>0</v>
      </c>
      <c r="D170" s="8">
        <v>0</v>
      </c>
      <c r="E170" s="8">
        <v>0</v>
      </c>
      <c r="F170" s="8">
        <v>0</v>
      </c>
      <c r="G170" s="8">
        <v>0</v>
      </c>
      <c r="H170" s="8">
        <v>-651.1</v>
      </c>
      <c r="I170" s="336">
        <v>-625.4</v>
      </c>
      <c r="J170" s="57"/>
      <c r="K170" s="283"/>
      <c r="L170" s="283"/>
      <c r="M170" s="283"/>
      <c r="N170" s="283"/>
      <c r="O170" s="283"/>
      <c r="P170" s="283"/>
      <c r="Q170" s="283"/>
      <c r="R170" s="343"/>
      <c r="S170" s="57"/>
      <c r="T170" s="57"/>
      <c r="U170" s="58"/>
      <c r="V170" s="58"/>
      <c r="W170" s="58"/>
      <c r="X170" s="58"/>
      <c r="Y170" s="58"/>
      <c r="Z170" s="58"/>
      <c r="AA170" s="58"/>
      <c r="AB170" s="58"/>
      <c r="AC170" s="58"/>
      <c r="AD170" s="58"/>
      <c r="AE170" s="57"/>
      <c r="AF170" s="61"/>
      <c r="AG170" s="8">
        <v>0</v>
      </c>
      <c r="AH170" s="144">
        <v>0</v>
      </c>
      <c r="AI170" s="135"/>
      <c r="AJ170" s="8">
        <v>0</v>
      </c>
      <c r="AK170" s="8">
        <v>0</v>
      </c>
    </row>
    <row r="171" spans="1:37" x14ac:dyDescent="0.25">
      <c r="A171" s="14" t="s">
        <v>145</v>
      </c>
      <c r="B171" s="61">
        <f t="shared" si="143"/>
        <v>388</v>
      </c>
      <c r="C171" s="190">
        <v>0</v>
      </c>
      <c r="D171" s="190">
        <v>0</v>
      </c>
      <c r="E171" s="190">
        <v>0</v>
      </c>
      <c r="F171" s="190">
        <v>0</v>
      </c>
      <c r="G171" s="190">
        <v>100</v>
      </c>
      <c r="H171" s="190">
        <v>500</v>
      </c>
      <c r="I171" s="336">
        <v>0</v>
      </c>
      <c r="J171" s="57"/>
      <c r="K171" s="283"/>
      <c r="L171" s="283"/>
      <c r="M171" s="283"/>
      <c r="N171" s="283"/>
      <c r="O171" s="283"/>
      <c r="P171" s="283"/>
      <c r="Q171" s="283"/>
      <c r="R171" s="343"/>
      <c r="S171" s="57"/>
      <c r="T171" s="57"/>
      <c r="U171" s="58"/>
      <c r="V171" s="58"/>
      <c r="W171" s="58"/>
      <c r="X171" s="58"/>
      <c r="Y171" s="58"/>
      <c r="Z171" s="58"/>
      <c r="AA171" s="58"/>
      <c r="AB171" s="58"/>
      <c r="AC171" s="58"/>
      <c r="AD171" s="58"/>
      <c r="AE171" s="57"/>
      <c r="AF171" s="61"/>
      <c r="AG171" s="8">
        <v>388</v>
      </c>
      <c r="AH171" s="144">
        <v>0</v>
      </c>
      <c r="AI171" s="135"/>
      <c r="AJ171" s="8">
        <v>0</v>
      </c>
      <c r="AK171" s="8">
        <v>0</v>
      </c>
    </row>
    <row r="172" spans="1:37" x14ac:dyDescent="0.25">
      <c r="A172" s="188" t="s">
        <v>146</v>
      </c>
      <c r="B172" s="61">
        <f t="shared" si="143"/>
        <v>-501</v>
      </c>
      <c r="C172" s="113">
        <v>-2</v>
      </c>
      <c r="D172" s="113">
        <v>-10.1</v>
      </c>
      <c r="E172" s="113">
        <v>-70.7</v>
      </c>
      <c r="F172" s="113">
        <v>-29.7</v>
      </c>
      <c r="G172" s="113">
        <v>-20.3</v>
      </c>
      <c r="H172" s="113">
        <v>-546.70000000000005</v>
      </c>
      <c r="I172" s="336">
        <v>-31.7</v>
      </c>
      <c r="J172" s="57"/>
      <c r="K172" s="283">
        <f t="shared" ref="K172:Q175" si="144">B172/$B$150</f>
        <v>-5.7369915720043867</v>
      </c>
      <c r="L172" s="283">
        <f t="shared" si="144"/>
        <v>-2.2902161964089368E-2</v>
      </c>
      <c r="M172" s="283">
        <f t="shared" si="144"/>
        <v>-0.1156559179186513</v>
      </c>
      <c r="N172" s="283">
        <f t="shared" si="144"/>
        <v>-0.80959142543055918</v>
      </c>
      <c r="O172" s="283">
        <f t="shared" si="144"/>
        <v>-0.34009710516672709</v>
      </c>
      <c r="P172" s="283">
        <f t="shared" si="144"/>
        <v>-0.23245694393550709</v>
      </c>
      <c r="Q172" s="283">
        <f t="shared" si="144"/>
        <v>-6.2603059728838293</v>
      </c>
      <c r="R172" s="343"/>
      <c r="S172" s="57"/>
      <c r="T172" s="57"/>
      <c r="U172" s="58">
        <f>_xlfn.RRI(5.5,H172,B172)</f>
        <v>-1.5746364432463134E-2</v>
      </c>
      <c r="V172" s="58">
        <f>_xlfn.RRI(5,H172,C172)</f>
        <v>-0.67442115035885153</v>
      </c>
      <c r="W172" s="58">
        <f t="shared" si="117"/>
        <v>41.453589065783859</v>
      </c>
      <c r="X172" s="58">
        <f t="shared" ref="X172:AC175" si="145">(B172-C172)/C172</f>
        <v>249.5</v>
      </c>
      <c r="Y172" s="58">
        <f t="shared" si="145"/>
        <v>-0.80198019801980203</v>
      </c>
      <c r="Z172" s="58">
        <f t="shared" si="145"/>
        <v>-0.8571428571428571</v>
      </c>
      <c r="AA172" s="58">
        <f t="shared" si="145"/>
        <v>1.3804713804713804</v>
      </c>
      <c r="AB172" s="58">
        <f t="shared" si="145"/>
        <v>0.46305418719211816</v>
      </c>
      <c r="AC172" s="58">
        <f t="shared" si="145"/>
        <v>-0.96286811779769532</v>
      </c>
      <c r="AD172" s="58"/>
      <c r="AE172" s="57"/>
      <c r="AF172" s="61"/>
      <c r="AG172" s="8">
        <v>-501</v>
      </c>
      <c r="AH172" s="144">
        <v>0</v>
      </c>
      <c r="AI172" s="135"/>
      <c r="AJ172" s="8">
        <v>0</v>
      </c>
      <c r="AK172" s="8">
        <v>-2</v>
      </c>
    </row>
    <row r="173" spans="1:37" x14ac:dyDescent="0.25">
      <c r="A173" s="14" t="s">
        <v>147</v>
      </c>
      <c r="B173" s="61">
        <f t="shared" si="143"/>
        <v>2.2000000000000002</v>
      </c>
      <c r="C173" s="29">
        <v>1.1000000000000001</v>
      </c>
      <c r="D173" s="29">
        <v>2.4</v>
      </c>
      <c r="E173" s="29">
        <v>1.1000000000000001</v>
      </c>
      <c r="F173" s="29">
        <v>4</v>
      </c>
      <c r="G173" s="29">
        <v>2.9</v>
      </c>
      <c r="H173" s="29">
        <v>2.7</v>
      </c>
      <c r="I173" s="336">
        <v>0.4</v>
      </c>
      <c r="J173" s="57"/>
      <c r="K173" s="283">
        <f t="shared" si="144"/>
        <v>2.5192378160498307E-2</v>
      </c>
      <c r="L173" s="283">
        <f t="shared" si="144"/>
        <v>1.2596189080249153E-2</v>
      </c>
      <c r="M173" s="283">
        <f t="shared" si="144"/>
        <v>2.7482594356907242E-2</v>
      </c>
      <c r="N173" s="283">
        <f t="shared" si="144"/>
        <v>1.2596189080249153E-2</v>
      </c>
      <c r="O173" s="283">
        <f t="shared" si="144"/>
        <v>4.5804323928178736E-2</v>
      </c>
      <c r="P173" s="283">
        <f t="shared" si="144"/>
        <v>3.3208134847929581E-2</v>
      </c>
      <c r="Q173" s="283">
        <f t="shared" si="144"/>
        <v>3.0917918651520649E-2</v>
      </c>
      <c r="R173" s="343"/>
      <c r="S173" s="57"/>
      <c r="T173" s="57"/>
      <c r="U173" s="58">
        <f>_xlfn.RRI(5.5,H173,B173)</f>
        <v>-3.6550636978585738E-2</v>
      </c>
      <c r="V173" s="58">
        <f>_xlfn.RRI(5,H173,C173)</f>
        <v>-0.16438585262196659</v>
      </c>
      <c r="W173" s="58"/>
      <c r="X173" s="58"/>
      <c r="Y173" s="58"/>
      <c r="Z173" s="58">
        <f t="shared" si="145"/>
        <v>1.1818181818181817</v>
      </c>
      <c r="AA173" s="58">
        <f t="shared" si="145"/>
        <v>-0.72499999999999998</v>
      </c>
      <c r="AB173" s="58">
        <f t="shared" si="145"/>
        <v>0.37931034482758624</v>
      </c>
      <c r="AC173" s="58">
        <f t="shared" si="145"/>
        <v>7.4074074074073973E-2</v>
      </c>
      <c r="AD173" s="58"/>
      <c r="AE173" s="57"/>
      <c r="AF173" s="61"/>
      <c r="AG173" s="8">
        <v>0.6</v>
      </c>
      <c r="AH173" s="144">
        <v>1.2</v>
      </c>
      <c r="AI173" s="135"/>
      <c r="AJ173" s="8">
        <v>0.4</v>
      </c>
      <c r="AK173" s="8">
        <v>0.3</v>
      </c>
    </row>
    <row r="174" spans="1:37" x14ac:dyDescent="0.25">
      <c r="A174" s="14" t="s">
        <v>148</v>
      </c>
      <c r="B174" s="61">
        <f t="shared" si="143"/>
        <v>-11.000000000000004</v>
      </c>
      <c r="C174" s="8">
        <v>-23.6</v>
      </c>
      <c r="D174" s="8">
        <v>-11.5</v>
      </c>
      <c r="E174" s="8">
        <v>-1.6</v>
      </c>
      <c r="F174" s="8">
        <v>-0.9</v>
      </c>
      <c r="G174" s="8">
        <v>-31.8</v>
      </c>
      <c r="H174" s="8">
        <v>-5.2</v>
      </c>
      <c r="I174" s="336">
        <v>-0.3</v>
      </c>
      <c r="J174" s="57"/>
      <c r="K174" s="283">
        <f t="shared" si="144"/>
        <v>-0.12596189080249157</v>
      </c>
      <c r="L174" s="283">
        <f t="shared" si="144"/>
        <v>-0.27024551117625456</v>
      </c>
      <c r="M174" s="283">
        <f t="shared" si="144"/>
        <v>-0.13168743129351387</v>
      </c>
      <c r="N174" s="283">
        <f t="shared" si="144"/>
        <v>-1.8321729571271497E-2</v>
      </c>
      <c r="O174" s="283">
        <f t="shared" si="144"/>
        <v>-1.0305972883840216E-2</v>
      </c>
      <c r="P174" s="283">
        <f t="shared" si="144"/>
        <v>-0.36414437522902099</v>
      </c>
      <c r="Q174" s="283">
        <f t="shared" si="144"/>
        <v>-5.9545621106632363E-2</v>
      </c>
      <c r="R174" s="343"/>
      <c r="S174" s="57"/>
      <c r="T174" s="57"/>
      <c r="U174" s="58">
        <f>_xlfn.RRI(5.5,H174,B174)</f>
        <v>0.14593952334231264</v>
      </c>
      <c r="V174" s="58">
        <f>_xlfn.RRI(5,H174,C174)</f>
        <v>0.35326151701018493</v>
      </c>
      <c r="W174" s="58">
        <f t="shared" si="117"/>
        <v>1.9378733146522631</v>
      </c>
      <c r="X174" s="58">
        <f>(B174-C174)/C174</f>
        <v>-0.53389830508474567</v>
      </c>
      <c r="Y174" s="58">
        <f>(C174-D174)/D174</f>
        <v>1.0521739130434784</v>
      </c>
      <c r="Z174" s="58">
        <f t="shared" si="145"/>
        <v>6.1875</v>
      </c>
      <c r="AA174" s="58">
        <f t="shared" si="145"/>
        <v>0.77777777777777779</v>
      </c>
      <c r="AB174" s="58">
        <f t="shared" si="145"/>
        <v>-0.97169811320754718</v>
      </c>
      <c r="AC174" s="58">
        <f t="shared" si="145"/>
        <v>5.1153846153846159</v>
      </c>
      <c r="AD174" s="58"/>
      <c r="AE174" s="57"/>
      <c r="AF174" s="61"/>
      <c r="AG174" s="8">
        <v>-0.1</v>
      </c>
      <c r="AH174" s="144">
        <v>-5.8</v>
      </c>
      <c r="AI174" s="135"/>
      <c r="AJ174" s="8">
        <v>-7.4</v>
      </c>
      <c r="AK174" s="8">
        <v>-11.1</v>
      </c>
    </row>
    <row r="175" spans="1:37" x14ac:dyDescent="0.25">
      <c r="A175" s="14" t="s">
        <v>149</v>
      </c>
      <c r="B175" s="61">
        <f t="shared" si="143"/>
        <v>-5.0999999999999996</v>
      </c>
      <c r="C175" s="8">
        <v>-4.8</v>
      </c>
      <c r="D175" s="8">
        <v>0</v>
      </c>
      <c r="E175" s="8">
        <v>-0.2</v>
      </c>
      <c r="F175" s="8">
        <v>-1</v>
      </c>
      <c r="G175" s="8">
        <v>-2.9</v>
      </c>
      <c r="H175" s="8">
        <v>-11</v>
      </c>
      <c r="I175" s="336">
        <v>0</v>
      </c>
      <c r="J175" s="57"/>
      <c r="K175" s="283">
        <f t="shared" si="144"/>
        <v>-5.8400513008427885E-2</v>
      </c>
      <c r="L175" s="283">
        <f t="shared" si="144"/>
        <v>-5.4965188713814485E-2</v>
      </c>
      <c r="M175" s="283">
        <f t="shared" si="144"/>
        <v>0</v>
      </c>
      <c r="N175" s="283">
        <f t="shared" si="144"/>
        <v>-2.2902161964089372E-3</v>
      </c>
      <c r="O175" s="283">
        <f t="shared" si="144"/>
        <v>-1.1451080982044684E-2</v>
      </c>
      <c r="P175" s="283">
        <f t="shared" si="144"/>
        <v>-3.3208134847929581E-2</v>
      </c>
      <c r="Q175" s="283">
        <f t="shared" si="144"/>
        <v>-0.12596189080249154</v>
      </c>
      <c r="R175" s="343"/>
      <c r="S175" s="57"/>
      <c r="T175" s="57"/>
      <c r="U175" s="58">
        <f>_xlfn.RRI(5.5,H175,B175)</f>
        <v>-0.13042909879639941</v>
      </c>
      <c r="V175" s="58">
        <f>_xlfn.RRI(5,H175,C175)</f>
        <v>-0.15283167306600776</v>
      </c>
      <c r="W175" s="58"/>
      <c r="X175" s="58">
        <f>(B175-C175)/C175</f>
        <v>6.2499999999999965E-2</v>
      </c>
      <c r="Y175" s="58"/>
      <c r="Z175" s="58">
        <f t="shared" si="145"/>
        <v>-1</v>
      </c>
      <c r="AA175" s="58">
        <f t="shared" si="145"/>
        <v>-0.8</v>
      </c>
      <c r="AB175" s="58">
        <f t="shared" si="145"/>
        <v>-0.65517241379310343</v>
      </c>
      <c r="AC175" s="58">
        <f t="shared" si="145"/>
        <v>-0.73636363636363633</v>
      </c>
      <c r="AD175" s="58"/>
      <c r="AE175" s="57"/>
      <c r="AF175" s="61"/>
      <c r="AG175" s="8">
        <v>-4.0999999999999996</v>
      </c>
      <c r="AH175" s="144">
        <v>-0.8</v>
      </c>
      <c r="AI175" s="135"/>
      <c r="AJ175" s="8">
        <v>-4.5</v>
      </c>
      <c r="AK175" s="8">
        <v>-0.1</v>
      </c>
    </row>
    <row r="176" spans="1:37" ht="15.75" customHeight="1" x14ac:dyDescent="0.25">
      <c r="A176" s="14" t="s">
        <v>150</v>
      </c>
      <c r="B176" s="61">
        <f t="shared" si="143"/>
        <v>0</v>
      </c>
      <c r="C176" s="8">
        <v>0</v>
      </c>
      <c r="D176" s="8">
        <v>0</v>
      </c>
      <c r="E176" s="8">
        <v>0</v>
      </c>
      <c r="F176" s="8">
        <v>0</v>
      </c>
      <c r="G176" s="8">
        <v>0</v>
      </c>
      <c r="H176" s="8">
        <v>0</v>
      </c>
      <c r="I176" s="336">
        <v>-1.4</v>
      </c>
      <c r="J176" s="57"/>
      <c r="K176" s="283"/>
      <c r="L176" s="283"/>
      <c r="M176" s="283"/>
      <c r="N176" s="283"/>
      <c r="O176" s="283"/>
      <c r="P176" s="283"/>
      <c r="Q176" s="283"/>
      <c r="R176" s="343"/>
      <c r="S176" s="57"/>
      <c r="T176" s="57"/>
      <c r="U176" s="58"/>
      <c r="V176" s="58"/>
      <c r="W176" s="58"/>
      <c r="X176" s="58"/>
      <c r="Y176" s="58"/>
      <c r="Z176" s="58"/>
      <c r="AA176" s="58"/>
      <c r="AB176" s="58"/>
      <c r="AC176" s="58"/>
      <c r="AD176" s="58"/>
      <c r="AE176" s="57"/>
      <c r="AF176" s="61"/>
      <c r="AG176" s="61">
        <v>0</v>
      </c>
      <c r="AH176" s="145">
        <v>0</v>
      </c>
      <c r="AI176" s="61"/>
      <c r="AJ176" s="61">
        <v>0</v>
      </c>
      <c r="AK176" s="61">
        <v>0</v>
      </c>
    </row>
    <row r="177" spans="1:37" x14ac:dyDescent="0.25">
      <c r="A177" s="14" t="s">
        <v>151</v>
      </c>
      <c r="B177" s="66">
        <f t="shared" si="143"/>
        <v>-4.5999999999999996</v>
      </c>
      <c r="C177" s="23">
        <v>-4.2</v>
      </c>
      <c r="D177" s="23">
        <v>0</v>
      </c>
      <c r="E177" s="23">
        <v>0</v>
      </c>
      <c r="F177" s="23">
        <v>0</v>
      </c>
      <c r="G177" s="23">
        <v>0</v>
      </c>
      <c r="H177" s="23">
        <v>0</v>
      </c>
      <c r="I177" s="225">
        <v>0</v>
      </c>
      <c r="J177" s="57"/>
      <c r="K177" s="293"/>
      <c r="L177" s="293"/>
      <c r="M177" s="293"/>
      <c r="N177" s="293"/>
      <c r="O177" s="293"/>
      <c r="P177" s="293"/>
      <c r="Q177" s="293"/>
      <c r="R177" s="343"/>
      <c r="S177" s="57"/>
      <c r="T177" s="57"/>
      <c r="U177" s="59"/>
      <c r="V177" s="59"/>
      <c r="W177" s="59"/>
      <c r="X177" s="59"/>
      <c r="Y177" s="59"/>
      <c r="Z177" s="59"/>
      <c r="AA177" s="59"/>
      <c r="AB177" s="59"/>
      <c r="AC177" s="59"/>
      <c r="AD177" s="80"/>
      <c r="AE177" s="57"/>
      <c r="AF177" s="121"/>
      <c r="AG177" s="23">
        <v>-1.2</v>
      </c>
      <c r="AH177" s="146">
        <v>-1.3</v>
      </c>
      <c r="AI177" s="136"/>
      <c r="AJ177" s="23">
        <v>-1</v>
      </c>
      <c r="AK177" s="23">
        <v>-1.1000000000000001</v>
      </c>
    </row>
    <row r="178" spans="1:37" x14ac:dyDescent="0.25">
      <c r="A178" s="6" t="s">
        <v>449</v>
      </c>
      <c r="B178" s="24">
        <f>SUM(B168:B177)</f>
        <v>54.899999999999977</v>
      </c>
      <c r="C178" s="24">
        <f>SUM(C168:C177)</f>
        <v>4.7999999999999963</v>
      </c>
      <c r="D178" s="24">
        <f t="shared" ref="D178:H178" si="146">SUM(D168:D177)</f>
        <v>-4</v>
      </c>
      <c r="E178" s="24">
        <f t="shared" si="146"/>
        <v>-128.69999999999999</v>
      </c>
      <c r="F178" s="24">
        <f t="shared" si="146"/>
        <v>-88.7</v>
      </c>
      <c r="G178" s="24">
        <f t="shared" si="146"/>
        <v>282.79999999999995</v>
      </c>
      <c r="H178" s="24">
        <f t="shared" si="146"/>
        <v>-5.9000000000000918</v>
      </c>
      <c r="I178" s="24">
        <f>SUM(I168:I177)</f>
        <v>-62.699999999999932</v>
      </c>
      <c r="J178" s="69"/>
      <c r="K178" s="283">
        <f t="shared" ref="K178:Q180" si="147">B178/$B$150</f>
        <v>0.62866434591425291</v>
      </c>
      <c r="L178" s="283">
        <f t="shared" si="147"/>
        <v>5.4965188713814443E-2</v>
      </c>
      <c r="M178" s="283">
        <f t="shared" si="147"/>
        <v>-4.5804323928178736E-2</v>
      </c>
      <c r="N178" s="283">
        <f t="shared" si="147"/>
        <v>-1.4737541223891508</v>
      </c>
      <c r="O178" s="283">
        <f t="shared" si="147"/>
        <v>-1.0157108831073636</v>
      </c>
      <c r="P178" s="283">
        <f t="shared" si="147"/>
        <v>3.2383657017222363</v>
      </c>
      <c r="Q178" s="283">
        <f t="shared" si="147"/>
        <v>-6.7561377794064695E-2</v>
      </c>
      <c r="R178" s="283"/>
      <c r="S178" s="69"/>
      <c r="T178" s="201"/>
      <c r="U178" s="58"/>
      <c r="V178" s="58"/>
      <c r="W178" s="20"/>
      <c r="X178" s="20"/>
      <c r="Y178" s="20"/>
      <c r="Z178" s="20"/>
      <c r="AA178" s="20"/>
      <c r="AB178" s="20"/>
      <c r="AC178" s="20"/>
      <c r="AD178" s="20"/>
      <c r="AE178" s="69"/>
      <c r="AF178" s="24"/>
      <c r="AG178" s="24">
        <f>SUM(AG168:AG177)</f>
        <v>21.800000000000022</v>
      </c>
      <c r="AH178" s="157">
        <f>SUM(AH168:AH177)</f>
        <v>56.800000000000011</v>
      </c>
      <c r="AI178" s="138"/>
      <c r="AJ178" s="24">
        <f>SUM(AJ168:AJ177)</f>
        <v>-4.9000000000000004</v>
      </c>
      <c r="AK178" s="24">
        <f>SUM(AK168:AK177)</f>
        <v>33.399999999999991</v>
      </c>
    </row>
    <row r="179" spans="1:37" x14ac:dyDescent="0.25">
      <c r="A179" s="14" t="s">
        <v>153</v>
      </c>
      <c r="B179" s="66">
        <f>C179+AG179+AH179-(AJ179+AK179)</f>
        <v>-1.7999999999999998</v>
      </c>
      <c r="C179" s="23">
        <v>-4.5</v>
      </c>
      <c r="D179" s="23">
        <v>-2.5</v>
      </c>
      <c r="E179" s="23">
        <v>1.5</v>
      </c>
      <c r="F179" s="23">
        <v>-0.4</v>
      </c>
      <c r="G179" s="23">
        <v>-4.4000000000000004</v>
      </c>
      <c r="H179" s="23">
        <v>0.1</v>
      </c>
      <c r="I179" s="341">
        <v>-4.0999999999999996</v>
      </c>
      <c r="J179" s="57"/>
      <c r="K179" s="293">
        <f t="shared" si="147"/>
        <v>-2.0611945767680429E-2</v>
      </c>
      <c r="L179" s="293">
        <f t="shared" si="147"/>
        <v>-5.1529864419201078E-2</v>
      </c>
      <c r="M179" s="293">
        <f t="shared" si="147"/>
        <v>-2.862770245511171E-2</v>
      </c>
      <c r="N179" s="293">
        <f t="shared" si="147"/>
        <v>1.7176621473067026E-2</v>
      </c>
      <c r="O179" s="293">
        <f t="shared" si="147"/>
        <v>-4.5804323928178743E-3</v>
      </c>
      <c r="P179" s="293">
        <f t="shared" si="147"/>
        <v>-5.0384756320996614E-2</v>
      </c>
      <c r="Q179" s="293">
        <f t="shared" si="147"/>
        <v>1.1451080982044686E-3</v>
      </c>
      <c r="R179" s="343"/>
      <c r="S179" s="57"/>
      <c r="T179" s="57"/>
      <c r="U179" s="59"/>
      <c r="V179" s="59"/>
      <c r="W179" s="59"/>
      <c r="X179" s="59"/>
      <c r="Y179" s="59"/>
      <c r="Z179" s="59"/>
      <c r="AA179" s="59"/>
      <c r="AB179" s="59"/>
      <c r="AC179" s="59"/>
      <c r="AD179" s="80"/>
      <c r="AE179" s="57"/>
      <c r="AF179" s="67"/>
      <c r="AG179" s="23">
        <v>-1.1000000000000001</v>
      </c>
      <c r="AH179" s="146">
        <v>0.1</v>
      </c>
      <c r="AI179" s="136"/>
      <c r="AJ179" s="23">
        <v>-4</v>
      </c>
      <c r="AK179" s="23">
        <v>0.3</v>
      </c>
    </row>
    <row r="180" spans="1:37" x14ac:dyDescent="0.25">
      <c r="A180" s="6" t="s">
        <v>156</v>
      </c>
      <c r="B180" s="81">
        <f>SUM(B150,B167,B178:B179)</f>
        <v>16.128000000000124</v>
      </c>
      <c r="C180" s="81">
        <f>SUM(C150,C167,C178:C179)</f>
        <v>-2.8600000000001566</v>
      </c>
      <c r="D180" s="81">
        <f t="shared" ref="D180:I180" si="148">SUM(D150,D167,D178:D179)</f>
        <v>-6.7640000000000526</v>
      </c>
      <c r="E180" s="81">
        <f t="shared" si="148"/>
        <v>-21.084000000000074</v>
      </c>
      <c r="F180" s="81">
        <f t="shared" si="148"/>
        <v>-19.853999999999964</v>
      </c>
      <c r="G180" s="81">
        <f t="shared" si="148"/>
        <v>-14.190000000000078</v>
      </c>
      <c r="H180" s="81">
        <f t="shared" si="148"/>
        <v>107.65599999999986</v>
      </c>
      <c r="I180" s="81">
        <f t="shared" si="148"/>
        <v>18.802000000000099</v>
      </c>
      <c r="J180" s="69"/>
      <c r="K180" s="283">
        <f t="shared" si="147"/>
        <v>0.1846830340784181</v>
      </c>
      <c r="L180" s="283">
        <f t="shared" si="147"/>
        <v>-3.2750091608649591E-2</v>
      </c>
      <c r="M180" s="283">
        <f t="shared" si="147"/>
        <v>-7.7455111762550849E-2</v>
      </c>
      <c r="N180" s="283">
        <f t="shared" si="147"/>
        <v>-0.24143459142543097</v>
      </c>
      <c r="O180" s="283">
        <f t="shared" si="147"/>
        <v>-0.22734976181751473</v>
      </c>
      <c r="P180" s="283">
        <f t="shared" si="147"/>
        <v>-0.16249083913521495</v>
      </c>
      <c r="Q180" s="283">
        <f t="shared" si="147"/>
        <v>1.2327775742030009</v>
      </c>
      <c r="R180" s="283"/>
      <c r="S180" s="69"/>
      <c r="T180" s="201"/>
      <c r="U180" s="58"/>
      <c r="V180" s="58"/>
      <c r="W180" s="20"/>
      <c r="X180" s="20"/>
      <c r="Y180" s="20"/>
      <c r="Z180" s="20"/>
      <c r="AA180" s="20"/>
      <c r="AB180" s="20"/>
      <c r="AC180" s="20"/>
      <c r="AD180" s="20"/>
      <c r="AE180" s="69"/>
      <c r="AF180" s="24"/>
      <c r="AG180" s="24" t="e">
        <f>SUM(#REF!,AG167,AG178:AG179)</f>
        <v>#REF!</v>
      </c>
      <c r="AH180" s="157" t="e">
        <f>SUM(#REF!,AH167,AH178:AH179)</f>
        <v>#REF!</v>
      </c>
      <c r="AI180" s="138"/>
      <c r="AJ180" s="24" t="e">
        <f>SUM(#REF!,AJ167,AJ178:AJ179)</f>
        <v>#REF!</v>
      </c>
      <c r="AK180" s="24" t="e">
        <f>SUM(#REF!,AK167,AK178:AK179)</f>
        <v>#REF!</v>
      </c>
    </row>
    <row r="181" spans="1:37" x14ac:dyDescent="0.25">
      <c r="A181" s="14" t="s">
        <v>160</v>
      </c>
      <c r="B181" s="66">
        <f>C181+AG181+AH181-(AJ181+AK181)</f>
        <v>0</v>
      </c>
      <c r="C181" s="84">
        <v>0</v>
      </c>
      <c r="D181" s="84">
        <v>0</v>
      </c>
      <c r="E181" s="125">
        <v>0.7</v>
      </c>
      <c r="F181" s="125">
        <v>2.5</v>
      </c>
      <c r="G181" s="125">
        <v>6.2</v>
      </c>
      <c r="H181" s="84">
        <v>0</v>
      </c>
      <c r="I181" s="84">
        <v>0</v>
      </c>
      <c r="J181" s="57"/>
      <c r="K181" s="293"/>
      <c r="L181" s="293"/>
      <c r="M181" s="293"/>
      <c r="N181" s="293"/>
      <c r="O181" s="293"/>
      <c r="P181" s="293"/>
      <c r="Q181" s="293"/>
      <c r="R181" s="343"/>
      <c r="S181" s="57"/>
      <c r="T181" s="57"/>
      <c r="U181" s="59"/>
      <c r="V181" s="59"/>
      <c r="W181" s="59"/>
      <c r="X181" s="59"/>
      <c r="Y181" s="59"/>
      <c r="Z181" s="59"/>
      <c r="AA181" s="59"/>
      <c r="AB181" s="59"/>
      <c r="AC181" s="59"/>
      <c r="AD181" s="80"/>
      <c r="AE181" s="57"/>
      <c r="AF181" s="67"/>
      <c r="AG181" s="71">
        <v>0</v>
      </c>
      <c r="AH181" s="162">
        <v>0</v>
      </c>
      <c r="AI181" s="71"/>
      <c r="AJ181" s="71">
        <v>0</v>
      </c>
      <c r="AK181" s="71">
        <v>0</v>
      </c>
    </row>
    <row r="182" spans="1:37" x14ac:dyDescent="0.25">
      <c r="A182" s="85" t="s">
        <v>164</v>
      </c>
      <c r="B182" s="56">
        <f>B180+B181</f>
        <v>16.128000000000124</v>
      </c>
      <c r="C182" s="56">
        <f>C180+C181</f>
        <v>-2.8600000000001566</v>
      </c>
      <c r="D182" s="56">
        <f t="shared" ref="D182" si="149">D180+D181</f>
        <v>-6.7640000000000526</v>
      </c>
      <c r="E182" s="56">
        <f>E180+E181</f>
        <v>-20.384000000000075</v>
      </c>
      <c r="F182" s="56">
        <f>F180+F181</f>
        <v>-17.353999999999964</v>
      </c>
      <c r="G182" s="56">
        <f>G180+G181</f>
        <v>-7.9900000000000775</v>
      </c>
      <c r="H182" s="56">
        <f>H180+H181</f>
        <v>107.65599999999986</v>
      </c>
      <c r="I182" s="56">
        <f>I180+I181</f>
        <v>18.802000000000099</v>
      </c>
      <c r="J182" s="57"/>
      <c r="K182" s="283">
        <f t="shared" ref="K182:Q184" si="150">B182/$B$150</f>
        <v>0.1846830340784181</v>
      </c>
      <c r="L182" s="283">
        <f t="shared" si="150"/>
        <v>-3.2750091608649591E-2</v>
      </c>
      <c r="M182" s="283">
        <f t="shared" si="150"/>
        <v>-7.7455111762550849E-2</v>
      </c>
      <c r="N182" s="283">
        <f t="shared" si="150"/>
        <v>-0.23341883473799971</v>
      </c>
      <c r="O182" s="283">
        <f t="shared" si="150"/>
        <v>-0.19872205936240303</v>
      </c>
      <c r="P182" s="283">
        <f t="shared" si="150"/>
        <v>-9.1494137046537916E-2</v>
      </c>
      <c r="Q182" s="283">
        <f t="shared" si="150"/>
        <v>1.2327775742030009</v>
      </c>
      <c r="R182" s="343"/>
      <c r="S182" s="57"/>
      <c r="T182" s="57"/>
      <c r="U182" s="58"/>
      <c r="V182" s="58"/>
      <c r="W182" s="80"/>
      <c r="X182" s="80"/>
      <c r="Y182" s="80"/>
      <c r="Z182" s="80"/>
      <c r="AA182" s="80"/>
      <c r="AB182" s="80"/>
      <c r="AC182" s="80"/>
      <c r="AD182" s="80"/>
      <c r="AE182" s="57"/>
      <c r="AF182" s="61"/>
      <c r="AG182" s="83" t="e">
        <f>SUM(AG180:AG181)</f>
        <v>#REF!</v>
      </c>
      <c r="AH182" s="163" t="e">
        <f t="shared" ref="AH182:AK182" si="151">SUM(AH180:AH181)</f>
        <v>#REF!</v>
      </c>
      <c r="AI182" s="83"/>
      <c r="AJ182" s="83" t="e">
        <f t="shared" si="151"/>
        <v>#REF!</v>
      </c>
      <c r="AK182" s="83" t="e">
        <f t="shared" si="151"/>
        <v>#REF!</v>
      </c>
    </row>
    <row r="183" spans="1:37" x14ac:dyDescent="0.25">
      <c r="A183" s="14" t="s">
        <v>154</v>
      </c>
      <c r="B183" s="66">
        <f>C184</f>
        <v>83.505999999999673</v>
      </c>
      <c r="C183" s="126">
        <f>D184</f>
        <v>86.365999999999829</v>
      </c>
      <c r="D183" s="126">
        <f t="shared" ref="D183" si="152">E184</f>
        <v>93.129999999999882</v>
      </c>
      <c r="E183" s="66">
        <f>F184</f>
        <v>113.51399999999995</v>
      </c>
      <c r="F183" s="67">
        <f>G184</f>
        <v>130.86799999999991</v>
      </c>
      <c r="G183" s="131">
        <f>H184-SUM(E181:G181)</f>
        <v>138.85799999999998</v>
      </c>
      <c r="H183" s="126">
        <f>I184</f>
        <v>40.602000000000103</v>
      </c>
      <c r="I183" s="336">
        <v>21.8</v>
      </c>
      <c r="J183" s="57"/>
      <c r="K183" s="293">
        <f t="shared" si="150"/>
        <v>0.95623396848661968</v>
      </c>
      <c r="L183" s="293">
        <f t="shared" si="150"/>
        <v>0.98898406009526918</v>
      </c>
      <c r="M183" s="293">
        <f t="shared" si="150"/>
        <v>1.0664391718578201</v>
      </c>
      <c r="N183" s="293">
        <f t="shared" si="150"/>
        <v>1.2998580065958198</v>
      </c>
      <c r="O183" s="293">
        <f t="shared" si="150"/>
        <v>1.4985800659582227</v>
      </c>
      <c r="P183" s="293">
        <f t="shared" si="150"/>
        <v>1.5900742030047605</v>
      </c>
      <c r="Q183" s="293">
        <f t="shared" si="150"/>
        <v>0.46493679003297944</v>
      </c>
      <c r="R183" s="343"/>
      <c r="S183" s="57"/>
      <c r="T183" s="57"/>
      <c r="U183" s="18">
        <f>_xlfn.RRI(5.5,H183,B183)</f>
        <v>0.14009238848317374</v>
      </c>
      <c r="V183" s="18">
        <f>_xlfn.RRI(5,H183,C183)</f>
        <v>0.16294473222287942</v>
      </c>
      <c r="W183" s="18">
        <f t="shared" si="117"/>
        <v>0.32408575138393353</v>
      </c>
      <c r="X183" s="18">
        <f t="shared" ref="X183:AC184" si="153">(B183-C183)/C183</f>
        <v>-3.3114883171620327E-2</v>
      </c>
      <c r="Y183" s="18">
        <f t="shared" si="153"/>
        <v>-7.2629657468056066E-2</v>
      </c>
      <c r="Z183" s="18">
        <f t="shared" si="153"/>
        <v>-0.1795725637366323</v>
      </c>
      <c r="AA183" s="18">
        <f t="shared" si="153"/>
        <v>-0.13260690161078315</v>
      </c>
      <c r="AB183" s="18">
        <f t="shared" si="153"/>
        <v>-5.7540797073269583E-2</v>
      </c>
      <c r="AC183" s="18">
        <f t="shared" si="153"/>
        <v>2.4199793113639627</v>
      </c>
      <c r="AD183" s="32"/>
      <c r="AE183" s="57"/>
      <c r="AF183" s="67"/>
      <c r="AG183" s="127" t="e">
        <f>AH184</f>
        <v>#REF!</v>
      </c>
      <c r="AH183" s="164">
        <v>33.299999999999997</v>
      </c>
      <c r="AI183" s="127"/>
      <c r="AJ183" s="127" t="e">
        <f>AK184</f>
        <v>#REF!</v>
      </c>
      <c r="AK183" s="127">
        <v>45.5</v>
      </c>
    </row>
    <row r="184" spans="1:37" ht="15.75" thickBot="1" x14ac:dyDescent="0.3">
      <c r="A184" s="6" t="s">
        <v>155</v>
      </c>
      <c r="B184" s="101">
        <f t="shared" ref="B184:F184" si="154">SUM(B182:B183)</f>
        <v>99.633999999999801</v>
      </c>
      <c r="C184" s="101">
        <f t="shared" si="154"/>
        <v>83.505999999999673</v>
      </c>
      <c r="D184" s="101">
        <f t="shared" si="154"/>
        <v>86.365999999999829</v>
      </c>
      <c r="E184" s="101">
        <f t="shared" si="154"/>
        <v>93.129999999999882</v>
      </c>
      <c r="F184" s="101">
        <f t="shared" si="154"/>
        <v>113.51399999999995</v>
      </c>
      <c r="G184" s="101">
        <f>SUM(G182:G183)</f>
        <v>130.86799999999991</v>
      </c>
      <c r="H184" s="101">
        <f t="shared" ref="H184:I184" si="155">SUM(H182:H183)</f>
        <v>148.25799999999998</v>
      </c>
      <c r="I184" s="350">
        <f t="shared" si="155"/>
        <v>40.602000000000103</v>
      </c>
      <c r="J184" s="69"/>
      <c r="K184" s="75">
        <f t="shared" si="150"/>
        <v>1.1409170025650377</v>
      </c>
      <c r="L184" s="75">
        <f t="shared" si="150"/>
        <v>0.95623396848661968</v>
      </c>
      <c r="M184" s="75">
        <f t="shared" si="150"/>
        <v>0.98898406009526918</v>
      </c>
      <c r="N184" s="75">
        <f t="shared" si="150"/>
        <v>1.0664391718578201</v>
      </c>
      <c r="O184" s="75">
        <f t="shared" si="150"/>
        <v>1.2998580065958198</v>
      </c>
      <c r="P184" s="75">
        <f t="shared" si="150"/>
        <v>1.4985800659582227</v>
      </c>
      <c r="Q184" s="75">
        <f t="shared" si="150"/>
        <v>1.6977143642359807</v>
      </c>
      <c r="R184" s="283"/>
      <c r="S184" s="69"/>
      <c r="T184" s="342"/>
      <c r="U184" s="99">
        <f>_xlfn.RRI(5.5,H184,B184)</f>
        <v>-6.9714482861939597E-2</v>
      </c>
      <c r="V184" s="19">
        <f>_xlfn.RRI(5,H184,C184)</f>
        <v>-0.10846189743235279</v>
      </c>
      <c r="W184" s="19">
        <f t="shared" si="117"/>
        <v>-5.7013951463234409E-2</v>
      </c>
      <c r="X184" s="19">
        <f t="shared" si="153"/>
        <v>0.19313582257562559</v>
      </c>
      <c r="Y184" s="19">
        <f t="shared" si="153"/>
        <v>-3.3114883171620327E-2</v>
      </c>
      <c r="Z184" s="19">
        <f t="shared" si="153"/>
        <v>-7.2629657468056066E-2</v>
      </c>
      <c r="AA184" s="19">
        <f t="shared" si="153"/>
        <v>-0.1795725637366323</v>
      </c>
      <c r="AB184" s="19">
        <f t="shared" si="153"/>
        <v>-0.13260690161078315</v>
      </c>
      <c r="AC184" s="100">
        <f t="shared" si="153"/>
        <v>-0.11729552536794018</v>
      </c>
      <c r="AD184" s="344"/>
      <c r="AE184" s="69"/>
      <c r="AF184" s="26"/>
      <c r="AG184" s="122" t="e">
        <f>AG180+AG183</f>
        <v>#REF!</v>
      </c>
      <c r="AH184" s="165" t="e">
        <f>SUM(AH182:AH183)</f>
        <v>#REF!</v>
      </c>
      <c r="AI184" s="141"/>
      <c r="AJ184" s="122" t="e">
        <f>AJ180+AJ183</f>
        <v>#REF!</v>
      </c>
      <c r="AK184" s="122" t="e">
        <f>AK180+AK183</f>
        <v>#REF!</v>
      </c>
    </row>
    <row r="185" spans="1:37" ht="15.75" thickTop="1" x14ac:dyDescent="0.25">
      <c r="B185" s="61"/>
      <c r="C185" s="57"/>
      <c r="D185" s="57"/>
      <c r="E185" s="57"/>
      <c r="F185" s="57"/>
      <c r="G185" s="57"/>
      <c r="H185" s="57"/>
      <c r="I185" s="57"/>
      <c r="J185" s="79"/>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61"/>
      <c r="AH185" s="61"/>
      <c r="AI185" s="61"/>
      <c r="AJ185" s="61"/>
      <c r="AK185" s="61"/>
    </row>
    <row r="186" spans="1:37" x14ac:dyDescent="0.25">
      <c r="A186" s="14" t="s">
        <v>157</v>
      </c>
      <c r="B186" s="61">
        <f>B154*P188</f>
        <v>-47.269821452458181</v>
      </c>
      <c r="C186" s="86">
        <v>-41.3</v>
      </c>
      <c r="D186" s="86">
        <v>-38.1</v>
      </c>
      <c r="E186" s="86">
        <v>-50.1</v>
      </c>
      <c r="F186" s="86">
        <v>-60.9</v>
      </c>
      <c r="G186" s="86">
        <v>-49.8</v>
      </c>
      <c r="H186" s="86">
        <v>-37.6</v>
      </c>
      <c r="I186" s="336">
        <v>-42.7</v>
      </c>
      <c r="J186" s="57"/>
      <c r="K186" s="58">
        <f>B155/B154</f>
        <v>-0.14540086574118177</v>
      </c>
      <c r="L186" s="58">
        <f t="shared" ref="L186:R186" si="156">C155/C154</f>
        <v>-0.13621372031662266</v>
      </c>
      <c r="M186" s="58">
        <f t="shared" si="156"/>
        <v>-0.11981132075471698</v>
      </c>
      <c r="N186" s="58">
        <f t="shared" si="156"/>
        <v>-0.150767378874511</v>
      </c>
      <c r="O186" s="58">
        <f t="shared" si="156"/>
        <v>-0.18007096392667046</v>
      </c>
      <c r="P186" s="58">
        <f t="shared" si="156"/>
        <v>-0.16242661448140905</v>
      </c>
      <c r="Q186" s="58">
        <f t="shared" si="156"/>
        <v>-0.12824010914051839</v>
      </c>
      <c r="R186" s="58">
        <f t="shared" si="156"/>
        <v>-0.1402759526938239</v>
      </c>
      <c r="S186" s="57"/>
      <c r="T186" s="57"/>
      <c r="U186" s="57"/>
      <c r="V186" s="57"/>
      <c r="W186" s="57"/>
      <c r="X186" s="57"/>
      <c r="Y186" s="57"/>
      <c r="Z186" s="57"/>
      <c r="AA186" s="57"/>
      <c r="AB186" s="57"/>
      <c r="AC186" s="57"/>
      <c r="AD186" s="57"/>
      <c r="AE186" s="57"/>
      <c r="AF186" s="57"/>
      <c r="AG186" s="61"/>
      <c r="AH186" s="61"/>
      <c r="AI186" s="61"/>
      <c r="AJ186" s="61"/>
      <c r="AK186" s="61"/>
    </row>
    <row r="187" spans="1:37" x14ac:dyDescent="0.25">
      <c r="A187" s="14" t="s">
        <v>101</v>
      </c>
      <c r="B187" s="61">
        <f>B154*P189</f>
        <v>-19.090601728451141</v>
      </c>
      <c r="C187" s="86">
        <v>-20.7</v>
      </c>
      <c r="D187" s="86">
        <v>-23.4</v>
      </c>
      <c r="E187" s="86">
        <v>-13.4</v>
      </c>
      <c r="F187" s="86">
        <v>-16.8</v>
      </c>
      <c r="G187" s="86">
        <v>-25.9</v>
      </c>
      <c r="H187" s="86">
        <v>-16.600000000000001</v>
      </c>
      <c r="I187" s="336">
        <v>-11.6</v>
      </c>
      <c r="J187" s="57"/>
      <c r="K187" s="58">
        <f>B156/B154</f>
        <v>-5.8722244627656552E-2</v>
      </c>
      <c r="L187" s="58">
        <f t="shared" ref="L187:R187" si="157">C156/C154</f>
        <v>-6.8271767810026376E-2</v>
      </c>
      <c r="M187" s="58">
        <f t="shared" si="157"/>
        <v>-7.3584905660377356E-2</v>
      </c>
      <c r="N187" s="58">
        <f t="shared" si="157"/>
        <v>-4.0325007523322305E-2</v>
      </c>
      <c r="O187" s="58">
        <f t="shared" si="157"/>
        <v>-4.9674748669426338E-2</v>
      </c>
      <c r="P187" s="58">
        <f t="shared" si="157"/>
        <v>-8.4474885844748882E-2</v>
      </c>
      <c r="Q187" s="58">
        <f t="shared" si="157"/>
        <v>-5.6616643929058658E-2</v>
      </c>
      <c r="R187" s="58">
        <f t="shared" si="157"/>
        <v>-3.8107752956635994E-2</v>
      </c>
      <c r="S187" s="57"/>
      <c r="T187" s="57"/>
      <c r="U187" s="57"/>
      <c r="V187" s="57"/>
      <c r="W187" s="57"/>
      <c r="X187" s="57"/>
      <c r="Y187" s="57"/>
      <c r="Z187" s="57"/>
      <c r="AA187" s="57"/>
      <c r="AB187" s="57"/>
      <c r="AC187" s="57"/>
      <c r="AD187" s="57"/>
      <c r="AE187" s="57"/>
      <c r="AF187" s="57"/>
      <c r="AG187" s="61"/>
      <c r="AH187" s="61"/>
      <c r="AI187" s="61"/>
      <c r="AJ187" s="61"/>
      <c r="AK187" s="61"/>
    </row>
    <row r="188" spans="1:37" x14ac:dyDescent="0.25">
      <c r="A188" s="14" t="s">
        <v>158</v>
      </c>
      <c r="B188" s="79">
        <f>C188+AG188+AH188-(AJ188+AK188)</f>
        <v>5</v>
      </c>
      <c r="C188" s="55">
        <v>4.2</v>
      </c>
      <c r="D188" s="55">
        <v>0</v>
      </c>
      <c r="E188" s="55">
        <v>0</v>
      </c>
      <c r="F188" s="55">
        <v>0</v>
      </c>
      <c r="G188" s="55">
        <v>0</v>
      </c>
      <c r="H188" s="55">
        <v>0</v>
      </c>
      <c r="I188" s="55">
        <v>0</v>
      </c>
      <c r="J188" s="57"/>
      <c r="K188" s="57" t="s">
        <v>544</v>
      </c>
      <c r="L188" s="57"/>
      <c r="M188" s="57"/>
      <c r="N188" s="57"/>
      <c r="O188" s="57"/>
      <c r="P188" s="62">
        <f>AVERAGE(L186:R186)</f>
        <v>-0.14540086574118177</v>
      </c>
      <c r="Q188" s="57"/>
      <c r="R188" s="57"/>
      <c r="S188" s="57"/>
      <c r="T188" s="57"/>
      <c r="U188" s="57"/>
      <c r="V188" s="57"/>
      <c r="W188" s="57"/>
      <c r="X188" s="57"/>
      <c r="Y188" s="57"/>
      <c r="Z188" s="57"/>
      <c r="AA188" s="57"/>
      <c r="AB188" s="57"/>
      <c r="AC188" s="57"/>
      <c r="AD188" s="57"/>
      <c r="AE188" s="57"/>
      <c r="AF188" s="57"/>
      <c r="AG188" s="116">
        <v>1.4</v>
      </c>
      <c r="AH188" s="116">
        <v>1.5</v>
      </c>
      <c r="AI188" s="123"/>
      <c r="AJ188" s="116">
        <v>1.1000000000000001</v>
      </c>
      <c r="AK188" s="116">
        <v>1</v>
      </c>
    </row>
    <row r="189" spans="1:37" x14ac:dyDescent="0.25">
      <c r="A189" s="228" t="s">
        <v>442</v>
      </c>
      <c r="B189" s="79">
        <f>C189+AG189+AH189-(AJ189+AK189)</f>
        <v>28.700000000000003</v>
      </c>
      <c r="C189" s="229">
        <v>29.3</v>
      </c>
      <c r="D189" s="229">
        <v>30.5</v>
      </c>
      <c r="E189" s="229">
        <v>31.5</v>
      </c>
      <c r="F189" s="229">
        <v>31.1</v>
      </c>
      <c r="G189" s="229">
        <v>49.4</v>
      </c>
      <c r="H189" s="229">
        <v>50.4</v>
      </c>
      <c r="I189" s="229"/>
      <c r="J189" s="57"/>
      <c r="K189" s="57" t="s">
        <v>545</v>
      </c>
      <c r="L189" s="57"/>
      <c r="M189" s="57"/>
      <c r="N189" s="57"/>
      <c r="O189" s="57"/>
      <c r="P189" s="62">
        <f>AVERAGE(L187:R187)</f>
        <v>-5.8722244627656559E-2</v>
      </c>
      <c r="Q189" s="57"/>
      <c r="R189" s="57"/>
      <c r="S189" s="57"/>
      <c r="T189" s="57"/>
      <c r="U189" s="57"/>
      <c r="V189" s="57"/>
      <c r="W189" s="57"/>
      <c r="X189" s="57"/>
      <c r="Y189" s="57"/>
      <c r="Z189" s="57"/>
      <c r="AA189" s="57"/>
      <c r="AB189" s="57"/>
      <c r="AC189" s="57"/>
      <c r="AD189" s="57"/>
      <c r="AE189" s="57"/>
      <c r="AF189" s="57"/>
      <c r="AG189" s="230">
        <v>14.4</v>
      </c>
      <c r="AH189" s="230">
        <v>7</v>
      </c>
      <c r="AI189" s="123"/>
      <c r="AJ189" s="230">
        <v>14.6</v>
      </c>
      <c r="AK189" s="230">
        <v>7.4</v>
      </c>
    </row>
    <row r="190" spans="1:37" x14ac:dyDescent="0.25">
      <c r="A190" s="228"/>
      <c r="B190" s="61"/>
      <c r="C190" s="229"/>
      <c r="D190" s="229"/>
      <c r="E190" s="229"/>
      <c r="F190" s="229"/>
      <c r="G190" s="229"/>
      <c r="H190" s="229"/>
      <c r="I190" s="229"/>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230"/>
      <c r="AH190" s="230"/>
      <c r="AI190" s="123"/>
      <c r="AJ190" s="230"/>
      <c r="AK190" s="230"/>
    </row>
    <row r="191" spans="1:37" s="1" customFormat="1" x14ac:dyDescent="0.25">
      <c r="A191" s="1" t="s">
        <v>111</v>
      </c>
      <c r="B191" s="1" t="s">
        <v>476</v>
      </c>
    </row>
    <row r="192" spans="1:37" s="1" customFormat="1" x14ac:dyDescent="0.25">
      <c r="A192" s="1" t="s">
        <v>328</v>
      </c>
    </row>
    <row r="193" spans="1:37" s="1" customFormat="1" x14ac:dyDescent="0.25">
      <c r="A193" s="1" t="s">
        <v>3</v>
      </c>
      <c r="H193" s="2"/>
      <c r="I193" s="2"/>
      <c r="Q193" s="2"/>
      <c r="R193" s="2"/>
      <c r="T193" s="1" t="s">
        <v>536</v>
      </c>
      <c r="U193" s="1" t="s">
        <v>263</v>
      </c>
      <c r="V193" s="1" t="s">
        <v>4</v>
      </c>
      <c r="W193" s="1" t="s">
        <v>5</v>
      </c>
      <c r="X193" s="22" t="s">
        <v>75</v>
      </c>
      <c r="Y193" s="1" t="s">
        <v>6</v>
      </c>
      <c r="Z193" s="1" t="s">
        <v>7</v>
      </c>
      <c r="AA193" s="1" t="s">
        <v>8</v>
      </c>
      <c r="AB193" s="1" t="s">
        <v>9</v>
      </c>
      <c r="AC193" s="1" t="s">
        <v>10</v>
      </c>
      <c r="AD193" s="1" t="s">
        <v>537</v>
      </c>
      <c r="AE193" s="236"/>
      <c r="AF193" s="259"/>
      <c r="AG193" s="259"/>
      <c r="AH193" s="259"/>
      <c r="AI193" s="259"/>
      <c r="AJ193" s="259"/>
      <c r="AK193" s="259"/>
    </row>
    <row r="194" spans="1:37" s="1" customFormat="1" ht="15.75" thickBot="1" x14ac:dyDescent="0.3">
      <c r="A194" s="2" t="s">
        <v>11</v>
      </c>
      <c r="B194" s="17" t="s">
        <v>72</v>
      </c>
      <c r="C194" s="3">
        <v>2022</v>
      </c>
      <c r="D194" s="3">
        <v>2021</v>
      </c>
      <c r="E194" s="3">
        <v>2020</v>
      </c>
      <c r="F194" s="3">
        <v>2019</v>
      </c>
      <c r="G194" s="3">
        <v>2018</v>
      </c>
      <c r="H194" s="3">
        <v>2017</v>
      </c>
      <c r="I194" s="3">
        <v>2016</v>
      </c>
      <c r="K194" s="17" t="s">
        <v>72</v>
      </c>
      <c r="L194" s="3">
        <v>2022</v>
      </c>
      <c r="M194" s="3">
        <v>2021</v>
      </c>
      <c r="N194" s="3">
        <v>2020</v>
      </c>
      <c r="O194" s="3">
        <v>2019</v>
      </c>
      <c r="P194" s="3">
        <v>2018</v>
      </c>
      <c r="Q194" s="3">
        <v>2017</v>
      </c>
      <c r="R194" s="3">
        <v>2016</v>
      </c>
      <c r="T194" s="4" t="s">
        <v>12</v>
      </c>
      <c r="U194" s="4" t="s">
        <v>12</v>
      </c>
      <c r="V194" s="4" t="s">
        <v>12</v>
      </c>
      <c r="W194" s="4" t="s">
        <v>13</v>
      </c>
      <c r="X194" s="21" t="s">
        <v>72</v>
      </c>
      <c r="Y194" s="3">
        <v>2022</v>
      </c>
      <c r="Z194" s="3">
        <v>2021</v>
      </c>
      <c r="AA194" s="3">
        <v>2020</v>
      </c>
      <c r="AB194" s="3">
        <v>2019</v>
      </c>
      <c r="AC194" s="3">
        <v>2018</v>
      </c>
      <c r="AD194" s="3">
        <v>2017</v>
      </c>
      <c r="AE194" s="7"/>
      <c r="AF194" s="260"/>
      <c r="AG194" s="260"/>
      <c r="AH194" s="260"/>
      <c r="AI194" s="260"/>
      <c r="AJ194" s="260"/>
      <c r="AK194" s="260"/>
    </row>
    <row r="195" spans="1:37" x14ac:dyDescent="0.25">
      <c r="A195" s="195" t="s">
        <v>329</v>
      </c>
      <c r="B195" s="233">
        <f t="shared" ref="B195:J195" si="158">B55</f>
        <v>2109.3000000000002</v>
      </c>
      <c r="C195" s="233">
        <f t="shared" si="158"/>
        <v>1980.5</v>
      </c>
      <c r="D195" s="233">
        <f t="shared" si="158"/>
        <v>1678.6</v>
      </c>
      <c r="E195" s="233">
        <f t="shared" si="158"/>
        <v>1669.1</v>
      </c>
      <c r="F195" s="233">
        <f t="shared" si="158"/>
        <v>1637</v>
      </c>
      <c r="G195" s="233">
        <f t="shared" si="158"/>
        <v>1562.7</v>
      </c>
      <c r="H195" s="233">
        <f t="shared" si="158"/>
        <v>1475.5</v>
      </c>
      <c r="I195" s="233">
        <f t="shared" si="158"/>
        <v>1416.2</v>
      </c>
      <c r="J195" s="61">
        <f t="shared" si="158"/>
        <v>0</v>
      </c>
      <c r="K195" s="61"/>
      <c r="L195" s="61"/>
      <c r="M195" s="61"/>
      <c r="N195" s="61"/>
      <c r="O195" s="61"/>
      <c r="P195" s="61"/>
      <c r="Q195" s="61"/>
      <c r="R195" s="61"/>
      <c r="S195" s="61"/>
      <c r="T195" s="61"/>
      <c r="U195" s="61"/>
      <c r="V195" s="61"/>
      <c r="W195" s="61"/>
      <c r="X195" s="61"/>
      <c r="Y195" s="61"/>
      <c r="Z195" s="61"/>
      <c r="AA195" s="61"/>
      <c r="AB195" s="61"/>
      <c r="AC195" s="61"/>
      <c r="AD195" s="61"/>
      <c r="AE195" s="61">
        <f>AE55</f>
        <v>0</v>
      </c>
      <c r="AF195" s="61"/>
      <c r="AG195" s="61"/>
      <c r="AH195" s="61"/>
      <c r="AI195" s="61"/>
      <c r="AJ195" s="61"/>
      <c r="AK195" s="61"/>
    </row>
    <row r="196" spans="1:37" x14ac:dyDescent="0.25">
      <c r="A196" s="228" t="s">
        <v>330</v>
      </c>
      <c r="B196" s="59">
        <f>B197/B195</f>
        <v>8.0182050917366007E-2</v>
      </c>
      <c r="C196" s="59">
        <f t="shared" ref="C196:I196" si="159">C197/C195</f>
        <v>7.9192123201211731E-2</v>
      </c>
      <c r="D196" s="59">
        <f t="shared" si="159"/>
        <v>7.9849874895746423E-2</v>
      </c>
      <c r="E196" s="59">
        <f t="shared" si="159"/>
        <v>7.0167155952309573E-2</v>
      </c>
      <c r="F196" s="59">
        <f t="shared" si="159"/>
        <v>5.4395846059865631E-2</v>
      </c>
      <c r="G196" s="59">
        <f t="shared" si="159"/>
        <v>6.4318167274588833E-2</v>
      </c>
      <c r="H196" s="59">
        <f t="shared" si="159"/>
        <v>0.1127455099966113</v>
      </c>
      <c r="I196" s="59">
        <f t="shared" si="159"/>
        <v>8.3040530998446563E-2</v>
      </c>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x14ac:dyDescent="0.25">
      <c r="A197" s="195" t="s">
        <v>331</v>
      </c>
      <c r="B197" s="234">
        <f t="shared" ref="B197:J197" si="160">B143</f>
        <v>169.12800000000013</v>
      </c>
      <c r="C197" s="234">
        <f t="shared" si="160"/>
        <v>156.83999999999983</v>
      </c>
      <c r="D197" s="234">
        <f t="shared" si="160"/>
        <v>134.03599999999994</v>
      </c>
      <c r="E197" s="234">
        <f t="shared" si="160"/>
        <v>117.1159999999999</v>
      </c>
      <c r="F197" s="234">
        <f t="shared" si="160"/>
        <v>89.046000000000035</v>
      </c>
      <c r="G197" s="234">
        <f t="shared" si="160"/>
        <v>100.50999999999998</v>
      </c>
      <c r="H197" s="234">
        <f t="shared" si="160"/>
        <v>166.35599999999997</v>
      </c>
      <c r="I197" s="234">
        <f t="shared" si="160"/>
        <v>117.60200000000002</v>
      </c>
      <c r="J197" s="56">
        <f t="shared" si="160"/>
        <v>0</v>
      </c>
      <c r="K197" s="56"/>
      <c r="L197" s="56"/>
      <c r="M197" s="56"/>
      <c r="N197" s="56"/>
      <c r="O197" s="56"/>
      <c r="P197" s="56"/>
      <c r="Q197" s="56"/>
      <c r="R197" s="56"/>
      <c r="S197" s="56"/>
      <c r="T197" s="56"/>
      <c r="U197" s="56"/>
      <c r="V197" s="56"/>
      <c r="W197" s="56"/>
      <c r="X197" s="56"/>
      <c r="Y197" s="56"/>
      <c r="Z197" s="56"/>
      <c r="AA197" s="56"/>
      <c r="AB197" s="56"/>
      <c r="AC197" s="56"/>
      <c r="AD197" s="56"/>
      <c r="AE197" s="56">
        <f>AE143</f>
        <v>0</v>
      </c>
      <c r="AF197" s="56"/>
      <c r="AG197" s="56"/>
      <c r="AH197" s="56"/>
      <c r="AI197" s="56"/>
      <c r="AJ197" s="56"/>
      <c r="AK197" s="56"/>
    </row>
    <row r="198" spans="1:37" x14ac:dyDescent="0.25">
      <c r="A198" s="228" t="s">
        <v>326</v>
      </c>
      <c r="B198" s="67">
        <f>B199-B197</f>
        <v>-81.799999999999969</v>
      </c>
      <c r="C198" s="67">
        <f t="shared" ref="C198:I198" si="161">C199-C197</f>
        <v>-45.199999999999989</v>
      </c>
      <c r="D198" s="67">
        <f t="shared" si="161"/>
        <v>-44.8</v>
      </c>
      <c r="E198" s="67">
        <f t="shared" si="161"/>
        <v>-16.599999999999994</v>
      </c>
      <c r="F198" s="67">
        <f t="shared" si="161"/>
        <v>14</v>
      </c>
      <c r="G198" s="67">
        <f t="shared" si="161"/>
        <v>-16.700000000000003</v>
      </c>
      <c r="H198" s="67">
        <f t="shared" si="161"/>
        <v>3.5999999999999943</v>
      </c>
      <c r="I198" s="67">
        <f t="shared" si="161"/>
        <v>21.700000000000003</v>
      </c>
      <c r="J198" s="61"/>
      <c r="K198" s="61"/>
      <c r="L198" s="61"/>
      <c r="M198" s="61"/>
      <c r="N198" s="61"/>
      <c r="O198" s="61"/>
      <c r="P198" s="61"/>
      <c r="Q198" s="61"/>
      <c r="R198" s="61"/>
      <c r="S198" s="61"/>
      <c r="T198" s="61"/>
      <c r="U198" s="61"/>
      <c r="V198" s="61"/>
      <c r="W198" s="61"/>
      <c r="X198" s="61"/>
      <c r="Y198" s="61"/>
      <c r="Z198" s="61"/>
      <c r="AA198" s="61"/>
      <c r="AB198" s="61"/>
      <c r="AC198" s="61"/>
      <c r="AD198" s="61"/>
      <c r="AE198" s="61" t="e">
        <f t="shared" ref="AE198" si="162">AE199-AE197</f>
        <v>#REF!</v>
      </c>
      <c r="AF198" s="61"/>
      <c r="AG198" s="61"/>
      <c r="AH198" s="61"/>
      <c r="AI198" s="61"/>
      <c r="AJ198" s="61"/>
      <c r="AK198" s="61"/>
    </row>
    <row r="199" spans="1:37" x14ac:dyDescent="0.25">
      <c r="A199" s="195" t="s">
        <v>319</v>
      </c>
      <c r="B199" s="56">
        <f>B160</f>
        <v>87.328000000000159</v>
      </c>
      <c r="C199" s="56">
        <f t="shared" ref="C199:I200" si="163">C160</f>
        <v>111.63999999999984</v>
      </c>
      <c r="D199" s="56">
        <f t="shared" si="163"/>
        <v>89.235999999999947</v>
      </c>
      <c r="E199" s="56">
        <f t="shared" si="163"/>
        <v>100.51599999999991</v>
      </c>
      <c r="F199" s="56">
        <f t="shared" si="163"/>
        <v>103.04600000000003</v>
      </c>
      <c r="G199" s="56">
        <f t="shared" si="163"/>
        <v>83.809999999999974</v>
      </c>
      <c r="H199" s="56">
        <f t="shared" si="163"/>
        <v>169.95599999999996</v>
      </c>
      <c r="I199" s="56">
        <f t="shared" si="163"/>
        <v>139.30200000000002</v>
      </c>
      <c r="J199" s="56"/>
      <c r="K199" s="56"/>
      <c r="L199" s="56"/>
      <c r="M199" s="56"/>
      <c r="N199" s="56"/>
      <c r="O199" s="56"/>
      <c r="P199" s="56"/>
      <c r="Q199" s="56"/>
      <c r="R199" s="56"/>
      <c r="S199" s="56"/>
      <c r="T199" s="56"/>
      <c r="U199" s="56"/>
      <c r="V199" s="56"/>
      <c r="W199" s="56"/>
      <c r="X199" s="56"/>
      <c r="Y199" s="56"/>
      <c r="Z199" s="56"/>
      <c r="AA199" s="56"/>
      <c r="AB199" s="56"/>
      <c r="AC199" s="56"/>
      <c r="AD199" s="56"/>
      <c r="AE199" s="56" t="e">
        <f>#REF!</f>
        <v>#REF!</v>
      </c>
      <c r="AF199" s="56"/>
      <c r="AG199" s="56"/>
      <c r="AH199" s="56"/>
      <c r="AI199" s="56"/>
      <c r="AJ199" s="56"/>
      <c r="AK199" s="56"/>
    </row>
    <row r="200" spans="1:37" x14ac:dyDescent="0.25">
      <c r="A200" s="228" t="s">
        <v>135</v>
      </c>
      <c r="B200" s="67">
        <f>B161</f>
        <v>-112.10000000000001</v>
      </c>
      <c r="C200" s="67">
        <f t="shared" si="163"/>
        <v>-105.3</v>
      </c>
      <c r="D200" s="67">
        <f t="shared" si="163"/>
        <v>-125</v>
      </c>
      <c r="E200" s="67">
        <f t="shared" si="163"/>
        <v>-69.8</v>
      </c>
      <c r="F200" s="67">
        <f t="shared" si="163"/>
        <v>-37.200000000000003</v>
      </c>
      <c r="G200" s="67">
        <f t="shared" si="163"/>
        <v>-109.7</v>
      </c>
      <c r="H200" s="67">
        <f t="shared" si="163"/>
        <v>-67.5</v>
      </c>
      <c r="I200" s="67">
        <f t="shared" si="163"/>
        <v>-49.9</v>
      </c>
      <c r="J200" s="61"/>
      <c r="K200" s="61"/>
      <c r="L200" s="61"/>
      <c r="M200" s="61"/>
      <c r="N200" s="61"/>
      <c r="O200" s="61"/>
      <c r="P200" s="61"/>
      <c r="Q200" s="61"/>
      <c r="R200" s="61"/>
      <c r="S200" s="61"/>
      <c r="T200" s="61"/>
      <c r="U200" s="61"/>
      <c r="V200" s="61"/>
      <c r="W200" s="61"/>
      <c r="X200" s="61"/>
      <c r="Y200" s="61"/>
      <c r="Z200" s="61"/>
      <c r="AA200" s="61"/>
      <c r="AB200" s="61"/>
      <c r="AC200" s="61"/>
      <c r="AD200" s="61"/>
      <c r="AE200" s="61">
        <f>AE161</f>
        <v>0</v>
      </c>
      <c r="AF200" s="61"/>
      <c r="AG200" s="61"/>
      <c r="AH200" s="61"/>
      <c r="AI200" s="61"/>
      <c r="AJ200" s="61"/>
      <c r="AK200" s="61"/>
    </row>
    <row r="201" spans="1:37" x14ac:dyDescent="0.25">
      <c r="A201" s="195" t="s">
        <v>332</v>
      </c>
      <c r="B201" s="56">
        <f>SUM(B199:B200)</f>
        <v>-24.771999999999849</v>
      </c>
      <c r="C201" s="56">
        <f t="shared" ref="C201:I201" si="164">SUM(C199:C200)</f>
        <v>6.3399999999998471</v>
      </c>
      <c r="D201" s="56">
        <f t="shared" si="164"/>
        <v>-35.764000000000053</v>
      </c>
      <c r="E201" s="56">
        <f t="shared" si="164"/>
        <v>30.715999999999909</v>
      </c>
      <c r="F201" s="56">
        <f t="shared" si="164"/>
        <v>65.846000000000032</v>
      </c>
      <c r="G201" s="56">
        <f t="shared" si="164"/>
        <v>-25.890000000000029</v>
      </c>
      <c r="H201" s="56">
        <f t="shared" si="164"/>
        <v>102.45599999999996</v>
      </c>
      <c r="I201" s="56">
        <f t="shared" si="164"/>
        <v>89.402000000000015</v>
      </c>
      <c r="J201" s="56"/>
      <c r="K201" s="56"/>
      <c r="L201" s="56"/>
      <c r="M201" s="56"/>
      <c r="N201" s="56"/>
      <c r="O201" s="56"/>
      <c r="P201" s="56"/>
      <c r="Q201" s="56"/>
      <c r="R201" s="56"/>
      <c r="S201" s="56"/>
      <c r="T201" s="41">
        <f>_xlfn.RRI(6,I201,C201)</f>
        <v>-0.35663563262650189</v>
      </c>
      <c r="U201" s="41"/>
      <c r="V201" s="41">
        <f>_xlfn.RRI(5,H201,C201)</f>
        <v>-0.42679446911310048</v>
      </c>
      <c r="W201" s="56"/>
      <c r="X201" s="56"/>
      <c r="Y201" s="56"/>
      <c r="Z201" s="56"/>
      <c r="AA201" s="56"/>
      <c r="AB201" s="56"/>
      <c r="AC201" s="56"/>
      <c r="AD201" s="56"/>
      <c r="AE201" s="56" t="e">
        <f t="shared" ref="AE201" si="165">SUM(AE199:AE200)</f>
        <v>#REF!</v>
      </c>
      <c r="AF201" s="56"/>
      <c r="AG201" s="56"/>
      <c r="AH201" s="56"/>
      <c r="AI201" s="56"/>
      <c r="AJ201" s="56"/>
      <c r="AK201" s="56"/>
    </row>
    <row r="202" spans="1:37" x14ac:dyDescent="0.25">
      <c r="A202" s="228" t="s">
        <v>140</v>
      </c>
      <c r="B202" s="61">
        <f t="shared" ref="B202:I202" si="166">B166</f>
        <v>-14.7</v>
      </c>
      <c r="C202" s="61">
        <f t="shared" si="166"/>
        <v>-14.7</v>
      </c>
      <c r="D202" s="61">
        <f t="shared" si="166"/>
        <v>0</v>
      </c>
      <c r="E202" s="61">
        <f t="shared" si="166"/>
        <v>0</v>
      </c>
      <c r="F202" s="61">
        <f t="shared" si="166"/>
        <v>0</v>
      </c>
      <c r="G202" s="61">
        <f t="shared" si="166"/>
        <v>0</v>
      </c>
      <c r="H202" s="61">
        <f t="shared" si="166"/>
        <v>0</v>
      </c>
      <c r="I202" s="61">
        <f t="shared" si="166"/>
        <v>0</v>
      </c>
      <c r="J202" s="57"/>
      <c r="K202" s="57"/>
      <c r="L202" s="57"/>
      <c r="M202" s="57"/>
      <c r="N202" s="57"/>
      <c r="O202" s="57"/>
      <c r="P202" s="57"/>
      <c r="Q202" s="57"/>
      <c r="R202" s="57"/>
      <c r="S202" s="57"/>
      <c r="T202" s="41"/>
      <c r="U202" s="41"/>
      <c r="V202" s="41"/>
      <c r="W202" s="57"/>
      <c r="X202" s="57"/>
      <c r="Y202" s="57"/>
      <c r="Z202" s="57"/>
      <c r="AA202" s="57"/>
      <c r="AB202" s="57"/>
      <c r="AC202" s="57"/>
      <c r="AD202" s="57"/>
      <c r="AE202" s="57"/>
      <c r="AF202" s="57"/>
      <c r="AG202" s="230"/>
      <c r="AH202" s="230"/>
      <c r="AI202" s="261"/>
      <c r="AJ202" s="230"/>
      <c r="AK202" s="230"/>
    </row>
    <row r="203" spans="1:37" x14ac:dyDescent="0.25">
      <c r="A203" s="228" t="s">
        <v>333</v>
      </c>
      <c r="B203" s="61">
        <f>SUM(B171:B172)</f>
        <v>-113</v>
      </c>
      <c r="C203" s="61">
        <f t="shared" ref="C203:I203" si="167">SUM(C171:C172)</f>
        <v>-2</v>
      </c>
      <c r="D203" s="61">
        <f t="shared" si="167"/>
        <v>-10.1</v>
      </c>
      <c r="E203" s="61">
        <f t="shared" si="167"/>
        <v>-70.7</v>
      </c>
      <c r="F203" s="61">
        <f t="shared" si="167"/>
        <v>-29.7</v>
      </c>
      <c r="G203" s="61">
        <f t="shared" si="167"/>
        <v>79.7</v>
      </c>
      <c r="H203" s="61">
        <f t="shared" si="167"/>
        <v>-46.700000000000045</v>
      </c>
      <c r="I203" s="61">
        <f t="shared" si="167"/>
        <v>-31.7</v>
      </c>
      <c r="J203" s="57"/>
      <c r="K203" s="57"/>
      <c r="L203" s="57"/>
      <c r="M203" s="57"/>
      <c r="N203" s="57"/>
      <c r="O203" s="57"/>
      <c r="P203" s="57"/>
      <c r="Q203" s="57"/>
      <c r="R203" s="57"/>
      <c r="S203" s="57"/>
      <c r="T203" s="41">
        <f t="shared" ref="T203:T204" si="168">_xlfn.RRI(6,I203,C203)</f>
        <v>-0.36904974204907781</v>
      </c>
      <c r="U203" s="41">
        <f t="shared" ref="U203:U205" si="169">_xlfn.RRI(5.5,H203,B203)</f>
        <v>0.1742885590426817</v>
      </c>
      <c r="V203" s="41">
        <f t="shared" ref="V203:V205" si="170">_xlfn.RRI(5,H203,C203)</f>
        <v>-0.46747178496603192</v>
      </c>
      <c r="W203" s="57"/>
      <c r="X203" s="57"/>
      <c r="Y203" s="57"/>
      <c r="Z203" s="57"/>
      <c r="AA203" s="57"/>
      <c r="AB203" s="57"/>
      <c r="AC203" s="57"/>
      <c r="AD203" s="57"/>
      <c r="AE203" s="57"/>
      <c r="AF203" s="57"/>
      <c r="AG203" s="230"/>
      <c r="AH203" s="230"/>
      <c r="AI203" s="261"/>
      <c r="AJ203" s="230"/>
      <c r="AK203" s="230"/>
    </row>
    <row r="204" spans="1:37" x14ac:dyDescent="0.25">
      <c r="A204" s="14" t="s">
        <v>136</v>
      </c>
      <c r="B204" s="61">
        <f t="shared" ref="B204:I204" si="171">B162</f>
        <v>0</v>
      </c>
      <c r="C204" s="61">
        <f t="shared" si="171"/>
        <v>0</v>
      </c>
      <c r="D204" s="61">
        <f t="shared" si="171"/>
        <v>0</v>
      </c>
      <c r="E204" s="61">
        <f t="shared" si="171"/>
        <v>0</v>
      </c>
      <c r="F204" s="61">
        <f t="shared" si="171"/>
        <v>0</v>
      </c>
      <c r="G204" s="61">
        <f t="shared" si="171"/>
        <v>-264</v>
      </c>
      <c r="H204" s="61">
        <f t="shared" si="171"/>
        <v>0</v>
      </c>
      <c r="I204" s="61">
        <f t="shared" si="171"/>
        <v>0</v>
      </c>
      <c r="J204" s="57"/>
      <c r="K204" s="82"/>
      <c r="L204" s="82"/>
      <c r="M204" s="82"/>
      <c r="N204" s="82"/>
      <c r="O204" s="82"/>
      <c r="P204" s="82"/>
      <c r="Q204" s="82"/>
      <c r="R204" s="82"/>
      <c r="S204" s="57"/>
      <c r="T204" s="41">
        <f t="shared" si="168"/>
        <v>0</v>
      </c>
      <c r="U204" s="41">
        <f t="shared" si="169"/>
        <v>0</v>
      </c>
      <c r="V204" s="41">
        <f t="shared" si="170"/>
        <v>0</v>
      </c>
      <c r="W204" s="80"/>
      <c r="X204" s="80"/>
      <c r="Y204" s="80"/>
      <c r="Z204" s="80"/>
      <c r="AA204" s="80"/>
      <c r="AB204" s="80"/>
      <c r="AC204" s="80"/>
      <c r="AD204" s="80"/>
      <c r="AE204" s="57"/>
      <c r="AF204" s="61"/>
      <c r="AG204" s="61">
        <v>0</v>
      </c>
      <c r="AH204" s="61">
        <v>0</v>
      </c>
      <c r="AI204" s="61"/>
      <c r="AJ204" s="61">
        <v>0</v>
      </c>
      <c r="AK204" s="61">
        <v>0</v>
      </c>
    </row>
    <row r="205" spans="1:37" x14ac:dyDescent="0.25">
      <c r="A205" s="228" t="str">
        <f t="shared" ref="A205:I205" si="172">A165</f>
        <v>Cash provided by sale of assets</v>
      </c>
      <c r="B205" s="61">
        <f t="shared" si="172"/>
        <v>2.3000000000000007</v>
      </c>
      <c r="C205" s="61">
        <f t="shared" si="172"/>
        <v>4.4000000000000004</v>
      </c>
      <c r="D205" s="61">
        <f t="shared" si="172"/>
        <v>29.4</v>
      </c>
      <c r="E205" s="61">
        <f t="shared" si="172"/>
        <v>74.7</v>
      </c>
      <c r="F205" s="61">
        <f t="shared" si="172"/>
        <v>0.4</v>
      </c>
      <c r="G205" s="61">
        <f t="shared" si="172"/>
        <v>-4.2</v>
      </c>
      <c r="H205" s="61">
        <f t="shared" si="172"/>
        <v>1.5</v>
      </c>
      <c r="I205" s="61">
        <f t="shared" si="172"/>
        <v>-3.8</v>
      </c>
      <c r="J205" s="57"/>
      <c r="K205" s="57"/>
      <c r="L205" s="57"/>
      <c r="M205" s="57"/>
      <c r="N205" s="57"/>
      <c r="O205" s="57"/>
      <c r="P205" s="57"/>
      <c r="Q205" s="57"/>
      <c r="R205" s="57"/>
      <c r="S205" s="57"/>
      <c r="T205" s="41"/>
      <c r="U205" s="41">
        <f t="shared" si="169"/>
        <v>8.0816845416358252E-2</v>
      </c>
      <c r="V205" s="41">
        <f t="shared" si="170"/>
        <v>0.2401444770294936</v>
      </c>
      <c r="W205" s="57"/>
      <c r="X205" s="57"/>
      <c r="Y205" s="57"/>
      <c r="Z205" s="57"/>
      <c r="AA205" s="57"/>
      <c r="AB205" s="57"/>
      <c r="AC205" s="57"/>
      <c r="AD205" s="57"/>
      <c r="AE205" s="57"/>
      <c r="AF205" s="57"/>
      <c r="AG205" s="230"/>
      <c r="AH205" s="230"/>
      <c r="AI205" s="123"/>
      <c r="AJ205" s="230"/>
      <c r="AK205" s="230"/>
    </row>
    <row r="206" spans="1:37" x14ac:dyDescent="0.25">
      <c r="A206" s="228" t="s">
        <v>336</v>
      </c>
      <c r="B206" s="61">
        <f>B177</f>
        <v>-4.5999999999999996</v>
      </c>
      <c r="C206" s="61">
        <f t="shared" ref="C206:I206" si="173">C177</f>
        <v>-4.2</v>
      </c>
      <c r="D206" s="61">
        <f t="shared" si="173"/>
        <v>0</v>
      </c>
      <c r="E206" s="61">
        <f t="shared" si="173"/>
        <v>0</v>
      </c>
      <c r="F206" s="61">
        <f t="shared" si="173"/>
        <v>0</v>
      </c>
      <c r="G206" s="61">
        <f t="shared" si="173"/>
        <v>0</v>
      </c>
      <c r="H206" s="61">
        <f t="shared" si="173"/>
        <v>0</v>
      </c>
      <c r="I206" s="61">
        <f t="shared" si="173"/>
        <v>0</v>
      </c>
      <c r="J206" s="57"/>
      <c r="K206" s="57"/>
      <c r="L206" s="57"/>
      <c r="M206" s="57"/>
      <c r="N206" s="57"/>
      <c r="O206" s="57"/>
      <c r="P206" s="57"/>
      <c r="Q206" s="57"/>
      <c r="R206" s="57"/>
      <c r="S206" s="57"/>
      <c r="T206" s="41"/>
      <c r="U206" s="41"/>
      <c r="V206" s="41"/>
      <c r="W206" s="57"/>
      <c r="X206" s="57"/>
      <c r="Y206" s="57"/>
      <c r="Z206" s="57"/>
      <c r="AA206" s="57"/>
      <c r="AB206" s="57"/>
      <c r="AC206" s="57"/>
      <c r="AD206" s="57"/>
      <c r="AE206" s="57"/>
      <c r="AF206" s="57"/>
      <c r="AG206" s="230"/>
      <c r="AH206" s="230"/>
      <c r="AI206" s="123"/>
      <c r="AJ206" s="230"/>
      <c r="AK206" s="230"/>
    </row>
    <row r="207" spans="1:37" x14ac:dyDescent="0.25">
      <c r="A207" s="228" t="s">
        <v>337</v>
      </c>
      <c r="B207" s="61">
        <f t="shared" ref="B207:I207" si="174">B163</f>
        <v>0.20000000000000007</v>
      </c>
      <c r="C207" s="61">
        <f t="shared" si="174"/>
        <v>0.8</v>
      </c>
      <c r="D207" s="61">
        <f t="shared" si="174"/>
        <v>6.1</v>
      </c>
      <c r="E207" s="61">
        <f t="shared" si="174"/>
        <v>0.7</v>
      </c>
      <c r="F207" s="61">
        <f t="shared" si="174"/>
        <v>3</v>
      </c>
      <c r="G207" s="61">
        <f t="shared" si="174"/>
        <v>1.5</v>
      </c>
      <c r="H207" s="61">
        <f t="shared" si="174"/>
        <v>0</v>
      </c>
      <c r="I207" s="61">
        <f t="shared" si="174"/>
        <v>0</v>
      </c>
      <c r="J207" s="57"/>
      <c r="K207" s="57"/>
      <c r="L207" s="57"/>
      <c r="M207" s="57"/>
      <c r="N207" s="57"/>
      <c r="O207" s="57"/>
      <c r="P207" s="57"/>
      <c r="Q207" s="57"/>
      <c r="R207" s="57"/>
      <c r="S207" s="57"/>
      <c r="T207" s="41"/>
      <c r="U207" s="41"/>
      <c r="V207" s="41"/>
      <c r="W207" s="57"/>
      <c r="X207" s="57"/>
      <c r="Y207" s="57"/>
      <c r="Z207" s="57"/>
      <c r="AA207" s="57"/>
      <c r="AB207" s="57"/>
      <c r="AC207" s="57"/>
      <c r="AD207" s="57"/>
      <c r="AE207" s="57"/>
      <c r="AF207" s="57"/>
      <c r="AG207" s="230"/>
      <c r="AH207" s="230"/>
      <c r="AI207" s="123"/>
      <c r="AJ207" s="230"/>
      <c r="AK207" s="230"/>
    </row>
    <row r="208" spans="1:37" x14ac:dyDescent="0.25">
      <c r="A208" s="228" t="s">
        <v>335</v>
      </c>
      <c r="B208" s="67">
        <f>B209-SUM(B201:B207)</f>
        <v>170.7</v>
      </c>
      <c r="C208" s="67">
        <f t="shared" ref="C208:H208" si="175">C209-SUM(C201:C207)</f>
        <v>6.4999999999999956</v>
      </c>
      <c r="D208" s="67">
        <f t="shared" si="175"/>
        <v>3.6000000000000032</v>
      </c>
      <c r="E208" s="67">
        <f t="shared" si="175"/>
        <v>-56.499999999999986</v>
      </c>
      <c r="F208" s="67">
        <f t="shared" si="175"/>
        <v>-59.399999999999991</v>
      </c>
      <c r="G208" s="67">
        <f t="shared" si="175"/>
        <v>198.69999999999993</v>
      </c>
      <c r="H208" s="67">
        <f t="shared" si="175"/>
        <v>50.399999999999949</v>
      </c>
      <c r="I208" s="67">
        <f t="shared" ref="I208" si="176">I209-SUM(I201:I207)</f>
        <v>-35.099999999999916</v>
      </c>
      <c r="J208" s="57"/>
      <c r="K208" s="57"/>
      <c r="L208" s="57"/>
      <c r="M208" s="57"/>
      <c r="N208" s="57"/>
      <c r="O208" s="57"/>
      <c r="P208" s="57"/>
      <c r="Q208" s="57"/>
      <c r="R208" s="57"/>
      <c r="S208" s="57"/>
      <c r="T208" s="41"/>
      <c r="U208" s="41">
        <f>_xlfn.RRI(5.5,H208,B208)</f>
        <v>0.24832542325273121</v>
      </c>
      <c r="V208" s="41">
        <f>_xlfn.RRI(5,H208,C208)</f>
        <v>-0.33610933196384885</v>
      </c>
      <c r="W208" s="57"/>
      <c r="X208" s="57"/>
      <c r="Y208" s="57"/>
      <c r="Z208" s="57"/>
      <c r="AA208" s="57"/>
      <c r="AB208" s="57"/>
      <c r="AC208" s="57"/>
      <c r="AD208" s="57"/>
      <c r="AE208" s="57"/>
      <c r="AF208" s="57"/>
      <c r="AG208" s="230"/>
      <c r="AH208" s="230"/>
      <c r="AI208" s="123"/>
      <c r="AJ208" s="230"/>
      <c r="AK208" s="230"/>
    </row>
    <row r="209" spans="1:37" ht="15.75" thickBot="1" x14ac:dyDescent="0.3">
      <c r="A209" s="195" t="s">
        <v>334</v>
      </c>
      <c r="B209" s="117">
        <f>B180</f>
        <v>16.128000000000124</v>
      </c>
      <c r="C209" s="117">
        <f t="shared" ref="C209:I209" si="177">C180</f>
        <v>-2.8600000000001566</v>
      </c>
      <c r="D209" s="117">
        <f t="shared" si="177"/>
        <v>-6.7640000000000526</v>
      </c>
      <c r="E209" s="117">
        <f t="shared" si="177"/>
        <v>-21.084000000000074</v>
      </c>
      <c r="F209" s="117">
        <f t="shared" si="177"/>
        <v>-19.853999999999964</v>
      </c>
      <c r="G209" s="117">
        <f t="shared" si="177"/>
        <v>-14.190000000000078</v>
      </c>
      <c r="H209" s="117">
        <f t="shared" si="177"/>
        <v>107.65599999999986</v>
      </c>
      <c r="I209" s="117">
        <f t="shared" si="177"/>
        <v>18.802000000000099</v>
      </c>
      <c r="J209" s="57"/>
      <c r="K209" s="57"/>
      <c r="L209" s="57"/>
      <c r="M209" s="57"/>
      <c r="N209" s="57"/>
      <c r="O209" s="57"/>
      <c r="P209" s="57"/>
      <c r="Q209" s="57"/>
      <c r="R209" s="57"/>
      <c r="S209" s="57"/>
      <c r="T209" s="41"/>
      <c r="U209" s="41">
        <f t="shared" ref="U209:U211" si="178">_xlfn.RRI(5.5,H209,B209)</f>
        <v>-0.29189347627889817</v>
      </c>
      <c r="V209" s="41"/>
      <c r="W209" s="57"/>
      <c r="X209" s="57"/>
      <c r="Y209" s="57"/>
      <c r="Z209" s="57"/>
      <c r="AA209" s="57"/>
      <c r="AB209" s="57"/>
      <c r="AC209" s="57"/>
      <c r="AD209" s="57"/>
      <c r="AE209" s="57"/>
      <c r="AF209" s="57"/>
      <c r="AG209" s="230"/>
      <c r="AH209" s="230"/>
      <c r="AI209" s="123"/>
      <c r="AJ209" s="230"/>
      <c r="AK209" s="230"/>
    </row>
    <row r="210" spans="1:37" ht="15.75" thickTop="1" x14ac:dyDescent="0.25">
      <c r="A210" s="195"/>
      <c r="B210" s="56"/>
      <c r="C210" s="56"/>
      <c r="D210" s="56"/>
      <c r="E210" s="56"/>
      <c r="F210" s="56"/>
      <c r="G210" s="56"/>
      <c r="H210" s="56"/>
      <c r="I210" s="56"/>
      <c r="J210" s="57"/>
      <c r="K210" s="57"/>
      <c r="L210" s="57"/>
      <c r="M210" s="57"/>
      <c r="N210" s="57"/>
      <c r="O210" s="57"/>
      <c r="P210" s="57"/>
      <c r="Q210" s="57"/>
      <c r="R210" s="57"/>
      <c r="S210" s="57"/>
      <c r="T210" s="41">
        <f t="shared" ref="T210:T212" si="179">_xlfn.RRI(6,I210,C210)</f>
        <v>0</v>
      </c>
      <c r="U210" s="41">
        <f t="shared" si="178"/>
        <v>0</v>
      </c>
      <c r="V210" s="41">
        <f t="shared" ref="V210:V212" si="180">_xlfn.RRI(5,H210,C210)</f>
        <v>0</v>
      </c>
      <c r="W210" s="57"/>
      <c r="X210" s="57"/>
      <c r="Y210" s="57"/>
      <c r="Z210" s="57"/>
      <c r="AA210" s="57"/>
      <c r="AB210" s="57"/>
      <c r="AC210" s="57"/>
      <c r="AD210" s="57"/>
      <c r="AE210" s="57"/>
      <c r="AF210" s="57"/>
      <c r="AG210" s="230"/>
      <c r="AH210" s="230"/>
      <c r="AI210" s="123"/>
      <c r="AJ210" s="230"/>
      <c r="AK210" s="230"/>
    </row>
    <row r="211" spans="1:37" x14ac:dyDescent="0.25">
      <c r="A211" s="228" t="s">
        <v>162</v>
      </c>
      <c r="B211" s="235">
        <f>B197</f>
        <v>169.12800000000013</v>
      </c>
      <c r="C211" s="235">
        <f t="shared" ref="C211:I211" si="181">C197</f>
        <v>156.83999999999983</v>
      </c>
      <c r="D211" s="235">
        <f t="shared" si="181"/>
        <v>134.03599999999994</v>
      </c>
      <c r="E211" s="235">
        <f t="shared" si="181"/>
        <v>117.1159999999999</v>
      </c>
      <c r="F211" s="235">
        <f t="shared" si="181"/>
        <v>89.046000000000035</v>
      </c>
      <c r="G211" s="235">
        <f t="shared" si="181"/>
        <v>100.50999999999998</v>
      </c>
      <c r="H211" s="235">
        <f t="shared" si="181"/>
        <v>166.35599999999997</v>
      </c>
      <c r="I211" s="235">
        <f t="shared" si="181"/>
        <v>117.60200000000002</v>
      </c>
      <c r="J211" s="57"/>
      <c r="K211" s="57"/>
      <c r="L211" s="57"/>
      <c r="M211" s="57"/>
      <c r="N211" s="57"/>
      <c r="O211" s="57"/>
      <c r="P211" s="57"/>
      <c r="Q211" s="57"/>
      <c r="R211" s="57"/>
      <c r="S211" s="57"/>
      <c r="T211" s="41">
        <f t="shared" si="179"/>
        <v>4.915669013440338E-2</v>
      </c>
      <c r="U211" s="41">
        <f t="shared" si="178"/>
        <v>3.009201192127664E-3</v>
      </c>
      <c r="V211" s="41">
        <f t="shared" si="180"/>
        <v>-1.1711656913963253E-2</v>
      </c>
      <c r="W211" s="57"/>
      <c r="X211" s="57"/>
      <c r="Y211" s="57"/>
      <c r="Z211" s="57"/>
      <c r="AA211" s="57"/>
      <c r="AB211" s="57"/>
      <c r="AC211" s="57"/>
      <c r="AD211" s="57"/>
      <c r="AE211" s="57"/>
      <c r="AF211" s="57"/>
      <c r="AG211" s="230"/>
      <c r="AH211" s="230"/>
      <c r="AI211" s="123"/>
      <c r="AJ211" s="230"/>
      <c r="AK211" s="230"/>
    </row>
    <row r="212" spans="1:37" x14ac:dyDescent="0.25">
      <c r="A212" s="228" t="s">
        <v>332</v>
      </c>
      <c r="B212" s="132">
        <f>B201</f>
        <v>-24.771999999999849</v>
      </c>
      <c r="C212" s="132">
        <f t="shared" ref="C212:I212" si="182">C201</f>
        <v>6.3399999999998471</v>
      </c>
      <c r="D212" s="132">
        <f t="shared" si="182"/>
        <v>-35.764000000000053</v>
      </c>
      <c r="E212" s="132">
        <f t="shared" si="182"/>
        <v>30.715999999999909</v>
      </c>
      <c r="F212" s="132">
        <f t="shared" si="182"/>
        <v>65.846000000000032</v>
      </c>
      <c r="G212" s="132">
        <f t="shared" si="182"/>
        <v>-25.890000000000029</v>
      </c>
      <c r="H212" s="132">
        <f t="shared" si="182"/>
        <v>102.45599999999996</v>
      </c>
      <c r="I212" s="132">
        <f t="shared" si="182"/>
        <v>89.402000000000015</v>
      </c>
      <c r="J212" s="57"/>
      <c r="K212" s="57"/>
      <c r="L212" s="57"/>
      <c r="M212" s="57"/>
      <c r="N212" s="57"/>
      <c r="O212" s="57"/>
      <c r="P212" s="57"/>
      <c r="Q212" s="57"/>
      <c r="R212" s="57"/>
      <c r="S212" s="57"/>
      <c r="T212" s="41">
        <f t="shared" si="179"/>
        <v>-0.35663563262650189</v>
      </c>
      <c r="U212" s="41"/>
      <c r="V212" s="41">
        <f t="shared" si="180"/>
        <v>-0.42679446911310048</v>
      </c>
      <c r="W212" s="57"/>
      <c r="X212" s="57"/>
      <c r="Y212" s="57"/>
      <c r="Z212" s="57"/>
      <c r="AA212" s="57"/>
      <c r="AB212" s="57"/>
      <c r="AC212" s="57"/>
      <c r="AD212" s="57"/>
      <c r="AE212" s="57"/>
      <c r="AF212" s="57"/>
      <c r="AG212" s="230"/>
      <c r="AH212" s="230"/>
      <c r="AI212" s="123"/>
      <c r="AJ212" s="230"/>
      <c r="AK212" s="230"/>
    </row>
    <row r="213" spans="1:37" x14ac:dyDescent="0.25">
      <c r="A213" s="228" t="s">
        <v>338</v>
      </c>
      <c r="B213" s="132">
        <f>B212+(B186*0.75)</f>
        <v>-60.224366089343484</v>
      </c>
      <c r="C213" s="132">
        <f t="shared" ref="C213:I213" si="183">C212+(C186*0.75)</f>
        <v>-24.635000000000151</v>
      </c>
      <c r="D213" s="132">
        <f t="shared" si="183"/>
        <v>-64.339000000000055</v>
      </c>
      <c r="E213" s="132">
        <f t="shared" si="183"/>
        <v>-6.8590000000000941</v>
      </c>
      <c r="F213" s="132">
        <f t="shared" si="183"/>
        <v>20.171000000000035</v>
      </c>
      <c r="G213" s="132">
        <f t="shared" si="183"/>
        <v>-63.240000000000023</v>
      </c>
      <c r="H213" s="132">
        <f t="shared" si="183"/>
        <v>74.255999999999958</v>
      </c>
      <c r="I213" s="132">
        <f t="shared" si="183"/>
        <v>57.37700000000001</v>
      </c>
      <c r="J213" s="57"/>
      <c r="K213" s="57"/>
      <c r="L213" s="57"/>
      <c r="M213" s="57"/>
      <c r="N213" s="57"/>
      <c r="O213" s="57"/>
      <c r="P213" s="57"/>
      <c r="Q213" s="57"/>
      <c r="R213" s="57"/>
      <c r="S213" s="57"/>
      <c r="T213" s="41"/>
      <c r="U213" s="41"/>
      <c r="V213" s="41"/>
      <c r="W213" s="57"/>
      <c r="X213" s="57"/>
      <c r="Y213" s="57"/>
      <c r="Z213" s="57"/>
      <c r="AA213" s="57"/>
      <c r="AB213" s="57"/>
      <c r="AC213" s="57"/>
      <c r="AD213" s="57"/>
      <c r="AE213" s="57"/>
      <c r="AF213" s="57"/>
      <c r="AG213" s="230"/>
      <c r="AH213" s="230"/>
      <c r="AI213" s="123"/>
      <c r="AJ213" s="230"/>
      <c r="AK213" s="230"/>
    </row>
    <row r="214" spans="1:37" x14ac:dyDescent="0.25">
      <c r="A214" s="228" t="s">
        <v>339</v>
      </c>
      <c r="B214" s="235">
        <f>B213+B203</f>
        <v>-173.22436608934348</v>
      </c>
      <c r="C214" s="235">
        <f>C213+C203</f>
        <v>-26.635000000000151</v>
      </c>
      <c r="D214" s="235">
        <f t="shared" ref="D214:I214" si="184">D213+D203</f>
        <v>-74.43900000000005</v>
      </c>
      <c r="E214" s="235">
        <f t="shared" si="184"/>
        <v>-77.559000000000097</v>
      </c>
      <c r="F214" s="235">
        <f t="shared" si="184"/>
        <v>-9.5289999999999644</v>
      </c>
      <c r="G214" s="235">
        <f>G213+G203</f>
        <v>16.45999999999998</v>
      </c>
      <c r="H214" s="235">
        <f t="shared" si="184"/>
        <v>27.555999999999912</v>
      </c>
      <c r="I214" s="235">
        <f t="shared" si="184"/>
        <v>25.67700000000001</v>
      </c>
      <c r="J214" s="57"/>
      <c r="K214" s="57"/>
      <c r="L214" s="57"/>
      <c r="M214" s="57"/>
      <c r="N214" s="57"/>
      <c r="O214" s="57"/>
      <c r="P214" s="57"/>
      <c r="Q214" s="57"/>
      <c r="R214" s="57"/>
      <c r="S214" s="57"/>
      <c r="T214" s="41"/>
      <c r="U214" s="41"/>
      <c r="V214" s="41"/>
      <c r="W214" s="57"/>
      <c r="X214" s="57"/>
      <c r="Y214" s="57"/>
      <c r="Z214" s="57"/>
      <c r="AA214" s="57"/>
      <c r="AB214" s="57"/>
      <c r="AC214" s="57"/>
      <c r="AD214" s="57"/>
      <c r="AE214" s="57"/>
      <c r="AF214" s="57"/>
      <c r="AG214" s="230"/>
      <c r="AH214" s="230"/>
      <c r="AI214" s="123"/>
      <c r="AJ214" s="230"/>
      <c r="AK214" s="230"/>
    </row>
    <row r="215" spans="1:37" x14ac:dyDescent="0.25">
      <c r="A215" s="228"/>
      <c r="B215" s="56"/>
      <c r="C215" s="56"/>
      <c r="D215" s="56"/>
      <c r="E215" s="56"/>
      <c r="F215" s="56"/>
      <c r="G215" s="56"/>
      <c r="H215" s="56"/>
      <c r="I215" s="56"/>
      <c r="J215" s="57"/>
      <c r="K215" s="57"/>
      <c r="L215" s="57"/>
      <c r="M215" s="57"/>
      <c r="N215" s="57"/>
      <c r="O215" s="57"/>
      <c r="P215" s="57"/>
      <c r="Q215" s="57"/>
      <c r="R215" s="57"/>
      <c r="S215" s="57"/>
      <c r="T215" s="41"/>
      <c r="U215" s="41"/>
      <c r="V215" s="41"/>
      <c r="W215" s="57"/>
      <c r="X215" s="57"/>
      <c r="Y215" s="57"/>
      <c r="Z215" s="57"/>
      <c r="AA215" s="57"/>
      <c r="AB215" s="57"/>
      <c r="AC215" s="57"/>
      <c r="AD215" s="57"/>
      <c r="AE215" s="57"/>
      <c r="AF215" s="57"/>
      <c r="AG215" s="230"/>
      <c r="AH215" s="230"/>
      <c r="AI215" s="123"/>
      <c r="AJ215" s="230"/>
      <c r="AK215" s="230"/>
    </row>
    <row r="216" spans="1:37" x14ac:dyDescent="0.25">
      <c r="A216" s="228" t="s">
        <v>340</v>
      </c>
      <c r="B216" s="231">
        <f t="shared" ref="B216:I216" si="185">-B161/B127</f>
        <v>1.9701230228471003</v>
      </c>
      <c r="C216" s="231">
        <f t="shared" si="185"/>
        <v>1.8770053475935828</v>
      </c>
      <c r="D216" s="231">
        <f t="shared" si="185"/>
        <v>2.1663778162911611</v>
      </c>
      <c r="E216" s="231">
        <f t="shared" si="185"/>
        <v>1.2902033271719038</v>
      </c>
      <c r="F216" s="231">
        <f t="shared" si="185"/>
        <v>0.67513611615245017</v>
      </c>
      <c r="G216" s="231">
        <f t="shared" si="185"/>
        <v>2.159448818897638</v>
      </c>
      <c r="H216" s="231">
        <f t="shared" si="185"/>
        <v>1.3554216867469879</v>
      </c>
      <c r="I216" s="231">
        <f t="shared" si="185"/>
        <v>0.94328922495274103</v>
      </c>
      <c r="J216" s="57"/>
      <c r="K216" s="57"/>
      <c r="L216" s="57"/>
      <c r="M216" s="57"/>
      <c r="N216" s="57"/>
      <c r="O216" s="57"/>
      <c r="P216" s="57"/>
      <c r="Q216" s="57"/>
      <c r="R216" s="57"/>
      <c r="S216" s="57"/>
      <c r="T216" s="41">
        <f t="shared" ref="T216:T220" si="186">_xlfn.RRI(6,I216,C216)</f>
        <v>0.12151074642323589</v>
      </c>
      <c r="U216" s="41">
        <f t="shared" ref="U216:U220" si="187">_xlfn.RRI(5.5,H216,B216)</f>
        <v>7.0362073080317167E-2</v>
      </c>
      <c r="V216" s="41">
        <f t="shared" ref="V216:V220" si="188">_xlfn.RRI(5,H216,C216)</f>
        <v>6.7279618622786863E-2</v>
      </c>
      <c r="W216" s="57"/>
      <c r="X216" s="57"/>
      <c r="Y216" s="57"/>
      <c r="Z216" s="57"/>
      <c r="AA216" s="57"/>
      <c r="AB216" s="57"/>
      <c r="AC216" s="57"/>
      <c r="AD216" s="57"/>
      <c r="AE216" s="57"/>
      <c r="AF216" s="57"/>
      <c r="AG216" s="230"/>
      <c r="AH216" s="230"/>
      <c r="AI216" s="123"/>
      <c r="AJ216" s="230"/>
      <c r="AK216" s="230"/>
    </row>
    <row r="217" spans="1:37" x14ac:dyDescent="0.25">
      <c r="A217" s="228" t="s">
        <v>341</v>
      </c>
      <c r="B217" s="132">
        <f t="shared" ref="B217:I217" si="189">B15/B127</f>
        <v>20.688927943760987</v>
      </c>
      <c r="C217" s="132">
        <f t="shared" si="189"/>
        <v>18.171122994652407</v>
      </c>
      <c r="D217" s="132">
        <f t="shared" si="189"/>
        <v>16.079722703639511</v>
      </c>
      <c r="E217" s="132">
        <f t="shared" si="189"/>
        <v>16.706099815157117</v>
      </c>
      <c r="F217" s="132">
        <f t="shared" si="189"/>
        <v>16.226860254083483</v>
      </c>
      <c r="G217" s="132">
        <f t="shared" si="189"/>
        <v>17.391732283464567</v>
      </c>
      <c r="H217" s="132">
        <f t="shared" si="189"/>
        <v>16.819277108433738</v>
      </c>
      <c r="I217" s="132">
        <f t="shared" si="189"/>
        <v>14.956521739130435</v>
      </c>
      <c r="J217" s="57"/>
      <c r="K217" s="57"/>
      <c r="L217" s="57"/>
      <c r="M217" s="57"/>
      <c r="N217" s="57"/>
      <c r="O217" s="57"/>
      <c r="P217" s="57"/>
      <c r="Q217" s="57"/>
      <c r="R217" s="57"/>
      <c r="S217" s="57"/>
      <c r="T217" s="41">
        <f t="shared" si="186"/>
        <v>3.2979874447818247E-2</v>
      </c>
      <c r="U217" s="41">
        <f t="shared" si="187"/>
        <v>3.8367362917265169E-2</v>
      </c>
      <c r="V217" s="41">
        <f t="shared" si="188"/>
        <v>1.5581750971387587E-2</v>
      </c>
      <c r="W217" s="57"/>
      <c r="X217" s="57"/>
      <c r="Y217" s="57"/>
      <c r="Z217" s="57"/>
      <c r="AA217" s="57"/>
      <c r="AB217" s="57"/>
      <c r="AC217" s="57"/>
      <c r="AD217" s="57"/>
      <c r="AE217" s="57"/>
      <c r="AF217" s="57"/>
      <c r="AG217" s="230"/>
      <c r="AH217" s="230"/>
      <c r="AI217" s="123"/>
      <c r="AJ217" s="230"/>
      <c r="AK217" s="230"/>
    </row>
    <row r="218" spans="1:37" x14ac:dyDescent="0.25">
      <c r="A218" s="228" t="s">
        <v>342</v>
      </c>
      <c r="B218" s="133">
        <f t="shared" ref="B218:I218" si="190">-B16/B127</f>
        <v>8.3919156414762792</v>
      </c>
      <c r="C218" s="133">
        <f t="shared" si="190"/>
        <v>8.237076648841354</v>
      </c>
      <c r="D218" s="133">
        <f t="shared" si="190"/>
        <v>7.6031195840554586</v>
      </c>
      <c r="E218" s="133">
        <f t="shared" si="190"/>
        <v>9.1441774491682057</v>
      </c>
      <c r="F218" s="133">
        <f t="shared" si="190"/>
        <v>8.6878402903811249</v>
      </c>
      <c r="G218" s="133">
        <f t="shared" si="190"/>
        <v>9.1653543307086629</v>
      </c>
      <c r="H218" s="133">
        <f t="shared" si="190"/>
        <v>10.232931726907632</v>
      </c>
      <c r="I218" s="133">
        <f t="shared" si="190"/>
        <v>9.6483931947069941</v>
      </c>
      <c r="J218" s="57"/>
      <c r="K218" s="57"/>
      <c r="L218" s="57"/>
      <c r="M218" s="57"/>
      <c r="N218" s="57"/>
      <c r="O218" s="57"/>
      <c r="P218" s="57"/>
      <c r="Q218" s="57"/>
      <c r="R218" s="57"/>
      <c r="S218" s="57"/>
      <c r="T218" s="41">
        <f t="shared" si="186"/>
        <v>-2.6013317050766038E-2</v>
      </c>
      <c r="U218" s="41">
        <f t="shared" si="187"/>
        <v>-3.5419740605139527E-2</v>
      </c>
      <c r="V218" s="41">
        <f t="shared" si="188"/>
        <v>-4.2465112898501967E-2</v>
      </c>
      <c r="W218" s="57"/>
      <c r="X218" s="57"/>
      <c r="Y218" s="57"/>
      <c r="Z218" s="57"/>
      <c r="AA218" s="57"/>
      <c r="AB218" s="57"/>
      <c r="AC218" s="57"/>
      <c r="AD218" s="57"/>
      <c r="AE218" s="57"/>
      <c r="AF218" s="57"/>
      <c r="AG218" s="230"/>
      <c r="AH218" s="230"/>
      <c r="AI218" s="123"/>
      <c r="AJ218" s="230"/>
      <c r="AK218" s="230"/>
    </row>
    <row r="219" spans="1:37" x14ac:dyDescent="0.25">
      <c r="A219" s="228" t="s">
        <v>343</v>
      </c>
      <c r="B219" s="56">
        <f>B217-B218</f>
        <v>12.297012302284708</v>
      </c>
      <c r="C219" s="56">
        <f t="shared" ref="C219:I219" si="191">C217-C218</f>
        <v>9.9340463458110531</v>
      </c>
      <c r="D219" s="56">
        <f t="shared" si="191"/>
        <v>8.4766031195840519</v>
      </c>
      <c r="E219" s="56">
        <f t="shared" si="191"/>
        <v>7.5619223659889112</v>
      </c>
      <c r="F219" s="56">
        <f t="shared" si="191"/>
        <v>7.5390199637023585</v>
      </c>
      <c r="G219" s="56">
        <f t="shared" si="191"/>
        <v>8.2263779527559038</v>
      </c>
      <c r="H219" s="56">
        <f t="shared" si="191"/>
        <v>6.5863453815261064</v>
      </c>
      <c r="I219" s="56">
        <f t="shared" si="191"/>
        <v>5.3081285444234414</v>
      </c>
      <c r="J219" s="57"/>
      <c r="K219" s="57"/>
      <c r="L219" s="57"/>
      <c r="M219" s="57"/>
      <c r="N219" s="57"/>
      <c r="O219" s="57"/>
      <c r="P219" s="57"/>
      <c r="Q219" s="57"/>
      <c r="R219" s="57"/>
      <c r="S219" s="57"/>
      <c r="T219" s="41">
        <f t="shared" si="186"/>
        <v>0.11010516949253413</v>
      </c>
      <c r="U219" s="41">
        <f t="shared" si="187"/>
        <v>0.12021382577728135</v>
      </c>
      <c r="V219" s="41">
        <f t="shared" si="188"/>
        <v>8.5666247504607274E-2</v>
      </c>
      <c r="W219" s="57"/>
      <c r="X219" s="57"/>
      <c r="Y219" s="57"/>
      <c r="Z219" s="57"/>
      <c r="AA219" s="57"/>
      <c r="AB219" s="57"/>
      <c r="AC219" s="57"/>
      <c r="AD219" s="57"/>
      <c r="AE219" s="57"/>
      <c r="AF219" s="57"/>
      <c r="AG219" s="230"/>
      <c r="AH219" s="230"/>
      <c r="AI219" s="123"/>
      <c r="AJ219" s="230"/>
      <c r="AK219" s="230"/>
    </row>
    <row r="220" spans="1:37" x14ac:dyDescent="0.25">
      <c r="A220" s="228" t="s">
        <v>344</v>
      </c>
      <c r="B220" s="232">
        <f>B218/B217</f>
        <v>0.40562351342167874</v>
      </c>
      <c r="C220" s="232">
        <f t="shared" ref="C220:I220" si="192">C218/C217</f>
        <v>0.45330586619580138</v>
      </c>
      <c r="D220" s="232">
        <f t="shared" si="192"/>
        <v>0.47283897391679247</v>
      </c>
      <c r="E220" s="232">
        <f t="shared" si="192"/>
        <v>0.54735560964815211</v>
      </c>
      <c r="F220" s="232">
        <f t="shared" si="192"/>
        <v>0.53539872497483509</v>
      </c>
      <c r="G220" s="232">
        <f t="shared" si="192"/>
        <v>0.52699490662139226</v>
      </c>
      <c r="H220" s="232">
        <f t="shared" si="192"/>
        <v>0.60840496657115561</v>
      </c>
      <c r="I220" s="232">
        <f t="shared" si="192"/>
        <v>0.6450960566228513</v>
      </c>
      <c r="J220" s="57"/>
      <c r="K220" s="57"/>
      <c r="L220" s="57"/>
      <c r="M220" s="57"/>
      <c r="N220" s="57"/>
      <c r="O220" s="57"/>
      <c r="P220" s="57"/>
      <c r="Q220" s="57"/>
      <c r="R220" s="57"/>
      <c r="S220" s="57"/>
      <c r="T220" s="41">
        <f t="shared" si="186"/>
        <v>-5.710972009993831E-2</v>
      </c>
      <c r="U220" s="41">
        <f t="shared" si="187"/>
        <v>-7.1060692157255301E-2</v>
      </c>
      <c r="V220" s="41">
        <f t="shared" si="188"/>
        <v>-5.7156269118038727E-2</v>
      </c>
      <c r="W220" s="57"/>
      <c r="X220" s="57"/>
      <c r="Y220" s="57"/>
      <c r="Z220" s="57"/>
      <c r="AA220" s="57"/>
      <c r="AB220" s="57"/>
      <c r="AC220" s="57"/>
      <c r="AD220" s="57"/>
      <c r="AE220" s="57"/>
      <c r="AF220" s="57"/>
      <c r="AG220" s="230"/>
      <c r="AH220" s="230"/>
      <c r="AI220" s="123"/>
      <c r="AJ220" s="230"/>
      <c r="AK220" s="230"/>
    </row>
    <row r="221" spans="1:37" ht="15.75" thickBot="1" x14ac:dyDescent="0.3">
      <c r="A221" s="228" t="s">
        <v>345</v>
      </c>
      <c r="B221" s="106">
        <v>0</v>
      </c>
      <c r="C221" s="106">
        <v>0</v>
      </c>
      <c r="D221" s="106">
        <v>0</v>
      </c>
      <c r="E221" s="106">
        <v>0</v>
      </c>
      <c r="F221" s="106">
        <v>0</v>
      </c>
      <c r="G221" s="106">
        <v>0</v>
      </c>
      <c r="H221" s="106">
        <v>0</v>
      </c>
      <c r="I221" s="106">
        <v>0</v>
      </c>
      <c r="J221" s="57"/>
      <c r="K221" s="57"/>
      <c r="L221" s="57"/>
      <c r="M221" s="57"/>
      <c r="N221" s="57"/>
      <c r="O221" s="57"/>
      <c r="P221" s="57"/>
      <c r="Q221" s="57"/>
      <c r="R221" s="57"/>
      <c r="S221" s="57"/>
      <c r="T221" s="41"/>
      <c r="U221" s="41"/>
      <c r="V221" s="41"/>
      <c r="W221" s="57"/>
      <c r="X221" s="57"/>
      <c r="Y221" s="57"/>
      <c r="Z221" s="57"/>
      <c r="AA221" s="57"/>
      <c r="AB221" s="57"/>
      <c r="AC221" s="57"/>
      <c r="AD221" s="57"/>
      <c r="AE221" s="57"/>
      <c r="AF221" s="57"/>
      <c r="AG221" s="230"/>
      <c r="AH221" s="230"/>
      <c r="AI221" s="123"/>
      <c r="AJ221" s="230"/>
      <c r="AK221" s="230"/>
    </row>
    <row r="222" spans="1:37" ht="15.75" thickTop="1" x14ac:dyDescent="0.25">
      <c r="A222" s="228"/>
      <c r="B222" s="56"/>
      <c r="C222" s="56"/>
      <c r="D222" s="56"/>
      <c r="E222" s="56"/>
      <c r="F222" s="56"/>
      <c r="G222" s="56"/>
      <c r="H222" s="56"/>
      <c r="I222" s="56"/>
      <c r="J222" s="57"/>
      <c r="K222" s="57"/>
      <c r="L222" s="57"/>
      <c r="M222" s="57"/>
      <c r="N222" s="57"/>
      <c r="O222" s="57"/>
      <c r="P222" s="57"/>
      <c r="Q222" s="57"/>
      <c r="R222" s="57"/>
      <c r="S222" s="57"/>
      <c r="T222" s="41"/>
      <c r="U222" s="41"/>
      <c r="V222" s="41"/>
      <c r="W222" s="57"/>
      <c r="X222" s="57"/>
      <c r="Y222" s="57"/>
      <c r="Z222" s="57"/>
      <c r="AA222" s="57"/>
      <c r="AB222" s="57"/>
      <c r="AC222" s="57"/>
      <c r="AD222" s="57"/>
      <c r="AE222" s="57"/>
      <c r="AF222" s="57"/>
      <c r="AG222" s="230"/>
      <c r="AH222" s="230"/>
      <c r="AI222" s="123"/>
      <c r="AJ222" s="230"/>
      <c r="AK222" s="230"/>
    </row>
    <row r="223" spans="1:37" x14ac:dyDescent="0.25">
      <c r="A223" s="324" t="s">
        <v>517</v>
      </c>
      <c r="B223" s="56"/>
      <c r="C223" s="56"/>
      <c r="D223" s="56"/>
      <c r="E223" s="56"/>
      <c r="F223" s="56"/>
      <c r="G223" s="56"/>
      <c r="H223" s="56"/>
      <c r="I223" s="56"/>
      <c r="J223" s="57"/>
      <c r="K223" s="57"/>
      <c r="L223" s="57"/>
      <c r="M223" s="57"/>
      <c r="N223" s="57"/>
      <c r="O223" s="57"/>
      <c r="P223" s="57"/>
      <c r="Q223" s="57"/>
      <c r="R223" s="57"/>
      <c r="S223" s="57"/>
      <c r="T223" s="41"/>
      <c r="U223" s="41"/>
      <c r="V223" s="41"/>
      <c r="W223" s="57"/>
      <c r="X223" s="57"/>
      <c r="Y223" s="57"/>
      <c r="Z223" s="57"/>
      <c r="AA223" s="57"/>
      <c r="AB223" s="57"/>
      <c r="AC223" s="57"/>
      <c r="AD223" s="57"/>
      <c r="AE223" s="57"/>
      <c r="AF223" s="57"/>
      <c r="AG223" s="230"/>
      <c r="AH223" s="230"/>
      <c r="AI223" s="123"/>
      <c r="AJ223" s="230"/>
      <c r="AK223" s="230"/>
    </row>
    <row r="224" spans="1:37" x14ac:dyDescent="0.25">
      <c r="A224" s="325" t="s">
        <v>436</v>
      </c>
      <c r="B224" s="132">
        <f t="shared" ref="B224:H224" si="193">B72</f>
        <v>91.728000000000122</v>
      </c>
      <c r="C224" s="132">
        <f t="shared" si="193"/>
        <v>72.539999999999836</v>
      </c>
      <c r="D224" s="132">
        <f t="shared" si="193"/>
        <v>71.135999999999925</v>
      </c>
      <c r="E224" s="132">
        <f t="shared" si="193"/>
        <v>94.415999999999883</v>
      </c>
      <c r="F224" s="132">
        <f t="shared" si="193"/>
        <v>55.146000000000036</v>
      </c>
      <c r="G224" s="132">
        <f t="shared" si="193"/>
        <v>34.709999999999965</v>
      </c>
      <c r="H224" s="132">
        <f t="shared" si="193"/>
        <v>98.655999999999949</v>
      </c>
      <c r="I224" s="132"/>
      <c r="J224" s="57"/>
      <c r="K224" s="57"/>
      <c r="L224" s="57"/>
      <c r="M224" s="57"/>
      <c r="N224" s="57"/>
      <c r="O224" s="57"/>
      <c r="P224" s="57"/>
      <c r="Q224" s="57"/>
      <c r="R224" s="57"/>
      <c r="S224" s="57"/>
      <c r="T224" s="41"/>
      <c r="U224" s="41">
        <f t="shared" ref="U224:U228" si="194">_xlfn.RRI(5.5,H224,B224)</f>
        <v>-1.315118928569925E-2</v>
      </c>
      <c r="V224" s="41">
        <f t="shared" ref="V224:V228" si="195">_xlfn.RRI(5,H224,C224)</f>
        <v>-5.9647226880954918E-2</v>
      </c>
      <c r="W224" s="57"/>
      <c r="X224" s="57"/>
      <c r="Y224" s="57"/>
      <c r="Z224" s="57"/>
      <c r="AA224" s="57"/>
      <c r="AB224" s="57"/>
      <c r="AC224" s="57"/>
      <c r="AD224" s="57"/>
      <c r="AE224" s="57"/>
      <c r="AF224" s="57"/>
      <c r="AG224" s="230"/>
      <c r="AH224" s="230"/>
      <c r="AI224" s="123"/>
      <c r="AJ224" s="230"/>
      <c r="AK224" s="230"/>
    </row>
    <row r="225" spans="1:37" x14ac:dyDescent="0.25">
      <c r="A225" s="228" t="s">
        <v>521</v>
      </c>
      <c r="B225" s="326">
        <f t="shared" ref="B225:H225" si="196">(((B8+B9+B10)-(C8+C9+C10))-((B25+B26)-(C25+C26)))*-1</f>
        <v>-90.799999999999841</v>
      </c>
      <c r="C225" s="326">
        <f t="shared" si="196"/>
        <v>20.199999999999932</v>
      </c>
      <c r="D225" s="326">
        <f t="shared" si="196"/>
        <v>-55.000000000000057</v>
      </c>
      <c r="E225" s="326">
        <f t="shared" si="196"/>
        <v>-42.599999999999966</v>
      </c>
      <c r="F225" s="326">
        <f t="shared" si="196"/>
        <v>-10</v>
      </c>
      <c r="G225" s="326">
        <f t="shared" si="196"/>
        <v>-36.000000000000057</v>
      </c>
      <c r="H225" s="326">
        <f t="shared" si="196"/>
        <v>-9.7999999999999545</v>
      </c>
      <c r="I225" s="132"/>
      <c r="J225" s="57"/>
      <c r="K225" s="57"/>
      <c r="L225" s="57"/>
      <c r="M225" s="57"/>
      <c r="N225" s="57"/>
      <c r="O225" s="57"/>
      <c r="P225" s="57"/>
      <c r="Q225" s="57"/>
      <c r="R225" s="57"/>
      <c r="S225" s="57"/>
      <c r="T225" s="41"/>
      <c r="U225" s="41">
        <f t="shared" si="194"/>
        <v>0.49896911949217926</v>
      </c>
      <c r="V225" s="41"/>
      <c r="W225" s="57"/>
      <c r="X225" s="57"/>
      <c r="Y225" s="57"/>
      <c r="Z225" s="57"/>
      <c r="AA225" s="57"/>
      <c r="AB225" s="57"/>
      <c r="AC225" s="57"/>
      <c r="AD225" s="57"/>
      <c r="AE225" s="57"/>
      <c r="AF225" s="57"/>
      <c r="AG225" s="230"/>
      <c r="AH225" s="230"/>
      <c r="AI225" s="123"/>
      <c r="AJ225" s="230"/>
      <c r="AK225" s="230"/>
    </row>
    <row r="226" spans="1:37" x14ac:dyDescent="0.25">
      <c r="A226" s="228" t="s">
        <v>522</v>
      </c>
      <c r="B226" s="132">
        <f t="shared" ref="B226:H226" si="197">B161+B165</f>
        <v>-109.80000000000001</v>
      </c>
      <c r="C226" s="132">
        <f t="shared" si="197"/>
        <v>-100.89999999999999</v>
      </c>
      <c r="D226" s="132">
        <f t="shared" si="197"/>
        <v>-95.6</v>
      </c>
      <c r="E226" s="132">
        <f t="shared" si="197"/>
        <v>4.9000000000000057</v>
      </c>
      <c r="F226" s="132">
        <f t="shared" si="197"/>
        <v>-36.800000000000004</v>
      </c>
      <c r="G226" s="132">
        <f t="shared" si="197"/>
        <v>-113.9</v>
      </c>
      <c r="H226" s="132">
        <f t="shared" si="197"/>
        <v>-66</v>
      </c>
      <c r="I226" s="132"/>
      <c r="J226" s="57"/>
      <c r="K226" s="57"/>
      <c r="L226" s="57"/>
      <c r="M226" s="57"/>
      <c r="N226" s="57"/>
      <c r="O226" s="57"/>
      <c r="P226" s="57"/>
      <c r="Q226" s="57"/>
      <c r="R226" s="57"/>
      <c r="S226" s="57"/>
      <c r="T226" s="41"/>
      <c r="U226" s="41">
        <f t="shared" si="194"/>
        <v>9.6964156596655915E-2</v>
      </c>
      <c r="V226" s="41">
        <f t="shared" si="195"/>
        <v>8.8602797758571938E-2</v>
      </c>
      <c r="W226" s="57"/>
      <c r="X226" s="57"/>
      <c r="Y226" s="57"/>
      <c r="Z226" s="57"/>
      <c r="AA226" s="57"/>
      <c r="AB226" s="57"/>
      <c r="AC226" s="57"/>
      <c r="AD226" s="57"/>
      <c r="AE226" s="57"/>
      <c r="AF226" s="57"/>
      <c r="AG226" s="230"/>
      <c r="AH226" s="230"/>
      <c r="AI226" s="123"/>
      <c r="AJ226" s="230"/>
      <c r="AK226" s="230"/>
    </row>
    <row r="227" spans="1:37" x14ac:dyDescent="0.25">
      <c r="A227" s="228" t="s">
        <v>518</v>
      </c>
      <c r="B227" s="132">
        <f t="shared" ref="B227:H227" si="198">B85*(1-0.22)</f>
        <v>45.396000000000001</v>
      </c>
      <c r="C227" s="132">
        <f t="shared" si="198"/>
        <v>34.943999999999996</v>
      </c>
      <c r="D227" s="132">
        <f t="shared" si="198"/>
        <v>31.59</v>
      </c>
      <c r="E227" s="132">
        <f t="shared" si="198"/>
        <v>38.142000000000003</v>
      </c>
      <c r="F227" s="132">
        <f t="shared" si="198"/>
        <v>48.126000000000005</v>
      </c>
      <c r="G227" s="132">
        <f t="shared" si="198"/>
        <v>42.198</v>
      </c>
      <c r="H227" s="132">
        <f t="shared" si="198"/>
        <v>33.15</v>
      </c>
      <c r="I227" s="132"/>
      <c r="J227" s="57"/>
      <c r="K227" s="57"/>
      <c r="L227" s="57"/>
      <c r="M227" s="57"/>
      <c r="N227" s="57"/>
      <c r="O227" s="57"/>
      <c r="P227" s="57"/>
      <c r="Q227" s="57"/>
      <c r="R227" s="57"/>
      <c r="S227" s="57"/>
      <c r="T227" s="41"/>
      <c r="U227" s="41">
        <f t="shared" si="194"/>
        <v>5.8825455064547505E-2</v>
      </c>
      <c r="V227" s="41">
        <f t="shared" si="195"/>
        <v>1.0596562775805785E-2</v>
      </c>
      <c r="W227" s="57"/>
      <c r="X227" s="57"/>
      <c r="Y227" s="57"/>
      <c r="Z227" s="57"/>
      <c r="AA227" s="57"/>
      <c r="AB227" s="57"/>
      <c r="AC227" s="57"/>
      <c r="AD227" s="57"/>
      <c r="AE227" s="57"/>
      <c r="AF227" s="57"/>
      <c r="AG227" s="230"/>
      <c r="AH227" s="230"/>
      <c r="AI227" s="123"/>
      <c r="AJ227" s="230"/>
      <c r="AK227" s="230"/>
    </row>
    <row r="228" spans="1:37" x14ac:dyDescent="0.25">
      <c r="A228" s="228" t="s">
        <v>519</v>
      </c>
      <c r="B228" s="133">
        <f t="shared" ref="B228:H228" si="199">B58</f>
        <v>56.9</v>
      </c>
      <c r="C228" s="133">
        <f t="shared" si="199"/>
        <v>56.1</v>
      </c>
      <c r="D228" s="133">
        <f t="shared" si="199"/>
        <v>57.7</v>
      </c>
      <c r="E228" s="133">
        <f t="shared" si="199"/>
        <v>54.1</v>
      </c>
      <c r="F228" s="133">
        <f t="shared" si="199"/>
        <v>51.4</v>
      </c>
      <c r="G228" s="133">
        <f t="shared" si="199"/>
        <v>46.9</v>
      </c>
      <c r="H228" s="133">
        <f t="shared" si="199"/>
        <v>49.8</v>
      </c>
      <c r="I228" s="132"/>
      <c r="J228" s="57"/>
      <c r="K228" s="57"/>
      <c r="L228" s="57"/>
      <c r="M228" s="57"/>
      <c r="N228" s="57"/>
      <c r="O228" s="57"/>
      <c r="P228" s="57"/>
      <c r="Q228" s="57"/>
      <c r="R228" s="57"/>
      <c r="S228" s="57"/>
      <c r="T228" s="41"/>
      <c r="U228" s="41">
        <f t="shared" si="194"/>
        <v>2.4528792443905489E-2</v>
      </c>
      <c r="V228" s="41">
        <f t="shared" si="195"/>
        <v>2.4110228352600682E-2</v>
      </c>
      <c r="W228" s="57"/>
      <c r="X228" s="57"/>
      <c r="Y228" s="57"/>
      <c r="Z228" s="57"/>
      <c r="AA228" s="57"/>
      <c r="AB228" s="57"/>
      <c r="AC228" s="57"/>
      <c r="AD228" s="57"/>
      <c r="AE228" s="57"/>
      <c r="AF228" s="57"/>
      <c r="AG228" s="230"/>
      <c r="AH228" s="230"/>
      <c r="AI228" s="123"/>
      <c r="AJ228" s="230"/>
      <c r="AK228" s="230"/>
    </row>
    <row r="229" spans="1:37" s="93" customFormat="1" x14ac:dyDescent="0.25">
      <c r="A229" s="195" t="s">
        <v>520</v>
      </c>
      <c r="B229" s="56">
        <f>SUM(B224:B228)</f>
        <v>-6.5759999999997305</v>
      </c>
      <c r="C229" s="56">
        <f t="shared" ref="C229:F229" si="200">SUM(C224:C228)</f>
        <v>82.883999999999773</v>
      </c>
      <c r="D229" s="56">
        <f t="shared" si="200"/>
        <v>9.8259999999998797</v>
      </c>
      <c r="E229" s="56">
        <f t="shared" si="200"/>
        <v>148.95799999999991</v>
      </c>
      <c r="F229" s="56">
        <f t="shared" si="200"/>
        <v>107.87200000000004</v>
      </c>
      <c r="G229" s="56">
        <f>SUM(G224:G228)</f>
        <v>-26.092000000000105</v>
      </c>
      <c r="H229" s="56">
        <f>SUM(H224:H228)</f>
        <v>105.80599999999998</v>
      </c>
      <c r="I229" s="56"/>
      <c r="K229" s="56"/>
      <c r="T229" s="95"/>
      <c r="U229" s="95"/>
      <c r="V229" s="95">
        <f>_xlfn.RRI(5,H229,C229)</f>
        <v>-4.7659878715041071E-2</v>
      </c>
      <c r="AG229" s="365"/>
      <c r="AH229" s="365"/>
      <c r="AI229" s="366"/>
      <c r="AJ229" s="365"/>
      <c r="AK229" s="365"/>
    </row>
    <row r="230" spans="1:37" s="93" customFormat="1" x14ac:dyDescent="0.25">
      <c r="A230" s="329" t="s">
        <v>528</v>
      </c>
      <c r="B230" s="328">
        <f>B224+B228+B226+B232</f>
        <v>-74.171999999999883</v>
      </c>
      <c r="C230" s="328">
        <f t="shared" ref="C230:H230" si="201">C224+C228+C226+C232</f>
        <v>25.739999999999853</v>
      </c>
      <c r="D230" s="328">
        <f t="shared" si="201"/>
        <v>23.135999999999932</v>
      </c>
      <c r="E230" s="328">
        <f t="shared" si="201"/>
        <v>82.71599999999988</v>
      </c>
      <c r="F230" s="328">
        <f t="shared" si="201"/>
        <v>40.046000000000035</v>
      </c>
      <c r="G230" s="328">
        <f t="shared" si="201"/>
        <v>47.409999999999954</v>
      </c>
      <c r="H230" s="328">
        <f t="shared" si="201"/>
        <v>35.755999999999915</v>
      </c>
      <c r="I230" s="56"/>
      <c r="T230" s="95"/>
      <c r="U230" s="95"/>
      <c r="V230" s="95">
        <f t="shared" ref="V230:V235" si="202">_xlfn.RRI(5,H230,C230)</f>
        <v>-6.3620444803056508E-2</v>
      </c>
      <c r="AG230" s="365"/>
      <c r="AH230" s="365"/>
      <c r="AI230" s="366"/>
      <c r="AJ230" s="365"/>
      <c r="AK230" s="365"/>
    </row>
    <row r="231" spans="1:37" x14ac:dyDescent="0.25">
      <c r="A231" s="228"/>
      <c r="B231" s="56"/>
      <c r="C231" s="56"/>
      <c r="D231" s="56"/>
      <c r="E231" s="56"/>
      <c r="F231" s="56"/>
      <c r="G231" s="56"/>
      <c r="H231" s="56"/>
      <c r="I231" s="56"/>
      <c r="J231" s="57"/>
      <c r="K231" s="57"/>
      <c r="L231" s="57"/>
      <c r="M231" s="57"/>
      <c r="N231" s="57"/>
      <c r="O231" s="57"/>
      <c r="P231" s="57"/>
      <c r="Q231" s="57"/>
      <c r="R231" s="57"/>
      <c r="S231" s="57"/>
      <c r="T231" s="41"/>
      <c r="U231" s="41"/>
      <c r="V231" s="41"/>
      <c r="W231" s="57"/>
      <c r="X231" s="57"/>
      <c r="Y231" s="57"/>
      <c r="Z231" s="57"/>
      <c r="AA231" s="57"/>
      <c r="AB231" s="57"/>
      <c r="AC231" s="57"/>
      <c r="AD231" s="57"/>
      <c r="AE231" s="57"/>
      <c r="AF231" s="57"/>
      <c r="AG231" s="230"/>
      <c r="AH231" s="230"/>
      <c r="AI231" s="123"/>
      <c r="AJ231" s="230"/>
      <c r="AK231" s="230"/>
    </row>
    <row r="232" spans="1:37" x14ac:dyDescent="0.25">
      <c r="A232" s="228" t="s">
        <v>526</v>
      </c>
      <c r="B232" s="132">
        <f>SUM(B171:B172)</f>
        <v>-113</v>
      </c>
      <c r="C232" s="132">
        <f t="shared" ref="C232:F232" si="203">SUM(C171:C172)</f>
        <v>-2</v>
      </c>
      <c r="D232" s="132">
        <f t="shared" si="203"/>
        <v>-10.1</v>
      </c>
      <c r="E232" s="132">
        <f t="shared" si="203"/>
        <v>-70.7</v>
      </c>
      <c r="F232" s="132">
        <f t="shared" si="203"/>
        <v>-29.7</v>
      </c>
      <c r="G232" s="132">
        <f>SUM(G171:G172)</f>
        <v>79.7</v>
      </c>
      <c r="H232" s="132">
        <f>SUM(H171:H172)</f>
        <v>-46.700000000000045</v>
      </c>
      <c r="I232" s="56"/>
      <c r="J232" s="57"/>
      <c r="K232" s="57"/>
      <c r="L232" s="57"/>
      <c r="M232" s="57"/>
      <c r="N232" s="57"/>
      <c r="O232" s="57"/>
      <c r="P232" s="57"/>
      <c r="Q232" s="57"/>
      <c r="R232" s="57"/>
      <c r="S232" s="57"/>
      <c r="T232" s="41"/>
      <c r="U232" s="41">
        <f t="shared" ref="U232:U234" si="204">_xlfn.RRI(5.5,H232,B232)</f>
        <v>0.1742885590426817</v>
      </c>
      <c r="V232" s="41">
        <f t="shared" si="202"/>
        <v>-0.46747178496603192</v>
      </c>
      <c r="W232" s="57"/>
      <c r="X232" s="57"/>
      <c r="Y232" s="57"/>
      <c r="Z232" s="57"/>
      <c r="AA232" s="57"/>
      <c r="AB232" s="57"/>
      <c r="AC232" s="57"/>
      <c r="AD232" s="57"/>
      <c r="AE232" s="57"/>
      <c r="AF232" s="57"/>
      <c r="AG232" s="230"/>
      <c r="AH232" s="230"/>
      <c r="AI232" s="123"/>
      <c r="AJ232" s="230"/>
      <c r="AK232" s="230"/>
    </row>
    <row r="233" spans="1:37" x14ac:dyDescent="0.25">
      <c r="A233" s="228" t="s">
        <v>523</v>
      </c>
      <c r="B233" s="133">
        <f t="shared" ref="B233:H233" si="205">B150</f>
        <v>87.328000000000159</v>
      </c>
      <c r="C233" s="133">
        <f t="shared" si="205"/>
        <v>111.63999999999984</v>
      </c>
      <c r="D233" s="133">
        <f t="shared" si="205"/>
        <v>89.235999999999947</v>
      </c>
      <c r="E233" s="133">
        <f t="shared" si="205"/>
        <v>100.51599999999991</v>
      </c>
      <c r="F233" s="133">
        <f t="shared" si="205"/>
        <v>103.04600000000003</v>
      </c>
      <c r="G233" s="133">
        <f t="shared" si="205"/>
        <v>83.809999999999974</v>
      </c>
      <c r="H233" s="133">
        <f t="shared" si="205"/>
        <v>169.95599999999996</v>
      </c>
      <c r="I233" s="56"/>
      <c r="J233" s="57"/>
      <c r="K233" s="57"/>
      <c r="L233" s="57"/>
      <c r="M233" s="57"/>
      <c r="N233" s="57"/>
      <c r="O233" s="57"/>
      <c r="P233" s="57"/>
      <c r="Q233" s="57"/>
      <c r="R233" s="57"/>
      <c r="S233" s="57"/>
      <c r="T233" s="41"/>
      <c r="U233" s="41">
        <f t="shared" si="204"/>
        <v>-0.11402539230277908</v>
      </c>
      <c r="V233" s="41">
        <f t="shared" si="202"/>
        <v>-8.0616584594806362E-2</v>
      </c>
      <c r="W233" s="57"/>
      <c r="X233" s="57"/>
      <c r="Y233" s="57"/>
      <c r="Z233" s="57"/>
      <c r="AA233" s="57"/>
      <c r="AB233" s="57"/>
      <c r="AC233" s="57"/>
      <c r="AD233" s="57"/>
      <c r="AE233" s="57"/>
      <c r="AF233" s="57"/>
      <c r="AG233" s="230"/>
      <c r="AH233" s="230"/>
      <c r="AI233" s="123"/>
      <c r="AJ233" s="230"/>
      <c r="AK233" s="230"/>
    </row>
    <row r="234" spans="1:37" s="93" customFormat="1" x14ac:dyDescent="0.25">
      <c r="A234" s="195" t="s">
        <v>524</v>
      </c>
      <c r="B234" s="56">
        <f>B233+B227+B226</f>
        <v>22.924000000000149</v>
      </c>
      <c r="C234" s="56">
        <f t="shared" ref="C234:H234" si="206">C233+C227+C226</f>
        <v>45.683999999999841</v>
      </c>
      <c r="D234" s="56">
        <f t="shared" si="206"/>
        <v>25.225999999999956</v>
      </c>
      <c r="E234" s="56">
        <f t="shared" si="206"/>
        <v>143.55799999999991</v>
      </c>
      <c r="F234" s="56">
        <f t="shared" si="206"/>
        <v>114.37200000000001</v>
      </c>
      <c r="G234" s="56">
        <f t="shared" si="206"/>
        <v>12.107999999999976</v>
      </c>
      <c r="H234" s="56">
        <f t="shared" si="206"/>
        <v>137.10599999999997</v>
      </c>
      <c r="I234" s="56"/>
      <c r="T234" s="95"/>
      <c r="U234" s="95">
        <f t="shared" si="204"/>
        <v>-0.27761319087215341</v>
      </c>
      <c r="V234" s="95">
        <f t="shared" si="202"/>
        <v>-0.19732168109581061</v>
      </c>
      <c r="AG234" s="365"/>
      <c r="AH234" s="365"/>
      <c r="AI234" s="366"/>
      <c r="AJ234" s="365"/>
      <c r="AK234" s="365"/>
    </row>
    <row r="235" spans="1:37" s="93" customFormat="1" x14ac:dyDescent="0.25">
      <c r="A235" s="195" t="s">
        <v>525</v>
      </c>
      <c r="B235" s="56">
        <f>B233+B226+B232</f>
        <v>-135.47199999999987</v>
      </c>
      <c r="C235" s="56">
        <f t="shared" ref="C235:H235" si="207">C233+C226+C232</f>
        <v>8.7399999999998528</v>
      </c>
      <c r="D235" s="56">
        <f t="shared" si="207"/>
        <v>-16.464000000000048</v>
      </c>
      <c r="E235" s="56">
        <f t="shared" si="207"/>
        <v>34.715999999999909</v>
      </c>
      <c r="F235" s="56">
        <f t="shared" si="207"/>
        <v>36.546000000000035</v>
      </c>
      <c r="G235" s="56">
        <f t="shared" si="207"/>
        <v>49.609999999999971</v>
      </c>
      <c r="H235" s="56">
        <f t="shared" si="207"/>
        <v>57.255999999999915</v>
      </c>
      <c r="I235" s="56"/>
      <c r="T235" s="95"/>
      <c r="U235" s="95"/>
      <c r="V235" s="95">
        <f t="shared" si="202"/>
        <v>-0.31334579229748227</v>
      </c>
      <c r="AG235" s="365"/>
      <c r="AH235" s="365"/>
      <c r="AI235" s="366"/>
      <c r="AJ235" s="365"/>
      <c r="AK235" s="365"/>
    </row>
    <row r="236" spans="1:37" x14ac:dyDescent="0.25">
      <c r="A236" s="228"/>
      <c r="B236" s="56"/>
      <c r="C236" s="56"/>
      <c r="D236" s="56"/>
      <c r="E236" s="56"/>
      <c r="F236" s="56"/>
      <c r="G236" s="56"/>
      <c r="H236" s="56"/>
      <c r="I236" s="56"/>
      <c r="J236" s="57"/>
      <c r="K236" s="57"/>
      <c r="L236" s="57"/>
      <c r="M236" s="57"/>
      <c r="N236" s="57"/>
      <c r="O236" s="57"/>
      <c r="P236" s="57"/>
      <c r="Q236" s="57"/>
      <c r="R236" s="57"/>
      <c r="S236" s="57"/>
      <c r="T236" s="41"/>
      <c r="U236" s="41"/>
      <c r="V236" s="41"/>
      <c r="W236" s="57"/>
      <c r="X236" s="57"/>
      <c r="Y236" s="57"/>
      <c r="Z236" s="57"/>
      <c r="AA236" s="57"/>
      <c r="AB236" s="57"/>
      <c r="AC236" s="57"/>
      <c r="AD236" s="57"/>
      <c r="AE236" s="57"/>
      <c r="AF236" s="57"/>
      <c r="AG236" s="230"/>
      <c r="AH236" s="230"/>
      <c r="AI236" s="123"/>
      <c r="AJ236" s="230"/>
      <c r="AK236" s="230"/>
    </row>
    <row r="237" spans="1:37" x14ac:dyDescent="0.25">
      <c r="A237" s="228" t="s">
        <v>535</v>
      </c>
      <c r="B237" s="132">
        <f t="shared" ref="B237:H237" si="208">B86*(1-B117)</f>
        <v>131.44450934819199</v>
      </c>
      <c r="C237" s="132">
        <f t="shared" si="208"/>
        <v>107.82719999999988</v>
      </c>
      <c r="D237" s="132">
        <f t="shared" si="208"/>
        <v>105.56207999999995</v>
      </c>
      <c r="E237" s="132">
        <f t="shared" si="208"/>
        <v>123.01847999999993</v>
      </c>
      <c r="F237" s="132">
        <f t="shared" si="208"/>
        <v>103.61988000000005</v>
      </c>
      <c r="G237" s="132">
        <f t="shared" si="208"/>
        <v>84.949799999999982</v>
      </c>
      <c r="H237" s="132">
        <f t="shared" si="208"/>
        <v>121.95767999999995</v>
      </c>
      <c r="I237" s="56"/>
      <c r="J237" s="57"/>
      <c r="K237" s="57"/>
      <c r="L237" s="57"/>
      <c r="M237" s="57"/>
      <c r="N237" s="57"/>
      <c r="O237" s="57"/>
      <c r="P237" s="57"/>
      <c r="Q237" s="57"/>
      <c r="R237" s="57"/>
      <c r="S237" s="57"/>
      <c r="T237" s="41"/>
      <c r="U237" s="41">
        <f t="shared" ref="U237:U238" si="209">_xlfn.RRI(5.5,H237,B237)</f>
        <v>1.3713300268494377E-2</v>
      </c>
      <c r="V237" s="41">
        <f t="shared" ref="V237:V238" si="210">_xlfn.RRI(5,H237,C237)</f>
        <v>-2.4328015693485194E-2</v>
      </c>
      <c r="W237" s="57"/>
      <c r="X237" s="57"/>
      <c r="Y237" s="57"/>
      <c r="Z237" s="57"/>
      <c r="AA237" s="57"/>
      <c r="AB237" s="57"/>
      <c r="AC237" s="57"/>
      <c r="AD237" s="57"/>
      <c r="AE237" s="57"/>
      <c r="AF237" s="57"/>
      <c r="AG237" s="230"/>
      <c r="AH237" s="230"/>
      <c r="AI237" s="123"/>
      <c r="AJ237" s="230"/>
      <c r="AK237" s="230"/>
    </row>
    <row r="238" spans="1:37" x14ac:dyDescent="0.25">
      <c r="A238" s="228" t="s">
        <v>527</v>
      </c>
      <c r="B238" s="133">
        <f>B127</f>
        <v>56.9</v>
      </c>
      <c r="C238" s="133">
        <f t="shared" ref="C238:H238" si="211">C127</f>
        <v>56.1</v>
      </c>
      <c r="D238" s="133">
        <f t="shared" si="211"/>
        <v>57.7</v>
      </c>
      <c r="E238" s="133">
        <f t="shared" si="211"/>
        <v>54.1</v>
      </c>
      <c r="F238" s="133">
        <f t="shared" si="211"/>
        <v>55.1</v>
      </c>
      <c r="G238" s="133">
        <f t="shared" si="211"/>
        <v>50.8</v>
      </c>
      <c r="H238" s="133">
        <f t="shared" si="211"/>
        <v>49.8</v>
      </c>
      <c r="I238" s="56"/>
      <c r="J238" s="57"/>
      <c r="K238" s="57"/>
      <c r="L238" s="57"/>
      <c r="M238" s="57"/>
      <c r="N238" s="57"/>
      <c r="O238" s="57"/>
      <c r="P238" s="57"/>
      <c r="Q238" s="57"/>
      <c r="R238" s="57"/>
      <c r="S238" s="57"/>
      <c r="T238" s="41"/>
      <c r="U238" s="41">
        <f t="shared" si="209"/>
        <v>2.4528792443905489E-2</v>
      </c>
      <c r="V238" s="41">
        <f t="shared" si="210"/>
        <v>2.4110228352600682E-2</v>
      </c>
      <c r="W238" s="57"/>
      <c r="X238" s="57"/>
      <c r="Y238" s="57"/>
      <c r="Z238" s="57"/>
      <c r="AA238" s="57"/>
      <c r="AB238" s="57"/>
      <c r="AC238" s="57"/>
      <c r="AD238" s="57"/>
      <c r="AE238" s="57"/>
      <c r="AF238" s="57"/>
      <c r="AG238" s="230"/>
      <c r="AH238" s="230"/>
      <c r="AI238" s="123"/>
      <c r="AJ238" s="230"/>
      <c r="AK238" s="230"/>
    </row>
    <row r="239" spans="1:37" s="93" customFormat="1" x14ac:dyDescent="0.25">
      <c r="A239" s="195" t="s">
        <v>530</v>
      </c>
      <c r="B239" s="56">
        <f>SUM(B237:B238,B225:B226)</f>
        <v>-12.255490651807861</v>
      </c>
      <c r="C239" s="56">
        <f t="shared" ref="C239:H239" si="212">SUM(C237:C238,C225:C226)</f>
        <v>83.227199999999826</v>
      </c>
      <c r="D239" s="56">
        <f t="shared" si="212"/>
        <v>12.662079999999918</v>
      </c>
      <c r="E239" s="56">
        <f t="shared" si="212"/>
        <v>139.41847999999996</v>
      </c>
      <c r="F239" s="56">
        <f t="shared" si="212"/>
        <v>111.91988000000003</v>
      </c>
      <c r="G239" s="56">
        <f t="shared" si="212"/>
        <v>-14.150200000000069</v>
      </c>
      <c r="H239" s="56">
        <f t="shared" si="212"/>
        <v>95.957679999999982</v>
      </c>
      <c r="I239" s="56"/>
      <c r="T239" s="95"/>
      <c r="U239" s="95"/>
      <c r="V239" s="95">
        <f>_xlfn.RRI(5,H239,C239)</f>
        <v>-2.8065252223676729E-2</v>
      </c>
      <c r="AG239" s="365"/>
      <c r="AH239" s="365"/>
      <c r="AI239" s="366"/>
      <c r="AJ239" s="365"/>
      <c r="AK239" s="365"/>
    </row>
    <row r="240" spans="1:37" s="93" customFormat="1" x14ac:dyDescent="0.25">
      <c r="A240" s="195" t="s">
        <v>531</v>
      </c>
      <c r="B240" s="56">
        <f>B237+B238+B225+B232+B226</f>
        <v>-125.25549065180786</v>
      </c>
      <c r="C240" s="56">
        <f t="shared" ref="C240:H240" si="213">C237+C238+C225+C232+C226</f>
        <v>81.227199999999826</v>
      </c>
      <c r="D240" s="56">
        <f t="shared" si="213"/>
        <v>2.5620799999999235</v>
      </c>
      <c r="E240" s="56">
        <f t="shared" si="213"/>
        <v>68.718479999999957</v>
      </c>
      <c r="F240" s="56">
        <f t="shared" si="213"/>
        <v>82.219880000000046</v>
      </c>
      <c r="G240" s="56">
        <f t="shared" si="213"/>
        <v>65.549799999999919</v>
      </c>
      <c r="H240" s="56">
        <f t="shared" si="213"/>
        <v>49.257679999999937</v>
      </c>
      <c r="I240" s="56"/>
      <c r="T240" s="95"/>
      <c r="U240" s="95"/>
      <c r="V240" s="95">
        <f t="shared" ref="V240:V244" si="214">_xlfn.RRI(5,H240,C240)</f>
        <v>0.1052117818401932</v>
      </c>
      <c r="AG240" s="365"/>
      <c r="AH240" s="365"/>
      <c r="AI240" s="366"/>
      <c r="AJ240" s="365"/>
      <c r="AK240" s="365"/>
    </row>
    <row r="241" spans="1:37" x14ac:dyDescent="0.25">
      <c r="A241" s="228"/>
      <c r="B241" s="56"/>
      <c r="C241" s="56"/>
      <c r="D241" s="56"/>
      <c r="E241" s="56"/>
      <c r="F241" s="56"/>
      <c r="G241" s="56"/>
      <c r="H241" s="56"/>
      <c r="I241" s="56"/>
      <c r="J241" s="57"/>
      <c r="K241" s="57"/>
      <c r="L241" s="57"/>
      <c r="M241" s="57"/>
      <c r="N241" s="57"/>
      <c r="O241" s="57"/>
      <c r="P241" s="57"/>
      <c r="Q241" s="57"/>
      <c r="R241" s="57"/>
      <c r="S241" s="57"/>
      <c r="T241" s="41"/>
      <c r="U241" s="41"/>
      <c r="V241" s="41"/>
      <c r="W241" s="57"/>
      <c r="X241" s="57"/>
      <c r="Y241" s="57"/>
      <c r="Z241" s="57"/>
      <c r="AA241" s="57"/>
      <c r="AB241" s="57"/>
      <c r="AC241" s="57"/>
      <c r="AD241" s="57"/>
      <c r="AE241" s="57"/>
      <c r="AF241" s="57"/>
      <c r="AG241" s="230"/>
      <c r="AH241" s="230"/>
      <c r="AI241" s="123"/>
      <c r="AJ241" s="230"/>
      <c r="AK241" s="230"/>
    </row>
    <row r="242" spans="1:37" x14ac:dyDescent="0.25">
      <c r="A242" s="228" t="s">
        <v>426</v>
      </c>
      <c r="B242" s="132">
        <f t="shared" ref="B242:H242" si="215">B88*B117</f>
        <v>49.592092380259274</v>
      </c>
      <c r="C242" s="132">
        <f t="shared" si="215"/>
        <v>42.75479999999996</v>
      </c>
      <c r="D242" s="132">
        <f t="shared" si="215"/>
        <v>42.467919999999985</v>
      </c>
      <c r="E242" s="132">
        <f t="shared" si="215"/>
        <v>46.599519999999977</v>
      </c>
      <c r="F242" s="132">
        <f t="shared" si="215"/>
        <v>41.348120000000016</v>
      </c>
      <c r="G242" s="132">
        <f t="shared" si="215"/>
        <v>35.136199999999995</v>
      </c>
      <c r="H242" s="132">
        <f t="shared" si="215"/>
        <v>45.354319999999987</v>
      </c>
      <c r="I242" s="56"/>
      <c r="J242" s="57"/>
      <c r="K242" s="57"/>
      <c r="L242" s="57"/>
      <c r="M242" s="57"/>
      <c r="N242" s="57"/>
      <c r="O242" s="57"/>
      <c r="P242" s="57"/>
      <c r="Q242" s="57"/>
      <c r="R242" s="57"/>
      <c r="S242" s="57"/>
      <c r="T242" s="41"/>
      <c r="U242" s="41">
        <f t="shared" ref="U242:U245" si="216">_xlfn.RRI(5.5,H242,B242)</f>
        <v>1.6373687321323604E-2</v>
      </c>
      <c r="V242" s="41">
        <f t="shared" si="214"/>
        <v>-1.1735389072704994E-2</v>
      </c>
      <c r="W242" s="57"/>
      <c r="X242" s="57"/>
      <c r="Y242" s="57"/>
      <c r="Z242" s="57"/>
      <c r="AA242" s="57"/>
      <c r="AB242" s="57"/>
      <c r="AC242" s="57"/>
      <c r="AD242" s="57"/>
      <c r="AE242" s="57"/>
      <c r="AF242" s="57"/>
      <c r="AG242" s="230"/>
      <c r="AH242" s="230"/>
      <c r="AI242" s="123"/>
      <c r="AJ242" s="230"/>
      <c r="AK242" s="230"/>
    </row>
    <row r="243" spans="1:37" x14ac:dyDescent="0.25">
      <c r="A243" s="228" t="s">
        <v>534</v>
      </c>
      <c r="B243" s="133">
        <f>B127*B117</f>
        <v>12.517999999999999</v>
      </c>
      <c r="C243" s="133">
        <f t="shared" ref="C243:H243" si="217">C127*C117</f>
        <v>12.342000000000001</v>
      </c>
      <c r="D243" s="133">
        <f t="shared" si="217"/>
        <v>12.694000000000001</v>
      </c>
      <c r="E243" s="133">
        <f t="shared" si="217"/>
        <v>11.902000000000001</v>
      </c>
      <c r="F243" s="133">
        <f t="shared" si="217"/>
        <v>12.122</v>
      </c>
      <c r="G243" s="133">
        <f t="shared" si="217"/>
        <v>11.176</v>
      </c>
      <c r="H243" s="133">
        <f t="shared" si="217"/>
        <v>10.956</v>
      </c>
      <c r="I243" s="56"/>
      <c r="J243" s="57"/>
      <c r="K243" s="57"/>
      <c r="L243" s="57"/>
      <c r="M243" s="57"/>
      <c r="N243" s="57"/>
      <c r="O243" s="57"/>
      <c r="P243" s="57"/>
      <c r="Q243" s="57"/>
      <c r="R243" s="57"/>
      <c r="S243" s="57"/>
      <c r="T243" s="41"/>
      <c r="U243" s="41">
        <f t="shared" si="216"/>
        <v>2.4528792443905489E-2</v>
      </c>
      <c r="V243" s="41">
        <f t="shared" si="214"/>
        <v>2.4110228352600682E-2</v>
      </c>
      <c r="W243" s="57"/>
      <c r="X243" s="57"/>
      <c r="Y243" s="57"/>
      <c r="Z243" s="57"/>
      <c r="AA243" s="57"/>
      <c r="AB243" s="57"/>
      <c r="AC243" s="57"/>
      <c r="AD243" s="57"/>
      <c r="AE243" s="57"/>
      <c r="AF243" s="57"/>
      <c r="AG243" s="230"/>
      <c r="AH243" s="230"/>
      <c r="AI243" s="123"/>
      <c r="AJ243" s="230"/>
      <c r="AK243" s="230"/>
    </row>
    <row r="244" spans="1:37" s="93" customFormat="1" x14ac:dyDescent="0.25">
      <c r="A244" s="329" t="s">
        <v>533</v>
      </c>
      <c r="B244" s="328">
        <f>B242+B243+B225+B226</f>
        <v>-138.48990761974056</v>
      </c>
      <c r="C244" s="328">
        <f t="shared" ref="C244:H244" si="218">C242+C243+C225+C226</f>
        <v>-25.603200000000101</v>
      </c>
      <c r="D244" s="328">
        <f t="shared" si="218"/>
        <v>-95.43808000000007</v>
      </c>
      <c r="E244" s="328">
        <f t="shared" si="218"/>
        <v>20.801520000000018</v>
      </c>
      <c r="F244" s="328">
        <f t="shared" si="218"/>
        <v>6.6701200000000114</v>
      </c>
      <c r="G244" s="328">
        <f t="shared" si="218"/>
        <v>-103.58780000000007</v>
      </c>
      <c r="H244" s="328">
        <f t="shared" si="218"/>
        <v>-19.489679999999964</v>
      </c>
      <c r="I244" s="56"/>
      <c r="T244" s="95"/>
      <c r="U244" s="95">
        <f t="shared" si="216"/>
        <v>0.42836369495686832</v>
      </c>
      <c r="V244" s="95">
        <f t="shared" si="214"/>
        <v>5.6082650555740576E-2</v>
      </c>
      <c r="AG244" s="365"/>
      <c r="AH244" s="365"/>
      <c r="AI244" s="366"/>
      <c r="AJ244" s="365"/>
      <c r="AK244" s="365"/>
    </row>
    <row r="245" spans="1:37" s="93" customFormat="1" x14ac:dyDescent="0.25">
      <c r="A245" s="195" t="s">
        <v>532</v>
      </c>
      <c r="B245" s="56">
        <f>B237+B225+B226+B232</f>
        <v>-182.15549065180787</v>
      </c>
      <c r="C245" s="56">
        <f t="shared" ref="C245:H245" si="219">C237+C225+C226+C232</f>
        <v>25.127199999999831</v>
      </c>
      <c r="D245" s="56">
        <f t="shared" si="219"/>
        <v>-55.137920000000101</v>
      </c>
      <c r="E245" s="56">
        <f t="shared" si="219"/>
        <v>14.618479999999963</v>
      </c>
      <c r="F245" s="56">
        <f t="shared" si="219"/>
        <v>27.119880000000048</v>
      </c>
      <c r="G245" s="56">
        <f t="shared" si="219"/>
        <v>14.749799999999922</v>
      </c>
      <c r="H245" s="56">
        <f t="shared" si="219"/>
        <v>-0.54232000000004632</v>
      </c>
      <c r="I245" s="56"/>
      <c r="T245" s="95"/>
      <c r="U245" s="95">
        <f t="shared" si="216"/>
        <v>1.8794309130519427</v>
      </c>
      <c r="V245" s="95"/>
      <c r="AG245" s="365"/>
      <c r="AH245" s="365"/>
      <c r="AI245" s="366"/>
      <c r="AJ245" s="365"/>
      <c r="AK245" s="365"/>
    </row>
    <row r="246" spans="1:37" x14ac:dyDescent="0.25">
      <c r="A246" s="228"/>
      <c r="B246" s="56"/>
      <c r="C246" s="56"/>
      <c r="D246" s="56"/>
      <c r="E246" s="56"/>
      <c r="F246" s="56"/>
      <c r="G246" s="56"/>
      <c r="H246" s="56"/>
      <c r="I246" s="56"/>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230"/>
      <c r="AH246" s="230"/>
      <c r="AI246" s="123"/>
      <c r="AJ246" s="230"/>
      <c r="AK246" s="230"/>
    </row>
    <row r="247" spans="1:37" s="1" customFormat="1" x14ac:dyDescent="0.25">
      <c r="A247" s="1" t="s">
        <v>111</v>
      </c>
      <c r="B247" s="1" t="s">
        <v>476</v>
      </c>
      <c r="K247" s="236"/>
      <c r="L247" s="236"/>
      <c r="M247" s="236"/>
      <c r="N247" s="236"/>
      <c r="O247" s="236"/>
      <c r="P247" s="236"/>
      <c r="Q247" s="236"/>
      <c r="R247" s="236"/>
      <c r="S247" s="236"/>
      <c r="T247" s="236"/>
      <c r="U247" s="236"/>
      <c r="V247" s="236"/>
      <c r="W247" s="236"/>
      <c r="X247" s="236"/>
      <c r="Y247" s="236"/>
      <c r="Z247" s="236"/>
      <c r="AA247" s="236"/>
    </row>
    <row r="248" spans="1:37" s="1" customFormat="1" x14ac:dyDescent="0.25">
      <c r="A248" s="1" t="s">
        <v>346</v>
      </c>
      <c r="K248" s="236"/>
      <c r="L248" s="236"/>
      <c r="M248" s="236"/>
      <c r="N248" s="236"/>
      <c r="O248" s="236"/>
      <c r="P248" s="236"/>
      <c r="Q248" s="236"/>
      <c r="R248" s="236"/>
      <c r="S248" s="236"/>
      <c r="T248" s="236"/>
      <c r="U248" s="236"/>
      <c r="V248" s="236"/>
      <c r="W248" s="236"/>
      <c r="X248" s="236"/>
      <c r="Y248" s="236"/>
      <c r="Z248" s="236"/>
      <c r="AA248" s="236"/>
    </row>
    <row r="249" spans="1:37" s="1" customFormat="1" x14ac:dyDescent="0.25">
      <c r="A249" s="1" t="s">
        <v>3</v>
      </c>
      <c r="H249" s="2"/>
      <c r="I249" s="2"/>
      <c r="K249" s="236"/>
      <c r="L249" s="236"/>
      <c r="M249" s="236"/>
      <c r="N249" s="236"/>
      <c r="O249" s="236"/>
      <c r="P249" s="237"/>
      <c r="Q249" s="237"/>
      <c r="R249" s="237"/>
      <c r="S249" s="236"/>
      <c r="T249" s="236"/>
      <c r="U249" s="236"/>
      <c r="V249" s="236"/>
      <c r="W249" s="236"/>
      <c r="X249" s="236"/>
      <c r="Y249" s="236"/>
      <c r="Z249" s="236"/>
      <c r="AA249" s="236"/>
    </row>
    <row r="250" spans="1:37" s="1" customFormat="1" ht="15.75" thickBot="1" x14ac:dyDescent="0.3">
      <c r="A250" s="2" t="s">
        <v>11</v>
      </c>
      <c r="B250" s="17" t="s">
        <v>72</v>
      </c>
      <c r="C250" s="3">
        <v>2022</v>
      </c>
      <c r="D250" s="3">
        <v>2021</v>
      </c>
      <c r="E250" s="3">
        <v>2020</v>
      </c>
      <c r="F250" s="3">
        <v>2019</v>
      </c>
      <c r="G250" s="3">
        <v>2018</v>
      </c>
      <c r="H250" s="3">
        <v>2017</v>
      </c>
      <c r="I250" s="3">
        <v>2016</v>
      </c>
      <c r="K250" s="7"/>
      <c r="L250" s="7"/>
      <c r="M250" s="7"/>
      <c r="N250" s="7"/>
      <c r="O250" s="7"/>
      <c r="P250" s="7"/>
      <c r="Q250" s="7"/>
      <c r="R250" s="7"/>
      <c r="S250" s="236"/>
      <c r="T250" s="236"/>
      <c r="U250" s="236"/>
      <c r="V250" s="236"/>
      <c r="W250" s="7"/>
      <c r="X250" s="7"/>
      <c r="Y250" s="7"/>
      <c r="Z250" s="7"/>
      <c r="AA250" s="7"/>
    </row>
    <row r="251" spans="1:37" s="238" customFormat="1" x14ac:dyDescent="0.25">
      <c r="A251" s="252" t="s">
        <v>347</v>
      </c>
      <c r="B251" s="235">
        <f t="shared" ref="B251:I251" si="220">B11-B28</f>
        <v>404.2999999999999</v>
      </c>
      <c r="C251" s="235">
        <f t="shared" si="220"/>
        <v>312.80000000000007</v>
      </c>
      <c r="D251" s="235">
        <f t="shared" si="220"/>
        <v>342.40000000000003</v>
      </c>
      <c r="E251" s="235">
        <f t="shared" si="220"/>
        <v>272.39999999999998</v>
      </c>
      <c r="F251" s="235">
        <f t="shared" si="220"/>
        <v>223.3</v>
      </c>
      <c r="G251" s="235">
        <f t="shared" si="220"/>
        <v>241.59999999999991</v>
      </c>
      <c r="H251" s="235">
        <f t="shared" si="220"/>
        <v>225.5</v>
      </c>
      <c r="I251" s="235">
        <f t="shared" si="220"/>
        <v>144.99999999999994</v>
      </c>
    </row>
    <row r="252" spans="1:37" s="238" customFormat="1" x14ac:dyDescent="0.25">
      <c r="A252" s="252" t="s">
        <v>348</v>
      </c>
      <c r="B252" s="235">
        <f t="shared" ref="B252:I252" si="221">(B11-B7-B6)-(B28-B27)</f>
        <v>390.79999999999995</v>
      </c>
      <c r="C252" s="235">
        <f t="shared" si="221"/>
        <v>300.00000000000011</v>
      </c>
      <c r="D252" s="235">
        <f t="shared" si="221"/>
        <v>320.20000000000005</v>
      </c>
      <c r="E252" s="235">
        <f t="shared" si="221"/>
        <v>265.2</v>
      </c>
      <c r="F252" s="235">
        <f t="shared" si="221"/>
        <v>222.60000000000002</v>
      </c>
      <c r="G252" s="235">
        <f t="shared" si="221"/>
        <v>212.59999999999991</v>
      </c>
      <c r="H252" s="235">
        <f t="shared" si="221"/>
        <v>176.59999999999997</v>
      </c>
      <c r="I252" s="235">
        <f t="shared" si="221"/>
        <v>166.79999999999993</v>
      </c>
    </row>
    <row r="253" spans="1:37" s="238" customFormat="1" x14ac:dyDescent="0.25">
      <c r="A253" s="252" t="s">
        <v>349</v>
      </c>
      <c r="B253" s="239">
        <f t="shared" ref="B253:I253" si="222">B11/B28</f>
        <v>2.2214501510574012</v>
      </c>
      <c r="C253" s="239">
        <f t="shared" si="222"/>
        <v>1.9654320987654323</v>
      </c>
      <c r="D253" s="239">
        <f t="shared" si="222"/>
        <v>2.1984599229961499</v>
      </c>
      <c r="E253" s="239">
        <f t="shared" si="222"/>
        <v>1.9325573433755561</v>
      </c>
      <c r="F253" s="239">
        <f t="shared" si="222"/>
        <v>1.7538825118163404</v>
      </c>
      <c r="G253" s="239">
        <f t="shared" si="222"/>
        <v>1.8088382992969529</v>
      </c>
      <c r="H253" s="239">
        <f t="shared" si="222"/>
        <v>1.8019203413940257</v>
      </c>
      <c r="I253" s="239">
        <f t="shared" si="222"/>
        <v>1.4947117024906174</v>
      </c>
    </row>
    <row r="254" spans="1:37" s="238" customFormat="1" x14ac:dyDescent="0.25">
      <c r="A254" s="252" t="s">
        <v>350</v>
      </c>
      <c r="B254" s="239">
        <f t="shared" ref="B254:I254" si="223">(B6+B7+B8)/B28</f>
        <v>0.90906344410876128</v>
      </c>
      <c r="C254" s="239">
        <f t="shared" si="223"/>
        <v>0.76851851851851849</v>
      </c>
      <c r="D254" s="239">
        <f t="shared" si="223"/>
        <v>0.79908995449772491</v>
      </c>
      <c r="E254" s="239">
        <f t="shared" si="223"/>
        <v>0.73125641903457717</v>
      </c>
      <c r="F254" s="239">
        <f t="shared" si="223"/>
        <v>0.66475354490209326</v>
      </c>
      <c r="G254" s="239">
        <f t="shared" si="223"/>
        <v>0.77100770003347818</v>
      </c>
      <c r="H254" s="239">
        <f t="shared" si="223"/>
        <v>0.78058321479374115</v>
      </c>
      <c r="I254" s="239">
        <f t="shared" si="223"/>
        <v>0.53770044353462976</v>
      </c>
    </row>
    <row r="255" spans="1:37" s="238" customFormat="1" x14ac:dyDescent="0.25">
      <c r="A255" s="252" t="s">
        <v>351</v>
      </c>
      <c r="B255" s="239">
        <f t="shared" ref="B255:I255" si="224">(B6+B7)/B28</f>
        <v>0.11570996978851961</v>
      </c>
      <c r="C255" s="239">
        <f t="shared" si="224"/>
        <v>0.10277777777777777</v>
      </c>
      <c r="D255" s="239">
        <f t="shared" si="224"/>
        <v>0.15925796289814492</v>
      </c>
      <c r="E255" s="239">
        <f t="shared" si="224"/>
        <v>0.13180417665183156</v>
      </c>
      <c r="F255" s="239">
        <f t="shared" si="224"/>
        <v>0.11141120864280891</v>
      </c>
      <c r="G255" s="239">
        <f t="shared" si="224"/>
        <v>0.13592233009708737</v>
      </c>
      <c r="H255" s="239">
        <f t="shared" si="224"/>
        <v>0.21443812233285917</v>
      </c>
      <c r="I255" s="239">
        <f t="shared" si="224"/>
        <v>7.0965540771067898E-2</v>
      </c>
    </row>
    <row r="256" spans="1:37" s="238" customFormat="1" x14ac:dyDescent="0.25">
      <c r="A256" s="256" t="s">
        <v>352</v>
      </c>
      <c r="B256" s="239"/>
      <c r="C256" s="239"/>
      <c r="D256" s="239"/>
      <c r="E256" s="239"/>
      <c r="F256" s="239"/>
      <c r="G256" s="239"/>
    </row>
    <row r="257" spans="1:9" s="238" customFormat="1" x14ac:dyDescent="0.25">
      <c r="A257" s="252" t="s">
        <v>353</v>
      </c>
      <c r="B257" s="239">
        <f t="shared" ref="B257:H258" si="225">B55/AVERAGE(B8:C8)</f>
        <v>8.8199874555718178</v>
      </c>
      <c r="C257" s="239">
        <f t="shared" si="225"/>
        <v>9.939774153074028</v>
      </c>
      <c r="D257" s="239">
        <f t="shared" si="225"/>
        <v>9.3802738195026549</v>
      </c>
      <c r="E257" s="239">
        <f t="shared" si="225"/>
        <v>9.8471976401179937</v>
      </c>
      <c r="F257" s="239">
        <f t="shared" si="225"/>
        <v>9.2590497737556561</v>
      </c>
      <c r="G257" s="239">
        <f t="shared" si="225"/>
        <v>8.9578675838349113</v>
      </c>
      <c r="H257" s="239">
        <f t="shared" si="225"/>
        <v>9.9695945945945947</v>
      </c>
      <c r="I257" s="239"/>
    </row>
    <row r="258" spans="1:9" s="238" customFormat="1" x14ac:dyDescent="0.25">
      <c r="A258" s="252" t="s">
        <v>354</v>
      </c>
      <c r="B258" s="239">
        <f t="shared" si="225"/>
        <v>4.2610849640822392</v>
      </c>
      <c r="C258" s="239">
        <f t="shared" si="225"/>
        <v>4.886930545182973</v>
      </c>
      <c r="D258" s="239">
        <f t="shared" si="225"/>
        <v>4.411089238845145</v>
      </c>
      <c r="E258" s="239">
        <f t="shared" si="225"/>
        <v>4.3997310472348303</v>
      </c>
      <c r="F258" s="239">
        <f t="shared" si="225"/>
        <v>4.4751627269612886</v>
      </c>
      <c r="G258" s="239">
        <f t="shared" si="225"/>
        <v>4.834739263803681</v>
      </c>
      <c r="H258" s="239">
        <f t="shared" si="225"/>
        <v>4.9544673539518911</v>
      </c>
      <c r="I258" s="239"/>
    </row>
    <row r="259" spans="1:9" s="238" customFormat="1" x14ac:dyDescent="0.25">
      <c r="A259" s="252" t="s">
        <v>355</v>
      </c>
      <c r="B259" s="239">
        <f t="shared" ref="B259:H259" si="226">B272/AVERAGE(B25:C25)</f>
        <v>7.8912797281993203</v>
      </c>
      <c r="C259" s="239">
        <f t="shared" si="226"/>
        <v>8.8462958080674934</v>
      </c>
      <c r="D259" s="239">
        <f t="shared" si="226"/>
        <v>8.3975460122699381</v>
      </c>
      <c r="E259" s="239">
        <f t="shared" si="226"/>
        <v>8.0246913580246915</v>
      </c>
      <c r="F259" s="239">
        <f t="shared" si="226"/>
        <v>7.6122154998559486</v>
      </c>
      <c r="G259" s="239">
        <f t="shared" si="226"/>
        <v>8.0175493575681607</v>
      </c>
      <c r="H259" s="239">
        <f t="shared" si="226"/>
        <v>8.0580216707444947</v>
      </c>
      <c r="I259" s="239"/>
    </row>
    <row r="260" spans="1:9" s="238" customFormat="1" x14ac:dyDescent="0.25">
      <c r="A260" s="256" t="s">
        <v>356</v>
      </c>
      <c r="B260" s="239"/>
      <c r="C260" s="239"/>
      <c r="D260" s="239"/>
      <c r="E260" s="239"/>
      <c r="F260" s="239"/>
      <c r="G260" s="239"/>
      <c r="H260" s="239"/>
    </row>
    <row r="261" spans="1:9" s="238" customFormat="1" x14ac:dyDescent="0.25">
      <c r="A261" s="252" t="s">
        <v>357</v>
      </c>
      <c r="B261" s="239">
        <f>360/B257</f>
        <v>40.816384582562932</v>
      </c>
      <c r="C261" s="239">
        <f t="shared" ref="C261:H262" si="227">360/C257</f>
        <v>36.218126735672811</v>
      </c>
      <c r="D261" s="239">
        <f t="shared" si="227"/>
        <v>38.378410580245443</v>
      </c>
      <c r="E261" s="239">
        <f t="shared" si="227"/>
        <v>36.558624408363791</v>
      </c>
      <c r="F261" s="239">
        <f t="shared" si="227"/>
        <v>38.88087965791081</v>
      </c>
      <c r="G261" s="239">
        <f t="shared" si="227"/>
        <v>40.188135918602413</v>
      </c>
      <c r="H261" s="239">
        <f t="shared" si="227"/>
        <v>36.109793290410032</v>
      </c>
      <c r="I261" s="262"/>
    </row>
    <row r="262" spans="1:9" s="238" customFormat="1" x14ac:dyDescent="0.25">
      <c r="A262" s="252" t="s">
        <v>358</v>
      </c>
      <c r="B262" s="241">
        <f>360/B258</f>
        <v>84.48552493896058</v>
      </c>
      <c r="C262" s="241">
        <f t="shared" si="227"/>
        <v>73.665871997065821</v>
      </c>
      <c r="D262" s="241">
        <f t="shared" si="227"/>
        <v>81.612495351431747</v>
      </c>
      <c r="E262" s="241">
        <f t="shared" si="227"/>
        <v>81.823183311683337</v>
      </c>
      <c r="F262" s="241">
        <f t="shared" si="227"/>
        <v>80.444002143458619</v>
      </c>
      <c r="G262" s="241">
        <f t="shared" si="227"/>
        <v>74.461099214846541</v>
      </c>
      <c r="H262" s="241">
        <f t="shared" si="227"/>
        <v>72.661695855730869</v>
      </c>
      <c r="I262" s="262"/>
    </row>
    <row r="263" spans="1:9" s="238" customFormat="1" x14ac:dyDescent="0.25">
      <c r="A263" s="253" t="s">
        <v>359</v>
      </c>
      <c r="B263" s="242">
        <f>SUM(B261:B262)</f>
        <v>125.30190952152351</v>
      </c>
      <c r="C263" s="242">
        <f t="shared" ref="C263:H263" si="228">SUM(C261:C262)</f>
        <v>109.88399873273863</v>
      </c>
      <c r="D263" s="242">
        <f t="shared" si="228"/>
        <v>119.99090593167719</v>
      </c>
      <c r="E263" s="242">
        <f t="shared" si="228"/>
        <v>118.38180772004714</v>
      </c>
      <c r="F263" s="242">
        <f t="shared" si="228"/>
        <v>119.32488180136943</v>
      </c>
      <c r="G263" s="242">
        <f t="shared" si="228"/>
        <v>114.64923513344895</v>
      </c>
      <c r="H263" s="242">
        <f t="shared" si="228"/>
        <v>108.77148914614091</v>
      </c>
      <c r="I263" s="263"/>
    </row>
    <row r="264" spans="1:9" s="238" customFormat="1" x14ac:dyDescent="0.25">
      <c r="A264" s="252" t="s">
        <v>360</v>
      </c>
      <c r="B264" s="241">
        <f>360/B259</f>
        <v>45.619977037887487</v>
      </c>
      <c r="C264" s="241">
        <f t="shared" ref="C264:H264" si="229">360/C259</f>
        <v>40.694999105918818</v>
      </c>
      <c r="D264" s="241">
        <f t="shared" si="229"/>
        <v>42.869666861484518</v>
      </c>
      <c r="E264" s="241">
        <f t="shared" si="229"/>
        <v>44.861538461538458</v>
      </c>
      <c r="F264" s="241">
        <f t="shared" si="229"/>
        <v>47.292407841949895</v>
      </c>
      <c r="G264" s="241">
        <f t="shared" si="229"/>
        <v>44.901500938086301</v>
      </c>
      <c r="H264" s="241">
        <f t="shared" si="229"/>
        <v>44.67597813828403</v>
      </c>
      <c r="I264" s="262"/>
    </row>
    <row r="265" spans="1:9" s="238" customFormat="1" x14ac:dyDescent="0.25">
      <c r="A265" s="252" t="s">
        <v>361</v>
      </c>
      <c r="B265" s="239">
        <f>B263-B264</f>
        <v>79.681932483636018</v>
      </c>
      <c r="C265" s="239">
        <f t="shared" ref="C265:H265" si="230">C263-C264</f>
        <v>69.188999626819822</v>
      </c>
      <c r="D265" s="239">
        <f t="shared" si="230"/>
        <v>77.121239070192672</v>
      </c>
      <c r="E265" s="239">
        <f t="shared" si="230"/>
        <v>73.520269258508677</v>
      </c>
      <c r="F265" s="239">
        <f t="shared" si="230"/>
        <v>72.032473959419534</v>
      </c>
      <c r="G265" s="239">
        <f t="shared" si="230"/>
        <v>69.747734195362654</v>
      </c>
      <c r="H265" s="239">
        <f t="shared" si="230"/>
        <v>64.095511007856885</v>
      </c>
      <c r="I265" s="250"/>
    </row>
    <row r="266" spans="1:9" s="238" customFormat="1" x14ac:dyDescent="0.25">
      <c r="A266" s="256" t="s">
        <v>362</v>
      </c>
      <c r="B266" s="239"/>
      <c r="C266" s="239"/>
      <c r="D266" s="239"/>
      <c r="E266" s="239"/>
      <c r="F266" s="239"/>
      <c r="G266" s="239"/>
    </row>
    <row r="267" spans="1:9" s="238" customFormat="1" x14ac:dyDescent="0.25">
      <c r="A267" s="252" t="s">
        <v>363</v>
      </c>
      <c r="B267" s="239">
        <f t="shared" ref="B267:I268" si="231">B8/(B55/360)</f>
        <v>44.818660219030015</v>
      </c>
      <c r="C267" s="239">
        <f t="shared" si="231"/>
        <v>39.208280737187579</v>
      </c>
      <c r="D267" s="239">
        <f t="shared" si="231"/>
        <v>39.204098653639939</v>
      </c>
      <c r="E267" s="239">
        <f t="shared" si="231"/>
        <v>37.766460966988198</v>
      </c>
      <c r="F267" s="239">
        <f t="shared" si="231"/>
        <v>36.043982895540623</v>
      </c>
      <c r="G267" s="239">
        <f t="shared" si="231"/>
        <v>43.70128623536187</v>
      </c>
      <c r="H267" s="239">
        <f t="shared" si="231"/>
        <v>38.842426296170785</v>
      </c>
      <c r="I267" s="239">
        <f t="shared" si="231"/>
        <v>34.774749329190783</v>
      </c>
    </row>
    <row r="268" spans="1:9" s="238" customFormat="1" x14ac:dyDescent="0.25">
      <c r="A268" s="252" t="s">
        <v>364</v>
      </c>
      <c r="B268" s="239">
        <f t="shared" si="231"/>
        <v>94.530868503662347</v>
      </c>
      <c r="C268" s="239">
        <f t="shared" si="231"/>
        <v>78.276178250504302</v>
      </c>
      <c r="D268" s="239">
        <f t="shared" si="231"/>
        <v>84.022313127556714</v>
      </c>
      <c r="E268" s="239">
        <f t="shared" si="231"/>
        <v>81.36929777641933</v>
      </c>
      <c r="F268" s="239">
        <f t="shared" si="231"/>
        <v>82.428232412156476</v>
      </c>
      <c r="G268" s="239">
        <f t="shared" si="231"/>
        <v>81.284796573875809</v>
      </c>
      <c r="H268" s="239">
        <f t="shared" si="231"/>
        <v>73.941390671059466</v>
      </c>
      <c r="I268" s="239">
        <f t="shared" si="231"/>
        <v>73.106020245071917</v>
      </c>
    </row>
    <row r="269" spans="1:9" s="238" customFormat="1" x14ac:dyDescent="0.25">
      <c r="A269" s="252" t="s">
        <v>365</v>
      </c>
      <c r="B269" s="239">
        <f t="shared" ref="B269:I269" si="232">B25/(B272/360)</f>
        <v>48.378874856486803</v>
      </c>
      <c r="C269" s="239">
        <f t="shared" si="232"/>
        <v>44.503784943672883</v>
      </c>
      <c r="D269" s="239">
        <f t="shared" si="232"/>
        <v>45.210403272939807</v>
      </c>
      <c r="E269" s="239">
        <f t="shared" si="232"/>
        <v>42.673846153846149</v>
      </c>
      <c r="F269" s="239">
        <f t="shared" si="232"/>
        <v>46.297782151237605</v>
      </c>
      <c r="G269" s="239">
        <f t="shared" si="232"/>
        <v>49.868667917448398</v>
      </c>
      <c r="H269" s="239">
        <f t="shared" si="232"/>
        <v>44.316821375900062</v>
      </c>
      <c r="I269" s="239">
        <f t="shared" si="232"/>
        <v>45.960159362549796</v>
      </c>
    </row>
    <row r="270" spans="1:9" s="238" customFormat="1" x14ac:dyDescent="0.25">
      <c r="A270" s="253" t="s">
        <v>366</v>
      </c>
      <c r="B270" s="239"/>
      <c r="C270" s="239"/>
      <c r="D270" s="239"/>
      <c r="E270" s="239"/>
      <c r="F270" s="239"/>
      <c r="G270" s="239"/>
    </row>
    <row r="271" spans="1:9" s="238" customFormat="1" x14ac:dyDescent="0.25">
      <c r="A271" s="252" t="s">
        <v>367</v>
      </c>
      <c r="B271" s="235">
        <f t="shared" ref="B271:I271" si="233">B55+B146</f>
        <v>2069.9</v>
      </c>
      <c r="C271" s="235">
        <f t="shared" si="233"/>
        <v>1938.7</v>
      </c>
      <c r="D271" s="235">
        <f t="shared" si="233"/>
        <v>1654.3</v>
      </c>
      <c r="E271" s="235">
        <f t="shared" si="233"/>
        <v>1677.8</v>
      </c>
      <c r="F271" s="235">
        <f t="shared" si="233"/>
        <v>1622.2</v>
      </c>
      <c r="G271" s="235">
        <f t="shared" si="233"/>
        <v>1544.4</v>
      </c>
      <c r="H271" s="235">
        <f t="shared" si="233"/>
        <v>1476.2</v>
      </c>
      <c r="I271" s="235">
        <f t="shared" si="233"/>
        <v>1412.9</v>
      </c>
    </row>
    <row r="272" spans="1:9" s="238" customFormat="1" x14ac:dyDescent="0.25">
      <c r="A272" s="252" t="s">
        <v>428</v>
      </c>
      <c r="B272" s="243">
        <f>B56-B145</f>
        <v>1742</v>
      </c>
      <c r="C272" s="243">
        <f t="shared" ref="C272:I272" si="234">C56-C146</f>
        <v>1677.7</v>
      </c>
      <c r="D272" s="243">
        <f t="shared" si="234"/>
        <v>1368.8</v>
      </c>
      <c r="E272" s="243">
        <f t="shared" si="234"/>
        <v>1300</v>
      </c>
      <c r="F272" s="243">
        <f t="shared" si="234"/>
        <v>1321.1</v>
      </c>
      <c r="G272" s="243">
        <f t="shared" si="234"/>
        <v>1279.2</v>
      </c>
      <c r="H272" s="243">
        <f t="shared" si="234"/>
        <v>1152.7</v>
      </c>
      <c r="I272" s="243">
        <f t="shared" si="234"/>
        <v>1129.5</v>
      </c>
    </row>
    <row r="273" spans="1:27" s="238" customFormat="1" x14ac:dyDescent="0.25">
      <c r="A273" s="252" t="s">
        <v>322</v>
      </c>
      <c r="B273" s="244">
        <f t="shared" ref="B273:I273" si="235">-B153</f>
        <v>1762.4</v>
      </c>
      <c r="C273" s="244">
        <f t="shared" si="235"/>
        <v>1645</v>
      </c>
      <c r="D273" s="244">
        <f t="shared" si="235"/>
        <v>1347.8999999999999</v>
      </c>
      <c r="E273" s="244">
        <f t="shared" si="235"/>
        <v>1325.3</v>
      </c>
      <c r="F273" s="244">
        <f t="shared" si="235"/>
        <v>1324.1999999999998</v>
      </c>
      <c r="G273" s="244">
        <f t="shared" si="235"/>
        <v>1248.4000000000001</v>
      </c>
      <c r="H273" s="244">
        <f t="shared" si="235"/>
        <v>1166.3</v>
      </c>
      <c r="I273" s="244">
        <f t="shared" si="235"/>
        <v>1124.5</v>
      </c>
    </row>
    <row r="274" spans="1:27" s="238" customFormat="1" x14ac:dyDescent="0.25">
      <c r="A274" s="252" t="s">
        <v>368</v>
      </c>
      <c r="B274" s="244">
        <f t="shared" ref="B274:I274" si="236">B271-B199</f>
        <v>1982.5719999999999</v>
      </c>
      <c r="C274" s="244">
        <f t="shared" si="236"/>
        <v>1827.0600000000002</v>
      </c>
      <c r="D274" s="244">
        <f t="shared" si="236"/>
        <v>1565.0640000000001</v>
      </c>
      <c r="E274" s="244">
        <f t="shared" si="236"/>
        <v>1577.2840000000001</v>
      </c>
      <c r="F274" s="244">
        <f t="shared" si="236"/>
        <v>1519.154</v>
      </c>
      <c r="G274" s="244">
        <f t="shared" si="236"/>
        <v>1460.5900000000001</v>
      </c>
      <c r="H274" s="244">
        <f t="shared" si="236"/>
        <v>1306.2440000000001</v>
      </c>
      <c r="I274" s="244">
        <f t="shared" si="236"/>
        <v>1273.598</v>
      </c>
    </row>
    <row r="275" spans="1:27" s="238" customFormat="1" x14ac:dyDescent="0.25">
      <c r="A275" s="252" t="s">
        <v>369</v>
      </c>
      <c r="B275" s="239">
        <f>B271/360</f>
        <v>5.7497222222222222</v>
      </c>
      <c r="C275" s="239">
        <f t="shared" ref="C275:I276" si="237">C271/360</f>
        <v>5.3852777777777776</v>
      </c>
      <c r="D275" s="239">
        <f t="shared" si="237"/>
        <v>4.5952777777777776</v>
      </c>
      <c r="E275" s="239">
        <f t="shared" si="237"/>
        <v>4.6605555555555558</v>
      </c>
      <c r="F275" s="239">
        <f t="shared" si="237"/>
        <v>4.5061111111111112</v>
      </c>
      <c r="G275" s="239">
        <f t="shared" si="237"/>
        <v>4.29</v>
      </c>
      <c r="H275" s="239">
        <f t="shared" si="237"/>
        <v>4.1005555555555553</v>
      </c>
      <c r="I275" s="239">
        <f t="shared" si="237"/>
        <v>3.9247222222222224</v>
      </c>
    </row>
    <row r="276" spans="1:27" s="238" customFormat="1" ht="15.75" thickBot="1" x14ac:dyDescent="0.3">
      <c r="A276" s="254" t="s">
        <v>370</v>
      </c>
      <c r="B276" s="264">
        <f>B272/360</f>
        <v>4.8388888888888886</v>
      </c>
      <c r="C276" s="264">
        <f t="shared" si="237"/>
        <v>4.660277777777778</v>
      </c>
      <c r="D276" s="264">
        <f t="shared" si="237"/>
        <v>3.8022222222222219</v>
      </c>
      <c r="E276" s="264">
        <f t="shared" si="237"/>
        <v>3.6111111111111112</v>
      </c>
      <c r="F276" s="264">
        <f t="shared" si="237"/>
        <v>3.6697222222222221</v>
      </c>
      <c r="G276" s="264">
        <f t="shared" si="237"/>
        <v>3.5533333333333337</v>
      </c>
      <c r="H276" s="264">
        <f t="shared" si="237"/>
        <v>3.2019444444444445</v>
      </c>
      <c r="I276" s="264">
        <f t="shared" si="237"/>
        <v>3.1375000000000002</v>
      </c>
    </row>
    <row r="277" spans="1:27" s="238" customFormat="1" ht="15.75" thickTop="1" x14ac:dyDescent="0.25">
      <c r="A277" s="255"/>
    </row>
    <row r="278" spans="1:27" s="1" customFormat="1" x14ac:dyDescent="0.25">
      <c r="A278" s="1" t="s">
        <v>111</v>
      </c>
      <c r="B278" s="1" t="s">
        <v>476</v>
      </c>
      <c r="K278" s="236"/>
      <c r="L278" s="236"/>
      <c r="M278" s="236"/>
      <c r="N278" s="236"/>
      <c r="O278" s="236"/>
      <c r="P278" s="236"/>
      <c r="Q278" s="236"/>
      <c r="R278" s="236"/>
      <c r="S278" s="236"/>
      <c r="T278" s="236"/>
      <c r="U278" s="236"/>
      <c r="V278" s="236"/>
      <c r="W278" s="236"/>
      <c r="X278" s="236"/>
      <c r="Y278" s="236"/>
      <c r="Z278" s="236"/>
      <c r="AA278" s="236"/>
    </row>
    <row r="279" spans="1:27" s="1" customFormat="1" x14ac:dyDescent="0.25">
      <c r="A279" s="1" t="s">
        <v>371</v>
      </c>
      <c r="K279" s="236"/>
      <c r="L279" s="236"/>
      <c r="M279" s="236"/>
      <c r="N279" s="236"/>
      <c r="O279" s="236"/>
      <c r="P279" s="236"/>
      <c r="Q279" s="236"/>
      <c r="R279" s="236"/>
      <c r="S279" s="236"/>
      <c r="T279" s="236"/>
      <c r="U279" s="236"/>
      <c r="V279" s="236"/>
      <c r="W279" s="236"/>
      <c r="X279" s="236"/>
      <c r="Y279" s="236"/>
      <c r="Z279" s="236"/>
      <c r="AA279" s="236"/>
    </row>
    <row r="280" spans="1:27" s="1" customFormat="1" x14ac:dyDescent="0.25">
      <c r="A280" s="1" t="s">
        <v>3</v>
      </c>
      <c r="H280" s="2"/>
      <c r="I280" s="2"/>
      <c r="K280" s="236"/>
      <c r="L280" s="236"/>
      <c r="M280" s="236"/>
      <c r="N280" s="236"/>
      <c r="O280" s="236"/>
      <c r="P280" s="237"/>
      <c r="Q280" s="237"/>
      <c r="R280" s="237"/>
      <c r="S280" s="236"/>
      <c r="T280" s="236"/>
      <c r="U280" s="236"/>
      <c r="V280" s="236"/>
      <c r="W280" s="236"/>
      <c r="X280" s="236"/>
      <c r="Y280" s="236"/>
      <c r="Z280" s="236"/>
      <c r="AA280" s="236"/>
    </row>
    <row r="281" spans="1:27" s="1" customFormat="1" ht="15.75" thickBot="1" x14ac:dyDescent="0.3">
      <c r="A281" s="2" t="s">
        <v>11</v>
      </c>
      <c r="B281" s="17" t="s">
        <v>72</v>
      </c>
      <c r="C281" s="3">
        <v>2022</v>
      </c>
      <c r="D281" s="3">
        <v>2021</v>
      </c>
      <c r="E281" s="3">
        <v>2020</v>
      </c>
      <c r="F281" s="3">
        <v>2019</v>
      </c>
      <c r="G281" s="3">
        <v>2018</v>
      </c>
      <c r="H281" s="3">
        <v>2017</v>
      </c>
      <c r="I281" s="3">
        <v>2016</v>
      </c>
      <c r="K281" s="7"/>
      <c r="L281" s="7"/>
      <c r="M281" s="7"/>
      <c r="N281" s="7"/>
      <c r="O281" s="7"/>
      <c r="P281" s="7"/>
      <c r="Q281" s="7"/>
      <c r="R281" s="7"/>
      <c r="S281" s="236"/>
      <c r="T281" s="236"/>
      <c r="U281" s="236"/>
      <c r="V281" s="236"/>
      <c r="W281" s="7"/>
      <c r="X281" s="7"/>
      <c r="Y281" s="7"/>
      <c r="Z281" s="7"/>
      <c r="AA281" s="7"/>
    </row>
    <row r="282" spans="1:27" s="238" customFormat="1" x14ac:dyDescent="0.25">
      <c r="A282" s="256" t="s">
        <v>372</v>
      </c>
    </row>
    <row r="283" spans="1:27" s="238" customFormat="1" x14ac:dyDescent="0.25">
      <c r="A283" s="252" t="s">
        <v>375</v>
      </c>
      <c r="B283" s="235">
        <f>B285-B284</f>
        <v>453.69999999999959</v>
      </c>
      <c r="C283" s="235">
        <f t="shared" ref="C283:I283" si="238">C285-C284</f>
        <v>470.20000000000005</v>
      </c>
      <c r="D283" s="235">
        <f t="shared" si="238"/>
        <v>446.30000000000018</v>
      </c>
      <c r="E283" s="235">
        <f t="shared" si="238"/>
        <v>455.50000000000023</v>
      </c>
      <c r="F283" s="235">
        <f t="shared" si="238"/>
        <v>482.60000000000014</v>
      </c>
      <c r="G283" s="235">
        <f t="shared" si="238"/>
        <v>422.50000000000011</v>
      </c>
      <c r="H283" s="235">
        <f t="shared" si="238"/>
        <v>417.40000000000009</v>
      </c>
      <c r="I283" s="235">
        <f t="shared" si="238"/>
        <v>390.50000000000011</v>
      </c>
    </row>
    <row r="284" spans="1:27" s="238" customFormat="1" x14ac:dyDescent="0.25">
      <c r="A284" s="252" t="s">
        <v>374</v>
      </c>
      <c r="B284" s="247">
        <f t="shared" ref="B284:I284" si="239">B29+B27</f>
        <v>962.60000000000014</v>
      </c>
      <c r="C284" s="247">
        <f t="shared" si="239"/>
        <v>838.2</v>
      </c>
      <c r="D284" s="247">
        <f t="shared" si="239"/>
        <v>804.8</v>
      </c>
      <c r="E284" s="247">
        <f t="shared" si="239"/>
        <v>797.09999999999991</v>
      </c>
      <c r="F284" s="247">
        <f t="shared" si="239"/>
        <v>923.3</v>
      </c>
      <c r="G284" s="247">
        <f t="shared" si="239"/>
        <v>990.4</v>
      </c>
      <c r="H284" s="247">
        <f t="shared" si="239"/>
        <v>677</v>
      </c>
      <c r="I284" s="247">
        <f t="shared" si="239"/>
        <v>662.4</v>
      </c>
    </row>
    <row r="285" spans="1:27" s="238" customFormat="1" x14ac:dyDescent="0.25">
      <c r="A285" s="253" t="s">
        <v>373</v>
      </c>
      <c r="B285" s="240">
        <f>B289-B288</f>
        <v>1416.2999999999997</v>
      </c>
      <c r="C285" s="240">
        <f t="shared" ref="C285:I285" si="240">C289-C288</f>
        <v>1308.4000000000001</v>
      </c>
      <c r="D285" s="240">
        <f t="shared" si="240"/>
        <v>1251.1000000000001</v>
      </c>
      <c r="E285" s="240">
        <f t="shared" si="240"/>
        <v>1252.6000000000001</v>
      </c>
      <c r="F285" s="240">
        <f t="shared" si="240"/>
        <v>1405.9</v>
      </c>
      <c r="G285" s="240">
        <f t="shared" si="240"/>
        <v>1412.9</v>
      </c>
      <c r="H285" s="240">
        <f t="shared" si="240"/>
        <v>1094.4000000000001</v>
      </c>
      <c r="I285" s="240">
        <f t="shared" si="240"/>
        <v>1052.9000000000001</v>
      </c>
    </row>
    <row r="286" spans="1:27" s="238" customFormat="1" x14ac:dyDescent="0.25">
      <c r="A286" s="252" t="s">
        <v>376</v>
      </c>
      <c r="B286" s="238">
        <v>0</v>
      </c>
      <c r="C286" s="238">
        <v>0</v>
      </c>
      <c r="D286" s="238">
        <v>0</v>
      </c>
      <c r="E286" s="238">
        <v>0</v>
      </c>
      <c r="F286" s="238">
        <v>0</v>
      </c>
      <c r="G286" s="238">
        <v>0</v>
      </c>
      <c r="H286" s="238">
        <v>0</v>
      </c>
      <c r="I286" s="238">
        <v>1</v>
      </c>
    </row>
    <row r="287" spans="1:27" s="238" customFormat="1" x14ac:dyDescent="0.25">
      <c r="A287" s="252" t="s">
        <v>377</v>
      </c>
      <c r="B287" s="247">
        <f>B288</f>
        <v>492.29999999999995</v>
      </c>
      <c r="C287" s="247">
        <f t="shared" ref="C287:I287" si="241">C288</f>
        <v>403</v>
      </c>
      <c r="D287" s="247">
        <f t="shared" si="241"/>
        <v>410.7999999999999</v>
      </c>
      <c r="E287" s="247">
        <f t="shared" si="241"/>
        <v>346.00000000000006</v>
      </c>
      <c r="F287" s="247">
        <f t="shared" si="241"/>
        <v>158.69999999999999</v>
      </c>
      <c r="G287" s="247">
        <f t="shared" si="241"/>
        <v>66.999999999999986</v>
      </c>
      <c r="H287" s="247">
        <f t="shared" si="241"/>
        <v>105.8</v>
      </c>
      <c r="I287" s="247">
        <f t="shared" si="241"/>
        <v>34.600000000000009</v>
      </c>
    </row>
    <row r="288" spans="1:27" s="238" customFormat="1" x14ac:dyDescent="0.25">
      <c r="A288" s="253" t="s">
        <v>444</v>
      </c>
      <c r="B288" s="274">
        <f t="shared" ref="B288:I288" si="242">B41</f>
        <v>492.29999999999995</v>
      </c>
      <c r="C288" s="274">
        <f t="shared" si="242"/>
        <v>403</v>
      </c>
      <c r="D288" s="274">
        <f t="shared" si="242"/>
        <v>410.7999999999999</v>
      </c>
      <c r="E288" s="274">
        <f t="shared" si="242"/>
        <v>346.00000000000006</v>
      </c>
      <c r="F288" s="274">
        <f t="shared" si="242"/>
        <v>158.69999999999999</v>
      </c>
      <c r="G288" s="274">
        <f t="shared" si="242"/>
        <v>66.999999999999986</v>
      </c>
      <c r="H288" s="274">
        <f t="shared" si="242"/>
        <v>105.8</v>
      </c>
      <c r="I288" s="274">
        <f t="shared" si="242"/>
        <v>34.600000000000009</v>
      </c>
    </row>
    <row r="289" spans="1:10" s="238" customFormat="1" ht="15.75" thickBot="1" x14ac:dyDescent="0.3">
      <c r="A289" s="252" t="s">
        <v>48</v>
      </c>
      <c r="B289" s="245">
        <f t="shared" ref="B289:I289" si="243">B23</f>
        <v>1908.5999999999997</v>
      </c>
      <c r="C289" s="245">
        <f t="shared" si="243"/>
        <v>1711.4</v>
      </c>
      <c r="D289" s="245">
        <f t="shared" si="243"/>
        <v>1661.9</v>
      </c>
      <c r="E289" s="245">
        <f t="shared" si="243"/>
        <v>1598.6000000000001</v>
      </c>
      <c r="F289" s="245">
        <f t="shared" si="243"/>
        <v>1564.6000000000001</v>
      </c>
      <c r="G289" s="245">
        <f t="shared" si="243"/>
        <v>1479.9</v>
      </c>
      <c r="H289" s="245">
        <f t="shared" si="243"/>
        <v>1200.2</v>
      </c>
      <c r="I289" s="245">
        <f t="shared" si="243"/>
        <v>1087.5</v>
      </c>
    </row>
    <row r="290" spans="1:10" s="238" customFormat="1" ht="15.75" thickTop="1" x14ac:dyDescent="0.25">
      <c r="A290" s="256" t="s">
        <v>379</v>
      </c>
    </row>
    <row r="291" spans="1:10" s="238" customFormat="1" x14ac:dyDescent="0.25">
      <c r="A291" s="252" t="s">
        <v>375</v>
      </c>
      <c r="B291" s="248">
        <f>B283/B289</f>
        <v>0.23771350728282492</v>
      </c>
      <c r="C291" s="248">
        <f t="shared" ref="C291:I291" si="244">C283/C289</f>
        <v>0.27474582213392545</v>
      </c>
      <c r="D291" s="248">
        <f t="shared" si="244"/>
        <v>0.26854804741560873</v>
      </c>
      <c r="E291" s="248">
        <f t="shared" si="244"/>
        <v>0.28493681971725271</v>
      </c>
      <c r="F291" s="248">
        <f t="shared" si="244"/>
        <v>0.30844944394733487</v>
      </c>
      <c r="G291" s="248">
        <f t="shared" si="244"/>
        <v>0.28549226299074265</v>
      </c>
      <c r="H291" s="248">
        <f t="shared" si="244"/>
        <v>0.34777537077153814</v>
      </c>
      <c r="I291" s="248">
        <f t="shared" si="244"/>
        <v>0.35908045977011505</v>
      </c>
      <c r="J291" s="248"/>
    </row>
    <row r="292" spans="1:10" s="238" customFormat="1" x14ac:dyDescent="0.25">
      <c r="A292" s="252" t="s">
        <v>374</v>
      </c>
      <c r="B292" s="249">
        <f>B284/B289</f>
        <v>0.50434873729435203</v>
      </c>
      <c r="C292" s="249">
        <f t="shared" ref="C292:I292" si="245">C284/C289</f>
        <v>0.48977445366366718</v>
      </c>
      <c r="D292" s="249">
        <f t="shared" si="245"/>
        <v>0.4842649978939767</v>
      </c>
      <c r="E292" s="249">
        <f t="shared" si="245"/>
        <v>0.49862379582134359</v>
      </c>
      <c r="F292" s="249">
        <f t="shared" si="245"/>
        <v>0.5901188802249776</v>
      </c>
      <c r="G292" s="249">
        <f t="shared" si="245"/>
        <v>0.669234407730252</v>
      </c>
      <c r="H292" s="249">
        <f t="shared" si="245"/>
        <v>0.56407265455757372</v>
      </c>
      <c r="I292" s="249">
        <f t="shared" si="245"/>
        <v>0.60910344827586205</v>
      </c>
    </row>
    <row r="293" spans="1:10" s="238" customFormat="1" x14ac:dyDescent="0.25">
      <c r="A293" s="253" t="s">
        <v>373</v>
      </c>
      <c r="B293" s="20">
        <f>B285/B289</f>
        <v>0.74206224457717695</v>
      </c>
      <c r="C293" s="20">
        <f t="shared" ref="C293:I293" si="246">C285/C289</f>
        <v>0.76452027579759263</v>
      </c>
      <c r="D293" s="20">
        <f t="shared" si="246"/>
        <v>0.75281304530958548</v>
      </c>
      <c r="E293" s="20">
        <f t="shared" si="246"/>
        <v>0.78356061553859624</v>
      </c>
      <c r="F293" s="20">
        <f t="shared" si="246"/>
        <v>0.89856832417231236</v>
      </c>
      <c r="G293" s="20">
        <f t="shared" si="246"/>
        <v>0.95472667072099471</v>
      </c>
      <c r="H293" s="20">
        <f t="shared" si="246"/>
        <v>0.91184802532911191</v>
      </c>
      <c r="I293" s="20">
        <f t="shared" si="246"/>
        <v>0.96818390804597709</v>
      </c>
    </row>
    <row r="294" spans="1:10" s="238" customFormat="1" x14ac:dyDescent="0.25">
      <c r="A294" s="252" t="s">
        <v>376</v>
      </c>
      <c r="B294" s="286">
        <f>B286/B289</f>
        <v>0</v>
      </c>
      <c r="C294" s="286">
        <f t="shared" ref="C294:I294" si="247">C286/C289</f>
        <v>0</v>
      </c>
      <c r="D294" s="286">
        <f t="shared" si="247"/>
        <v>0</v>
      </c>
      <c r="E294" s="286">
        <f t="shared" si="247"/>
        <v>0</v>
      </c>
      <c r="F294" s="286">
        <f t="shared" si="247"/>
        <v>0</v>
      </c>
      <c r="G294" s="286">
        <f t="shared" si="247"/>
        <v>0</v>
      </c>
      <c r="H294" s="286">
        <f t="shared" si="247"/>
        <v>0</v>
      </c>
      <c r="I294" s="286">
        <f t="shared" si="247"/>
        <v>9.1954022988505744E-4</v>
      </c>
    </row>
    <row r="295" spans="1:10" s="238" customFormat="1" x14ac:dyDescent="0.25">
      <c r="A295" s="252" t="s">
        <v>377</v>
      </c>
      <c r="B295" s="249">
        <f>B287/B289</f>
        <v>0.25793775542282305</v>
      </c>
      <c r="C295" s="249">
        <f t="shared" ref="C295:I295" si="248">C287/C289</f>
        <v>0.23547972420240737</v>
      </c>
      <c r="D295" s="249">
        <f t="shared" si="248"/>
        <v>0.24718695469041452</v>
      </c>
      <c r="E295" s="249">
        <f t="shared" si="248"/>
        <v>0.21643938446140373</v>
      </c>
      <c r="F295" s="249">
        <f t="shared" si="248"/>
        <v>0.10143167582768757</v>
      </c>
      <c r="G295" s="249">
        <f t="shared" si="248"/>
        <v>4.5273329279005327E-2</v>
      </c>
      <c r="H295" s="249">
        <f t="shared" si="248"/>
        <v>8.8151974670888186E-2</v>
      </c>
      <c r="I295" s="249">
        <f t="shared" si="248"/>
        <v>3.1816091954022997E-2</v>
      </c>
    </row>
    <row r="296" spans="1:10" s="238" customFormat="1" x14ac:dyDescent="0.25">
      <c r="A296" s="253" t="s">
        <v>378</v>
      </c>
      <c r="B296" s="18">
        <f>B288/B289</f>
        <v>0.25793775542282305</v>
      </c>
      <c r="C296" s="18">
        <f t="shared" ref="C296:I296" si="249">C288/C289</f>
        <v>0.23547972420240737</v>
      </c>
      <c r="D296" s="18">
        <f t="shared" si="249"/>
        <v>0.24718695469041452</v>
      </c>
      <c r="E296" s="18">
        <f t="shared" si="249"/>
        <v>0.21643938446140373</v>
      </c>
      <c r="F296" s="18">
        <f t="shared" si="249"/>
        <v>0.10143167582768757</v>
      </c>
      <c r="G296" s="18">
        <f t="shared" si="249"/>
        <v>4.5273329279005327E-2</v>
      </c>
      <c r="H296" s="18">
        <f t="shared" si="249"/>
        <v>8.8151974670888186E-2</v>
      </c>
      <c r="I296" s="18">
        <f t="shared" si="249"/>
        <v>3.1816091954022997E-2</v>
      </c>
    </row>
    <row r="297" spans="1:10" s="238" customFormat="1" ht="15.75" thickBot="1" x14ac:dyDescent="0.3">
      <c r="A297" s="253" t="s">
        <v>48</v>
      </c>
      <c r="B297" s="19">
        <f>SUM(B293:B295)</f>
        <v>1</v>
      </c>
      <c r="C297" s="19">
        <f t="shared" ref="C297:I297" si="250">SUM(C293:C295)</f>
        <v>1</v>
      </c>
      <c r="D297" s="19">
        <f t="shared" si="250"/>
        <v>1</v>
      </c>
      <c r="E297" s="19">
        <f t="shared" si="250"/>
        <v>1</v>
      </c>
      <c r="F297" s="19">
        <f t="shared" si="250"/>
        <v>0.99999999999999989</v>
      </c>
      <c r="G297" s="19">
        <f t="shared" si="250"/>
        <v>1</v>
      </c>
      <c r="H297" s="19">
        <f t="shared" si="250"/>
        <v>1</v>
      </c>
      <c r="I297" s="19">
        <f t="shared" si="250"/>
        <v>1.0009195402298852</v>
      </c>
    </row>
    <row r="298" spans="1:10" s="238" customFormat="1" ht="15.75" thickTop="1" x14ac:dyDescent="0.25">
      <c r="A298" s="256" t="s">
        <v>445</v>
      </c>
    </row>
    <row r="299" spans="1:10" s="238" customFormat="1" x14ac:dyDescent="0.25">
      <c r="A299" s="252" t="s">
        <v>429</v>
      </c>
      <c r="B299" s="235">
        <f>B284</f>
        <v>962.60000000000014</v>
      </c>
      <c r="C299" s="235">
        <f t="shared" ref="C299:I299" si="251">C284</f>
        <v>838.2</v>
      </c>
      <c r="D299" s="235">
        <f t="shared" si="251"/>
        <v>804.8</v>
      </c>
      <c r="E299" s="235">
        <f t="shared" si="251"/>
        <v>797.09999999999991</v>
      </c>
      <c r="F299" s="235">
        <f t="shared" si="251"/>
        <v>923.3</v>
      </c>
      <c r="G299" s="235">
        <f t="shared" si="251"/>
        <v>990.4</v>
      </c>
      <c r="H299" s="235">
        <f t="shared" si="251"/>
        <v>677</v>
      </c>
      <c r="I299" s="235">
        <f t="shared" si="251"/>
        <v>662.4</v>
      </c>
    </row>
    <row r="300" spans="1:10" s="238" customFormat="1" x14ac:dyDescent="0.25">
      <c r="A300" s="252" t="s">
        <v>430</v>
      </c>
      <c r="B300" s="247">
        <f t="shared" ref="B300:I300" si="252">B49</f>
        <v>792.45880000000022</v>
      </c>
      <c r="C300" s="247">
        <f t="shared" si="252"/>
        <v>765.58219999999994</v>
      </c>
      <c r="D300" s="247">
        <f t="shared" si="252"/>
        <v>593.54300000000001</v>
      </c>
      <c r="E300" s="247">
        <f t="shared" si="252"/>
        <v>714.02400000000011</v>
      </c>
      <c r="F300" s="247">
        <f t="shared" si="252"/>
        <v>411.42400000000004</v>
      </c>
      <c r="G300" s="247">
        <f t="shared" si="252"/>
        <v>530.80650000000003</v>
      </c>
      <c r="H300" s="247">
        <f t="shared" si="252"/>
        <v>916.78779999999995</v>
      </c>
      <c r="I300" s="247">
        <f t="shared" si="252"/>
        <v>357.83120000000002</v>
      </c>
    </row>
    <row r="301" spans="1:10" s="238" customFormat="1" ht="15.75" thickBot="1" x14ac:dyDescent="0.3">
      <c r="A301" s="253" t="s">
        <v>380</v>
      </c>
      <c r="B301" s="273">
        <f>SUM(B299:B300)</f>
        <v>1755.0588000000002</v>
      </c>
      <c r="C301" s="273">
        <f t="shared" ref="C301:I301" si="253">SUM(C299:C300)</f>
        <v>1603.7822000000001</v>
      </c>
      <c r="D301" s="273">
        <f t="shared" si="253"/>
        <v>1398.3429999999998</v>
      </c>
      <c r="E301" s="273">
        <f t="shared" si="253"/>
        <v>1511.124</v>
      </c>
      <c r="F301" s="273">
        <f t="shared" si="253"/>
        <v>1334.7239999999999</v>
      </c>
      <c r="G301" s="273">
        <f t="shared" si="253"/>
        <v>1521.2065</v>
      </c>
      <c r="H301" s="273">
        <f t="shared" si="253"/>
        <v>1593.7878000000001</v>
      </c>
      <c r="I301" s="273">
        <f t="shared" si="253"/>
        <v>1020.2311999999999</v>
      </c>
    </row>
    <row r="302" spans="1:10" s="238" customFormat="1" ht="15.75" thickTop="1" x14ac:dyDescent="0.25">
      <c r="A302" s="256" t="s">
        <v>381</v>
      </c>
    </row>
    <row r="303" spans="1:10" s="238" customFormat="1" x14ac:dyDescent="0.25">
      <c r="A303" s="252" t="s">
        <v>429</v>
      </c>
      <c r="B303" s="248">
        <f>B299/B301</f>
        <v>0.54847165234577899</v>
      </c>
      <c r="C303" s="248">
        <f t="shared" ref="C303:I303" si="254">C299/C301</f>
        <v>0.5226395454445123</v>
      </c>
      <c r="D303" s="248">
        <f t="shared" si="254"/>
        <v>0.57553833358482154</v>
      </c>
      <c r="E303" s="248">
        <f t="shared" si="254"/>
        <v>0.52748814789520904</v>
      </c>
      <c r="F303" s="248">
        <f t="shared" si="254"/>
        <v>0.69175350109835443</v>
      </c>
      <c r="G303" s="248">
        <f t="shared" si="254"/>
        <v>0.65106216677354456</v>
      </c>
      <c r="H303" s="248">
        <f t="shared" si="254"/>
        <v>0.424774239080008</v>
      </c>
      <c r="I303" s="248">
        <f t="shared" si="254"/>
        <v>0.64926459806365455</v>
      </c>
    </row>
    <row r="304" spans="1:10" s="238" customFormat="1" x14ac:dyDescent="0.25">
      <c r="A304" s="252" t="s">
        <v>430</v>
      </c>
      <c r="B304" s="249">
        <f>B300/B301</f>
        <v>0.45152834765422112</v>
      </c>
      <c r="C304" s="249">
        <f t="shared" ref="C304:I304" si="255">C300/C301</f>
        <v>0.47736045455548759</v>
      </c>
      <c r="D304" s="249">
        <f t="shared" si="255"/>
        <v>0.42446166641517857</v>
      </c>
      <c r="E304" s="249">
        <f t="shared" si="255"/>
        <v>0.47251185210479096</v>
      </c>
      <c r="F304" s="249">
        <f t="shared" si="255"/>
        <v>0.30824649890164563</v>
      </c>
      <c r="G304" s="249">
        <f t="shared" si="255"/>
        <v>0.34893783322645544</v>
      </c>
      <c r="H304" s="249">
        <f t="shared" si="255"/>
        <v>0.57522576091999189</v>
      </c>
      <c r="I304" s="249">
        <f t="shared" si="255"/>
        <v>0.35073540193634545</v>
      </c>
    </row>
    <row r="305" spans="1:27" s="238" customFormat="1" ht="15.75" thickBot="1" x14ac:dyDescent="0.3">
      <c r="A305" s="253" t="s">
        <v>380</v>
      </c>
      <c r="B305" s="272">
        <f>B301/B301</f>
        <v>1</v>
      </c>
      <c r="C305" s="272">
        <f t="shared" ref="C305:I305" si="256">C301/C301</f>
        <v>1</v>
      </c>
      <c r="D305" s="272">
        <f t="shared" si="256"/>
        <v>1</v>
      </c>
      <c r="E305" s="272">
        <f t="shared" si="256"/>
        <v>1</v>
      </c>
      <c r="F305" s="272">
        <f t="shared" si="256"/>
        <v>1</v>
      </c>
      <c r="G305" s="272">
        <f t="shared" si="256"/>
        <v>1</v>
      </c>
      <c r="H305" s="272">
        <f t="shared" si="256"/>
        <v>1</v>
      </c>
      <c r="I305" s="272">
        <f t="shared" si="256"/>
        <v>1</v>
      </c>
    </row>
    <row r="306" spans="1:27" s="238" customFormat="1" ht="15.75" thickTop="1" x14ac:dyDescent="0.25">
      <c r="A306" s="254"/>
      <c r="B306" s="250"/>
      <c r="C306" s="250"/>
      <c r="D306" s="250"/>
      <c r="E306" s="250"/>
      <c r="F306" s="250"/>
      <c r="G306" s="250"/>
      <c r="H306" s="250"/>
      <c r="I306" s="250"/>
    </row>
    <row r="307" spans="1:27" s="238" customFormat="1" x14ac:dyDescent="0.25">
      <c r="A307" s="257" t="s">
        <v>382</v>
      </c>
      <c r="B307" s="250"/>
      <c r="C307" s="250"/>
      <c r="D307" s="250"/>
      <c r="E307" s="250"/>
      <c r="F307" s="250"/>
      <c r="G307" s="250"/>
    </row>
    <row r="308" spans="1:27" s="238" customFormat="1" x14ac:dyDescent="0.25">
      <c r="A308" s="254" t="s">
        <v>383</v>
      </c>
      <c r="B308" s="262">
        <f>AVERAGE(B289:C289)/AVERAGE(B288:C288)</f>
        <v>4.0433374287948176</v>
      </c>
      <c r="C308" s="262">
        <f t="shared" ref="C308:F308" si="257">AVERAGE(C289:D289)/AVERAGE(C288:D288)</f>
        <v>4.1451216515114284</v>
      </c>
      <c r="D308" s="262">
        <f t="shared" si="257"/>
        <v>4.3082716701902752</v>
      </c>
      <c r="E308" s="262">
        <f t="shared" si="257"/>
        <v>6.2674856350307113</v>
      </c>
      <c r="F308" s="262">
        <f t="shared" si="257"/>
        <v>13.489144882587507</v>
      </c>
      <c r="G308" s="262">
        <f>AVERAGE(G289:H289)/AVERAGE(G288:H288)</f>
        <v>15.509837962962967</v>
      </c>
      <c r="H308" s="262">
        <f>AVERAGE(H289:I289)/AVERAGE(H288:I288)</f>
        <v>16.294159544159541</v>
      </c>
      <c r="I308" s="239"/>
    </row>
    <row r="309" spans="1:27" s="238" customFormat="1" x14ac:dyDescent="0.25">
      <c r="A309" s="257" t="s">
        <v>384</v>
      </c>
      <c r="B309" s="239"/>
      <c r="C309" s="239"/>
      <c r="D309" s="239"/>
      <c r="E309" s="239"/>
      <c r="F309" s="239"/>
      <c r="G309" s="262"/>
      <c r="H309" s="239"/>
      <c r="I309" s="239"/>
    </row>
    <row r="310" spans="1:27" s="238" customFormat="1" x14ac:dyDescent="0.25">
      <c r="A310" s="254" t="s">
        <v>385</v>
      </c>
      <c r="B310" s="262">
        <f t="shared" ref="B310:G310" si="258">-B86/B64</f>
        <v>2.8955086207637675</v>
      </c>
      <c r="C310" s="262">
        <f t="shared" si="258"/>
        <v>3.0857142857142823</v>
      </c>
      <c r="D310" s="262">
        <f t="shared" si="258"/>
        <v>3.3416296296296277</v>
      </c>
      <c r="E310" s="262">
        <f t="shared" si="258"/>
        <v>3.22527607361963</v>
      </c>
      <c r="F310" s="262">
        <f t="shared" si="258"/>
        <v>2.1530956239870349</v>
      </c>
      <c r="G310" s="262">
        <f t="shared" si="258"/>
        <v>2.013123844731977</v>
      </c>
      <c r="H310" s="262">
        <f>-H62/H64</f>
        <v>3.2988235294117629</v>
      </c>
      <c r="I310" s="262">
        <f>-I62/I64</f>
        <v>2.1929133858267718</v>
      </c>
    </row>
    <row r="311" spans="1:27" s="238" customFormat="1" x14ac:dyDescent="0.25">
      <c r="A311" s="254" t="s">
        <v>386</v>
      </c>
      <c r="B311" s="262">
        <f t="shared" ref="B311:G311" si="259">-(B86+B157)/(B155+B157)</f>
        <v>1.8404492607100513</v>
      </c>
      <c r="C311" s="262">
        <f t="shared" si="259"/>
        <v>1.5430594900849837</v>
      </c>
      <c r="D311" s="262">
        <f t="shared" si="259"/>
        <v>1.5282215743440224</v>
      </c>
      <c r="E311" s="262">
        <f t="shared" si="259"/>
        <v>1.5467647058823517</v>
      </c>
      <c r="F311" s="262">
        <f t="shared" si="259"/>
        <v>1.1059347826086963</v>
      </c>
      <c r="G311" s="262">
        <f t="shared" si="259"/>
        <v>0.59989919354838683</v>
      </c>
      <c r="H311" s="262">
        <f>(H86+H157)/(H155+H157)</f>
        <v>-1.2040454545454538</v>
      </c>
      <c r="I311" s="262">
        <f>(I86+I157)/(I155+I157)</f>
        <v>-2.6112880562060892</v>
      </c>
    </row>
    <row r="312" spans="1:27" s="238" customFormat="1" x14ac:dyDescent="0.25">
      <c r="A312" s="254" t="s">
        <v>387</v>
      </c>
      <c r="B312" s="262">
        <f t="shared" ref="B312:I312" si="260">B284/B88</f>
        <v>4.27027757522686</v>
      </c>
      <c r="C312" s="262">
        <f t="shared" si="260"/>
        <v>4.3130595862920691</v>
      </c>
      <c r="D312" s="262">
        <f t="shared" si="260"/>
        <v>4.1691705174164415</v>
      </c>
      <c r="E312" s="262">
        <f t="shared" si="260"/>
        <v>3.7631718094950348</v>
      </c>
      <c r="F312" s="262">
        <f t="shared" si="260"/>
        <v>4.91258127334447</v>
      </c>
      <c r="G312" s="262">
        <f t="shared" si="260"/>
        <v>6.2012397470415133</v>
      </c>
      <c r="H312" s="262">
        <f t="shared" si="260"/>
        <v>3.2839209142591055</v>
      </c>
      <c r="I312" s="262">
        <f t="shared" si="260"/>
        <v>4.0291480638921664</v>
      </c>
    </row>
    <row r="313" spans="1:27" s="238" customFormat="1" x14ac:dyDescent="0.25">
      <c r="A313" s="258"/>
      <c r="B313" s="250"/>
      <c r="C313" s="250"/>
      <c r="D313" s="250"/>
      <c r="E313" s="250"/>
      <c r="F313" s="250"/>
      <c r="G313" s="250"/>
    </row>
    <row r="314" spans="1:27" s="238" customFormat="1" ht="15.75" thickBot="1" x14ac:dyDescent="0.3">
      <c r="A314" s="254" t="s">
        <v>388</v>
      </c>
      <c r="B314" s="245">
        <f t="shared" ref="B314:I314" si="261">B46*B48</f>
        <v>185.32060000000007</v>
      </c>
      <c r="C314" s="245">
        <f t="shared" si="261"/>
        <v>139.33079999999998</v>
      </c>
      <c r="D314" s="245">
        <f t="shared" si="261"/>
        <v>82.420900000000003</v>
      </c>
      <c r="E314" s="245">
        <f t="shared" si="261"/>
        <v>87.645600000000002</v>
      </c>
      <c r="F314" s="245">
        <f t="shared" si="261"/>
        <v>49.845600000000005</v>
      </c>
      <c r="G314" s="245">
        <f t="shared" si="261"/>
        <v>64.058399999999992</v>
      </c>
      <c r="H314" s="245">
        <f t="shared" si="261"/>
        <v>71.065400000000011</v>
      </c>
      <c r="I314" s="245">
        <f t="shared" si="261"/>
        <v>25.633600000000001</v>
      </c>
    </row>
    <row r="315" spans="1:27" s="238" customFormat="1" ht="15.75" thickTop="1" x14ac:dyDescent="0.25">
      <c r="A315" s="255"/>
    </row>
    <row r="316" spans="1:27" s="1" customFormat="1" x14ac:dyDescent="0.25">
      <c r="A316" s="1" t="s">
        <v>111</v>
      </c>
      <c r="B316" s="1" t="s">
        <v>476</v>
      </c>
      <c r="K316" s="236"/>
      <c r="L316" s="236"/>
      <c r="M316" s="236"/>
      <c r="N316" s="236"/>
      <c r="O316" s="236"/>
      <c r="P316" s="236"/>
      <c r="Q316" s="236"/>
      <c r="R316" s="236"/>
      <c r="S316" s="236"/>
      <c r="T316" s="236"/>
      <c r="U316" s="236"/>
      <c r="V316" s="236"/>
      <c r="W316" s="236"/>
      <c r="X316" s="236"/>
      <c r="Y316" s="236"/>
      <c r="Z316" s="236"/>
      <c r="AA316" s="236"/>
    </row>
    <row r="317" spans="1:27" s="1" customFormat="1" x14ac:dyDescent="0.25">
      <c r="A317" s="1" t="s">
        <v>389</v>
      </c>
      <c r="K317" s="236"/>
      <c r="L317" s="236"/>
      <c r="M317" s="236"/>
      <c r="N317" s="236"/>
      <c r="O317" s="236"/>
      <c r="P317" s="236"/>
      <c r="Q317" s="236"/>
      <c r="R317" s="236"/>
      <c r="S317" s="236"/>
      <c r="T317" s="236"/>
      <c r="U317" s="236"/>
      <c r="V317" s="236"/>
      <c r="W317" s="236"/>
      <c r="X317" s="236"/>
      <c r="Y317" s="236"/>
      <c r="Z317" s="236"/>
      <c r="AA317" s="236"/>
    </row>
    <row r="318" spans="1:27" s="1" customFormat="1" x14ac:dyDescent="0.25">
      <c r="A318" s="1" t="s">
        <v>3</v>
      </c>
      <c r="H318" s="2"/>
      <c r="I318" s="2"/>
      <c r="K318" s="236"/>
      <c r="L318" s="236"/>
      <c r="M318" s="236"/>
      <c r="N318" s="236"/>
      <c r="O318" s="236"/>
      <c r="P318" s="237"/>
      <c r="Q318" s="237"/>
      <c r="R318" s="237"/>
      <c r="S318" s="236"/>
      <c r="T318" s="236"/>
      <c r="U318" s="236"/>
      <c r="V318" s="236"/>
      <c r="W318" s="236"/>
      <c r="X318" s="236"/>
      <c r="Y318" s="236"/>
      <c r="Z318" s="236"/>
      <c r="AA318" s="236"/>
    </row>
    <row r="319" spans="1:27" s="1" customFormat="1" ht="15.75" thickBot="1" x14ac:dyDescent="0.3">
      <c r="A319" s="2" t="s">
        <v>11</v>
      </c>
      <c r="B319" s="17" t="s">
        <v>72</v>
      </c>
      <c r="C319" s="3">
        <v>2022</v>
      </c>
      <c r="D319" s="3">
        <v>2021</v>
      </c>
      <c r="E319" s="3">
        <v>2020</v>
      </c>
      <c r="F319" s="3">
        <v>2019</v>
      </c>
      <c r="G319" s="3">
        <v>2018</v>
      </c>
      <c r="H319" s="3">
        <v>2017</v>
      </c>
      <c r="I319" s="3">
        <v>2016</v>
      </c>
      <c r="K319" s="7"/>
      <c r="L319" s="7"/>
      <c r="M319" s="7"/>
      <c r="N319" s="7"/>
      <c r="O319" s="7"/>
      <c r="P319" s="7"/>
      <c r="Q319" s="7"/>
      <c r="R319" s="7"/>
      <c r="S319" s="236"/>
      <c r="T319" s="236"/>
      <c r="U319" s="236"/>
      <c r="V319" s="236"/>
      <c r="W319" s="7"/>
      <c r="X319" s="7"/>
      <c r="Y319" s="7"/>
      <c r="Z319" s="7"/>
      <c r="AA319" s="7"/>
    </row>
    <row r="320" spans="1:27" s="238" customFormat="1" x14ac:dyDescent="0.25">
      <c r="A320" s="252" t="s">
        <v>390</v>
      </c>
      <c r="B320" s="294" t="e">
        <f>SUM(B6:B8)/((B56+#REF!-B127)/360)</f>
        <v>#REF!</v>
      </c>
      <c r="C320" s="294" t="e">
        <f>SUM(C6:C8)/((C56+#REF!-C127)/360)</f>
        <v>#REF!</v>
      </c>
      <c r="D320" s="294" t="e">
        <f>SUM(D6:D8)/((D56+#REF!-D127)/360)</f>
        <v>#REF!</v>
      </c>
      <c r="E320" s="294" t="e">
        <f>SUM(E6:E8)/((E56+#REF!-E127)/360)</f>
        <v>#REF!</v>
      </c>
      <c r="F320" s="294" t="e">
        <f>SUM(F6:F8)/((F56+#REF!-F127)/360)</f>
        <v>#REF!</v>
      </c>
      <c r="G320" s="294" t="e">
        <f>SUM(G6:G8)/((G56+#REF!-G127)/360)</f>
        <v>#REF!</v>
      </c>
      <c r="H320" s="294" t="e">
        <f>SUM(H6:H8)/((H56+#REF!-H127)/360)</f>
        <v>#REF!</v>
      </c>
      <c r="I320" s="294" t="e">
        <f>SUM(I6:I8)/((I56+#REF!-I127)/360)</f>
        <v>#REF!</v>
      </c>
      <c r="K320" s="296"/>
      <c r="L320" s="250"/>
      <c r="M320" s="250"/>
      <c r="N320" s="296"/>
      <c r="O320" s="296"/>
      <c r="P320" s="250"/>
      <c r="Q320" s="250"/>
      <c r="R320" s="250"/>
    </row>
    <row r="321" spans="1:18" s="238" customFormat="1" x14ac:dyDescent="0.25">
      <c r="A321" s="252" t="s">
        <v>391</v>
      </c>
      <c r="B321" s="294">
        <f t="shared" ref="B321:I321" si="262">B199/B284</f>
        <v>9.0720964055682682E-2</v>
      </c>
      <c r="C321" s="294">
        <f t="shared" si="262"/>
        <v>0.13319016941064166</v>
      </c>
      <c r="D321" s="294">
        <f t="shared" si="262"/>
        <v>0.11087972166998006</v>
      </c>
      <c r="E321" s="294">
        <f t="shared" si="262"/>
        <v>0.12610212018567296</v>
      </c>
      <c r="F321" s="294">
        <f t="shared" si="262"/>
        <v>0.11160619516950075</v>
      </c>
      <c r="G321" s="294">
        <f t="shared" si="262"/>
        <v>8.4622374798061367E-2</v>
      </c>
      <c r="H321" s="294">
        <f t="shared" si="262"/>
        <v>0.25104283604135885</v>
      </c>
      <c r="I321" s="294">
        <f t="shared" si="262"/>
        <v>0.21029891304347831</v>
      </c>
      <c r="K321" s="296"/>
      <c r="L321" s="250"/>
      <c r="M321" s="250"/>
      <c r="N321" s="296"/>
      <c r="O321" s="296"/>
      <c r="P321" s="250"/>
      <c r="Q321" s="250"/>
      <c r="R321" s="250"/>
    </row>
    <row r="322" spans="1:18" s="238" customFormat="1" x14ac:dyDescent="0.25">
      <c r="A322" s="252" t="s">
        <v>392</v>
      </c>
      <c r="B322" s="294">
        <f t="shared" ref="B322:I322" si="263">-B199/B200</f>
        <v>0.77901873327386395</v>
      </c>
      <c r="C322" s="294">
        <f t="shared" si="263"/>
        <v>1.0602089268755921</v>
      </c>
      <c r="D322" s="294">
        <f t="shared" si="263"/>
        <v>0.71388799999999963</v>
      </c>
      <c r="E322" s="294">
        <f t="shared" si="263"/>
        <v>1.4400573065902567</v>
      </c>
      <c r="F322" s="294">
        <f t="shared" si="263"/>
        <v>2.7700537634408611</v>
      </c>
      <c r="G322" s="294">
        <f t="shared" si="263"/>
        <v>0.76399270738377367</v>
      </c>
      <c r="H322" s="294">
        <f t="shared" si="263"/>
        <v>2.517866666666666</v>
      </c>
      <c r="I322" s="294">
        <f t="shared" si="263"/>
        <v>2.7916232464929864</v>
      </c>
      <c r="K322" s="296"/>
      <c r="L322" s="250"/>
      <c r="M322" s="250"/>
      <c r="N322" s="296"/>
      <c r="O322" s="296"/>
      <c r="P322" s="250"/>
      <c r="Q322" s="250"/>
      <c r="R322" s="250"/>
    </row>
    <row r="323" spans="1:18" s="238" customFormat="1" x14ac:dyDescent="0.25">
      <c r="A323" s="252" t="s">
        <v>393</v>
      </c>
      <c r="B323" s="294">
        <f t="shared" ref="B323:I323" si="264">-B199/B172</f>
        <v>0.17430738522954123</v>
      </c>
      <c r="C323" s="294">
        <f t="shared" si="264"/>
        <v>55.819999999999922</v>
      </c>
      <c r="D323" s="294">
        <f t="shared" si="264"/>
        <v>8.8352475247524698</v>
      </c>
      <c r="E323" s="294">
        <f t="shared" si="264"/>
        <v>1.4217256011315402</v>
      </c>
      <c r="F323" s="294">
        <f t="shared" si="264"/>
        <v>3.4695622895622908</v>
      </c>
      <c r="G323" s="294">
        <f t="shared" si="264"/>
        <v>4.1285714285714272</v>
      </c>
      <c r="H323" s="294">
        <f t="shared" si="264"/>
        <v>0.31087616608743357</v>
      </c>
      <c r="I323" s="294">
        <f t="shared" si="264"/>
        <v>4.3943848580441651</v>
      </c>
      <c r="K323" s="296"/>
      <c r="L323" s="250"/>
      <c r="M323" s="250"/>
      <c r="N323" s="296"/>
      <c r="O323" s="296"/>
      <c r="P323" s="250"/>
      <c r="Q323" s="250"/>
      <c r="R323" s="250"/>
    </row>
    <row r="324" spans="1:18" s="238" customFormat="1" x14ac:dyDescent="0.25">
      <c r="A324" s="252" t="s">
        <v>447</v>
      </c>
      <c r="B324" s="294">
        <f t="shared" ref="B324:I324" si="265">-B199/SUM(B171:B172)</f>
        <v>0.77281415929203678</v>
      </c>
      <c r="C324" s="294">
        <f t="shared" si="265"/>
        <v>55.819999999999922</v>
      </c>
      <c r="D324" s="294">
        <f t="shared" si="265"/>
        <v>8.8352475247524698</v>
      </c>
      <c r="E324" s="294">
        <f t="shared" si="265"/>
        <v>1.4217256011315402</v>
      </c>
      <c r="F324" s="294">
        <f t="shared" si="265"/>
        <v>3.4695622895622908</v>
      </c>
      <c r="G324" s="294">
        <f t="shared" si="265"/>
        <v>-1.0515683814303636</v>
      </c>
      <c r="H324" s="294">
        <f t="shared" si="265"/>
        <v>3.639314775160595</v>
      </c>
      <c r="I324" s="294">
        <f t="shared" si="265"/>
        <v>4.3943848580441651</v>
      </c>
      <c r="K324" s="296"/>
      <c r="L324" s="250"/>
      <c r="M324" s="250"/>
      <c r="N324" s="296"/>
      <c r="O324" s="296"/>
      <c r="P324" s="250"/>
      <c r="Q324" s="250"/>
      <c r="R324" s="250"/>
    </row>
    <row r="325" spans="1:18" s="238" customFormat="1" x14ac:dyDescent="0.25">
      <c r="A325" s="252" t="s">
        <v>394</v>
      </c>
      <c r="B325" s="294">
        <f>-B199/B177</f>
        <v>18.984347826086992</v>
      </c>
      <c r="C325" s="294">
        <f>-C199/C177</f>
        <v>26.580952380952343</v>
      </c>
      <c r="D325" s="294">
        <v>0</v>
      </c>
      <c r="E325" s="294">
        <v>0</v>
      </c>
      <c r="F325" s="294">
        <v>0</v>
      </c>
      <c r="G325" s="294">
        <v>0</v>
      </c>
      <c r="H325" s="294">
        <v>0</v>
      </c>
      <c r="I325" s="294">
        <v>0</v>
      </c>
      <c r="K325" s="296"/>
      <c r="L325" s="250"/>
      <c r="M325" s="250"/>
      <c r="N325" s="296"/>
      <c r="O325" s="296"/>
      <c r="P325" s="250"/>
      <c r="Q325" s="250"/>
      <c r="R325" s="250"/>
    </row>
    <row r="326" spans="1:18" s="238" customFormat="1" x14ac:dyDescent="0.25">
      <c r="A326" s="252" t="s">
        <v>395</v>
      </c>
      <c r="B326" s="294">
        <f t="shared" ref="B326:I326" si="266">-B199/SUM(B178,B167)</f>
        <v>1.2583285302593676</v>
      </c>
      <c r="C326" s="294">
        <f t="shared" si="266"/>
        <v>1.0149090909090894</v>
      </c>
      <c r="D326" s="294">
        <f t="shared" si="266"/>
        <v>0.95439572192513311</v>
      </c>
      <c r="E326" s="294">
        <f t="shared" si="266"/>
        <v>0.81653939886271265</v>
      </c>
      <c r="F326" s="294">
        <f t="shared" si="266"/>
        <v>0.84119183673469411</v>
      </c>
      <c r="G326" s="294">
        <f t="shared" si="266"/>
        <v>0.89540598290598239</v>
      </c>
      <c r="H326" s="294">
        <f t="shared" si="266"/>
        <v>2.7236538461538418</v>
      </c>
      <c r="I326" s="294">
        <f t="shared" si="266"/>
        <v>1.1967525773195886</v>
      </c>
      <c r="K326" s="296"/>
      <c r="L326" s="250"/>
      <c r="M326" s="250"/>
      <c r="N326" s="296"/>
      <c r="O326" s="296"/>
      <c r="P326" s="250"/>
      <c r="Q326" s="250"/>
      <c r="R326" s="250"/>
    </row>
    <row r="327" spans="1:18" s="238" customFormat="1" x14ac:dyDescent="0.25">
      <c r="A327" s="252" t="s">
        <v>396</v>
      </c>
      <c r="B327" s="294">
        <f t="shared" ref="B327:I327" si="267">B199/B55</f>
        <v>4.1401412790973383E-2</v>
      </c>
      <c r="C327" s="294">
        <f t="shared" si="267"/>
        <v>5.6369603635445513E-2</v>
      </c>
      <c r="D327" s="294">
        <f t="shared" si="267"/>
        <v>5.3160967472894047E-2</v>
      </c>
      <c r="E327" s="294">
        <f t="shared" si="267"/>
        <v>6.0221676352525261E-2</v>
      </c>
      <c r="F327" s="294">
        <f t="shared" si="267"/>
        <v>6.294807574832012E-2</v>
      </c>
      <c r="G327" s="294">
        <f t="shared" si="267"/>
        <v>5.3631535163499056E-2</v>
      </c>
      <c r="H327" s="294">
        <f t="shared" si="267"/>
        <v>0.11518536089461197</v>
      </c>
      <c r="I327" s="294">
        <f t="shared" si="267"/>
        <v>9.8363225533116799E-2</v>
      </c>
      <c r="K327" s="296"/>
      <c r="L327" s="250"/>
      <c r="M327" s="250"/>
      <c r="N327" s="296"/>
      <c r="O327" s="296"/>
      <c r="P327" s="250"/>
      <c r="Q327" s="250"/>
      <c r="R327" s="250"/>
    </row>
    <row r="328" spans="1:18" s="238" customFormat="1" x14ac:dyDescent="0.25">
      <c r="A328" s="252" t="s">
        <v>397</v>
      </c>
      <c r="B328" s="294">
        <f t="shared" ref="B328:G328" si="268">B199/AVERAGE(B23:C23)</f>
        <v>4.8247513812154787E-2</v>
      </c>
      <c r="C328" s="294">
        <f t="shared" si="268"/>
        <v>6.6190377375270407E-2</v>
      </c>
      <c r="D328" s="294">
        <f t="shared" si="268"/>
        <v>5.4737616929918693E-2</v>
      </c>
      <c r="E328" s="294">
        <f t="shared" si="268"/>
        <v>6.3553363682346931E-2</v>
      </c>
      <c r="F328" s="294">
        <f t="shared" si="268"/>
        <v>6.7693217277057016E-2</v>
      </c>
      <c r="G328" s="294">
        <f t="shared" si="268"/>
        <v>6.2542442446177349E-2</v>
      </c>
      <c r="H328" s="294">
        <f>H199/AVERAGE(H23:J23)</f>
        <v>0.14858241902347333</v>
      </c>
      <c r="I328" s="294">
        <f>I199/AVERAGE(I23:K23)</f>
        <v>0.25595222783647226</v>
      </c>
      <c r="K328" s="296"/>
      <c r="L328" s="250"/>
      <c r="M328" s="250"/>
      <c r="N328" s="296"/>
      <c r="O328" s="296"/>
      <c r="P328" s="250"/>
      <c r="Q328" s="250"/>
      <c r="R328" s="250"/>
    </row>
    <row r="329" spans="1:18" s="238" customFormat="1" x14ac:dyDescent="0.25">
      <c r="A329" s="252" t="s">
        <v>398</v>
      </c>
      <c r="B329" s="294">
        <f t="shared" ref="B329:G329" si="269">B199/AVERAGE(B41:C41)</f>
        <v>0.19508097844298036</v>
      </c>
      <c r="C329" s="294">
        <f t="shared" si="269"/>
        <v>0.27436716637994557</v>
      </c>
      <c r="D329" s="294">
        <f t="shared" si="269"/>
        <v>0.23582452431289627</v>
      </c>
      <c r="E329" s="294">
        <f t="shared" si="269"/>
        <v>0.39831979393699185</v>
      </c>
      <c r="F329" s="294">
        <f t="shared" si="269"/>
        <v>0.91312361541869769</v>
      </c>
      <c r="G329" s="294">
        <f t="shared" si="269"/>
        <v>0.97002314814814794</v>
      </c>
      <c r="H329" s="294">
        <f>H199/AVERAGE(H41:J41)</f>
        <v>2.4210256410256403</v>
      </c>
      <c r="I329" s="294">
        <f>I199/AVERAGE(I41:K41)</f>
        <v>7.9925554390164049</v>
      </c>
      <c r="K329" s="296"/>
      <c r="L329" s="250"/>
      <c r="M329" s="250"/>
      <c r="N329" s="296"/>
      <c r="O329" s="296"/>
      <c r="P329" s="250"/>
      <c r="Q329" s="250"/>
      <c r="R329" s="250"/>
    </row>
    <row r="330" spans="1:18" s="238" customFormat="1" x14ac:dyDescent="0.25">
      <c r="A330" s="252" t="s">
        <v>399</v>
      </c>
      <c r="B330" s="294">
        <f t="shared" ref="B330:I330" si="270">B199/B62</f>
        <v>0.50102122776821623</v>
      </c>
      <c r="C330" s="294">
        <f t="shared" si="270"/>
        <v>0.82512934220251222</v>
      </c>
      <c r="D330" s="294">
        <f t="shared" si="270"/>
        <v>0.69661202185792359</v>
      </c>
      <c r="E330" s="294">
        <f t="shared" si="270"/>
        <v>0.61365079365079367</v>
      </c>
      <c r="F330" s="294">
        <f t="shared" si="270"/>
        <v>0.7806515151515151</v>
      </c>
      <c r="G330" s="294">
        <f t="shared" si="270"/>
        <v>0.85783009211873085</v>
      </c>
      <c r="H330" s="294">
        <f t="shared" si="270"/>
        <v>1.2122396576319547</v>
      </c>
      <c r="I330" s="294">
        <f t="shared" si="270"/>
        <v>1.2504667863554759</v>
      </c>
      <c r="K330" s="296"/>
      <c r="L330" s="250"/>
      <c r="M330" s="250"/>
      <c r="N330" s="296"/>
      <c r="O330" s="296"/>
      <c r="P330" s="250"/>
      <c r="Q330" s="250"/>
      <c r="R330" s="250"/>
    </row>
    <row r="331" spans="1:18" s="238" customFormat="1" x14ac:dyDescent="0.25">
      <c r="A331" s="252" t="s">
        <v>400</v>
      </c>
      <c r="B331" s="294">
        <f t="shared" ref="B331:I331" si="271">B199/B77</f>
        <v>4.1545195052331181</v>
      </c>
      <c r="C331" s="294">
        <f t="shared" si="271"/>
        <v>5.2635549269212563</v>
      </c>
      <c r="D331" s="294">
        <f t="shared" si="271"/>
        <v>4.069129046967622</v>
      </c>
      <c r="E331" s="294">
        <f t="shared" si="271"/>
        <v>4.7036031820308795</v>
      </c>
      <c r="F331" s="294">
        <f t="shared" si="271"/>
        <v>4.890650213573803</v>
      </c>
      <c r="G331" s="294">
        <f t="shared" si="271"/>
        <v>4.0158121705797782</v>
      </c>
      <c r="H331" s="294">
        <f t="shared" si="271"/>
        <v>7.7252727272727251</v>
      </c>
      <c r="I331" s="294">
        <f t="shared" si="271"/>
        <v>6.6145299145299159</v>
      </c>
      <c r="K331" s="296"/>
      <c r="L331" s="250"/>
      <c r="M331" s="250"/>
      <c r="N331" s="296"/>
      <c r="O331" s="296"/>
      <c r="P331" s="250"/>
      <c r="Q331" s="250"/>
      <c r="R331" s="250"/>
    </row>
    <row r="332" spans="1:18" s="238" customFormat="1" x14ac:dyDescent="0.25">
      <c r="A332" s="252" t="s">
        <v>385</v>
      </c>
      <c r="B332" s="294">
        <v>0</v>
      </c>
      <c r="C332" s="294">
        <f t="shared" ref="C332:I332" si="272">-(C199+C186+C187)/C186</f>
        <v>1.2019370460048389</v>
      </c>
      <c r="D332" s="294">
        <f t="shared" si="272"/>
        <v>0.72797900262467052</v>
      </c>
      <c r="E332" s="294">
        <f t="shared" si="272"/>
        <v>0.73884231536925959</v>
      </c>
      <c r="F332" s="294">
        <f t="shared" si="272"/>
        <v>0.41619047619047678</v>
      </c>
      <c r="G332" s="294">
        <f t="shared" si="272"/>
        <v>0.16285140562248954</v>
      </c>
      <c r="H332" s="294">
        <f t="shared" si="272"/>
        <v>3.0786170212765951</v>
      </c>
      <c r="I332" s="294">
        <f t="shared" si="272"/>
        <v>1.9906791569086655</v>
      </c>
      <c r="K332" s="296"/>
      <c r="L332" s="250"/>
      <c r="M332" s="250"/>
      <c r="N332" s="296"/>
      <c r="O332" s="296"/>
      <c r="P332" s="250"/>
      <c r="Q332" s="250"/>
      <c r="R332" s="250"/>
    </row>
    <row r="333" spans="1:18" s="238" customFormat="1" x14ac:dyDescent="0.25">
      <c r="A333" s="252"/>
      <c r="B333" s="294"/>
      <c r="C333" s="294"/>
      <c r="D333" s="294"/>
      <c r="E333" s="294"/>
      <c r="F333" s="294"/>
      <c r="G333" s="294"/>
      <c r="H333" s="294"/>
      <c r="I333" s="294"/>
      <c r="K333" s="296"/>
      <c r="L333" s="250"/>
      <c r="M333" s="250"/>
      <c r="N333" s="296"/>
      <c r="O333" s="296"/>
      <c r="P333" s="250"/>
      <c r="Q333" s="250"/>
      <c r="R333" s="250"/>
    </row>
    <row r="334" spans="1:18" s="238" customFormat="1" x14ac:dyDescent="0.25">
      <c r="A334" s="252" t="s">
        <v>401</v>
      </c>
      <c r="B334" s="294">
        <f t="shared" ref="B334:I334" si="273">-B86/B64</f>
        <v>2.8955086207637675</v>
      </c>
      <c r="C334" s="294">
        <f t="shared" si="273"/>
        <v>3.0857142857142823</v>
      </c>
      <c r="D334" s="294">
        <f t="shared" si="273"/>
        <v>3.3416296296296277</v>
      </c>
      <c r="E334" s="294">
        <f t="shared" si="273"/>
        <v>3.22527607361963</v>
      </c>
      <c r="F334" s="294">
        <f t="shared" si="273"/>
        <v>2.1530956239870349</v>
      </c>
      <c r="G334" s="294">
        <f t="shared" si="273"/>
        <v>2.013123844731977</v>
      </c>
      <c r="H334" s="294">
        <f t="shared" si="273"/>
        <v>3.6789647058823514</v>
      </c>
      <c r="I334" s="294">
        <f t="shared" si="273"/>
        <v>2.1949212598425198</v>
      </c>
      <c r="K334" s="296"/>
      <c r="L334" s="250"/>
      <c r="M334" s="250"/>
      <c r="N334" s="296"/>
      <c r="O334" s="296"/>
      <c r="P334" s="250"/>
      <c r="Q334" s="250"/>
      <c r="R334" s="250"/>
    </row>
    <row r="335" spans="1:18" s="238" customFormat="1" x14ac:dyDescent="0.25">
      <c r="A335" s="252" t="s">
        <v>402</v>
      </c>
      <c r="B335" s="294">
        <f t="shared" ref="B335:I335" si="274">-B88/B64</f>
        <v>3.8731718510043174</v>
      </c>
      <c r="C335" s="294">
        <f t="shared" si="274"/>
        <v>4.3379464285714251</v>
      </c>
      <c r="D335" s="294">
        <f t="shared" si="274"/>
        <v>4.7663209876543196</v>
      </c>
      <c r="E335" s="294">
        <f t="shared" si="274"/>
        <v>4.3316155419222886</v>
      </c>
      <c r="F335" s="294">
        <f t="shared" si="274"/>
        <v>3.0461264181523506</v>
      </c>
      <c r="G335" s="294">
        <f t="shared" si="274"/>
        <v>2.9521256931608129</v>
      </c>
      <c r="H335" s="294">
        <f t="shared" si="274"/>
        <v>4.8507294117647044</v>
      </c>
      <c r="I335" s="294">
        <f t="shared" si="274"/>
        <v>3.2362598425196856</v>
      </c>
      <c r="K335" s="296"/>
      <c r="L335" s="250"/>
      <c r="M335" s="250"/>
      <c r="N335" s="296"/>
      <c r="O335" s="296"/>
      <c r="P335" s="250"/>
      <c r="Q335" s="250"/>
      <c r="R335" s="250"/>
    </row>
    <row r="336" spans="1:18" s="238" customFormat="1" x14ac:dyDescent="0.25">
      <c r="A336" s="252" t="s">
        <v>403</v>
      </c>
      <c r="B336" s="235">
        <f t="shared" ref="B336:I336" si="275">B143</f>
        <v>169.12800000000013</v>
      </c>
      <c r="C336" s="235">
        <f t="shared" si="275"/>
        <v>156.83999999999983</v>
      </c>
      <c r="D336" s="235">
        <f t="shared" si="275"/>
        <v>134.03599999999994</v>
      </c>
      <c r="E336" s="235">
        <f t="shared" si="275"/>
        <v>117.1159999999999</v>
      </c>
      <c r="F336" s="235">
        <f t="shared" si="275"/>
        <v>89.046000000000035</v>
      </c>
      <c r="G336" s="235">
        <f t="shared" si="275"/>
        <v>100.50999999999998</v>
      </c>
      <c r="H336" s="235">
        <f t="shared" si="275"/>
        <v>166.35599999999997</v>
      </c>
      <c r="I336" s="235">
        <f t="shared" si="275"/>
        <v>117.60200000000002</v>
      </c>
      <c r="K336" s="296"/>
      <c r="L336" s="250"/>
      <c r="M336" s="250"/>
      <c r="N336" s="296"/>
      <c r="O336" s="296"/>
      <c r="P336" s="250"/>
      <c r="Q336" s="250"/>
      <c r="R336" s="250"/>
    </row>
    <row r="337" spans="1:27" s="238" customFormat="1" x14ac:dyDescent="0.25">
      <c r="A337" s="252" t="s">
        <v>404</v>
      </c>
      <c r="B337" s="294">
        <f t="shared" ref="B337:I337" si="276">-(B336-B186)/B64</f>
        <v>3.7181756263308992</v>
      </c>
      <c r="C337" s="294">
        <f t="shared" si="276"/>
        <v>4.422767857142853</v>
      </c>
      <c r="D337" s="294">
        <f t="shared" si="276"/>
        <v>4.2502716049382698</v>
      </c>
      <c r="E337" s="294">
        <f t="shared" si="276"/>
        <v>3.4195501022494867</v>
      </c>
      <c r="F337" s="294">
        <f t="shared" si="276"/>
        <v>2.4302431118314427</v>
      </c>
      <c r="G337" s="294">
        <f t="shared" si="276"/>
        <v>2.7783733826247685</v>
      </c>
      <c r="H337" s="294">
        <f t="shared" si="276"/>
        <v>4.7989647058823524</v>
      </c>
      <c r="I337" s="294">
        <f t="shared" si="276"/>
        <v>3.1555511811023629</v>
      </c>
      <c r="K337" s="296"/>
      <c r="L337" s="250"/>
      <c r="M337" s="250"/>
      <c r="N337" s="296"/>
      <c r="O337" s="296"/>
      <c r="P337" s="250"/>
      <c r="Q337" s="250"/>
      <c r="R337" s="250"/>
    </row>
    <row r="338" spans="1:27" s="238" customFormat="1" x14ac:dyDescent="0.25">
      <c r="A338" s="252" t="s">
        <v>405</v>
      </c>
      <c r="B338" s="294">
        <f>B336/B284</f>
        <v>0.17569914814045304</v>
      </c>
      <c r="C338" s="294">
        <f t="shared" ref="C338:I338" si="277">C336/C284</f>
        <v>0.18711524695776643</v>
      </c>
      <c r="D338" s="294">
        <f t="shared" si="277"/>
        <v>0.16654572564612319</v>
      </c>
      <c r="E338" s="294">
        <f t="shared" si="277"/>
        <v>0.14692761259565915</v>
      </c>
      <c r="F338" s="294">
        <f t="shared" si="277"/>
        <v>9.6443192895050406E-2</v>
      </c>
      <c r="G338" s="294">
        <f t="shared" si="277"/>
        <v>0.10148424878836831</v>
      </c>
      <c r="H338" s="294">
        <f t="shared" si="277"/>
        <v>0.24572525849335297</v>
      </c>
      <c r="I338" s="294">
        <f t="shared" si="277"/>
        <v>0.17753925120772951</v>
      </c>
      <c r="K338" s="296"/>
      <c r="L338" s="250"/>
      <c r="M338" s="250"/>
      <c r="N338" s="296"/>
      <c r="O338" s="296"/>
      <c r="P338" s="250"/>
      <c r="Q338" s="250"/>
      <c r="R338" s="250"/>
    </row>
    <row r="339" spans="1:27" s="238" customFormat="1" x14ac:dyDescent="0.25">
      <c r="A339" s="252" t="s">
        <v>406</v>
      </c>
      <c r="B339" s="294">
        <f t="shared" ref="B339:G339" si="278">B86/(AVERAGE(B284:C284,B41:C41))</f>
        <v>0.2500183253268814</v>
      </c>
      <c r="C339" s="294">
        <f t="shared" si="278"/>
        <v>0.22507326603712122</v>
      </c>
      <c r="D339" s="294">
        <f t="shared" si="278"/>
        <v>0.22950947555857029</v>
      </c>
      <c r="E339" s="294">
        <f t="shared" si="278"/>
        <v>0.28352163947687725</v>
      </c>
      <c r="F339" s="294">
        <f t="shared" si="278"/>
        <v>0.24837991960362735</v>
      </c>
      <c r="G339" s="294">
        <f t="shared" si="278"/>
        <v>0.2367351374850559</v>
      </c>
      <c r="H339" s="294">
        <f>H86/(AVERAGE(H284:J284,H41:J41))</f>
        <v>0.42264089741856992</v>
      </c>
      <c r="I339" s="294">
        <f>I86/(AVERAGE(I284:K284,I41:K41))</f>
        <v>0.47974498659251508</v>
      </c>
      <c r="K339" s="296"/>
      <c r="L339" s="250"/>
      <c r="M339" s="250"/>
      <c r="N339" s="296"/>
      <c r="O339" s="296"/>
      <c r="P339" s="250"/>
      <c r="Q339" s="250"/>
      <c r="R339" s="250"/>
    </row>
    <row r="340" spans="1:27" s="238" customFormat="1" x14ac:dyDescent="0.25">
      <c r="A340" s="252" t="s">
        <v>407</v>
      </c>
      <c r="B340" s="294">
        <f t="shared" ref="B340:I340" si="279">-B212/B284</f>
        <v>2.5734469146062585E-2</v>
      </c>
      <c r="C340" s="294">
        <f t="shared" si="279"/>
        <v>-7.5638272488664365E-3</v>
      </c>
      <c r="D340" s="294">
        <f t="shared" si="279"/>
        <v>4.4438369781312194E-2</v>
      </c>
      <c r="E340" s="294">
        <f t="shared" si="279"/>
        <v>-3.8534688244887608E-2</v>
      </c>
      <c r="F340" s="294">
        <f t="shared" si="279"/>
        <v>-7.1315931983104125E-2</v>
      </c>
      <c r="G340" s="294">
        <f t="shared" si="279"/>
        <v>2.6140953150242355E-2</v>
      </c>
      <c r="H340" s="294">
        <f t="shared" si="279"/>
        <v>-0.15133825701624809</v>
      </c>
      <c r="I340" s="294">
        <f t="shared" si="279"/>
        <v>-0.13496678743961354</v>
      </c>
      <c r="K340" s="296"/>
      <c r="L340" s="250"/>
      <c r="M340" s="250"/>
      <c r="N340" s="296"/>
      <c r="O340" s="296"/>
      <c r="P340" s="250"/>
      <c r="Q340" s="250"/>
      <c r="R340" s="250"/>
    </row>
    <row r="341" spans="1:27" s="238" customFormat="1" x14ac:dyDescent="0.25">
      <c r="A341" s="252" t="s">
        <v>408</v>
      </c>
      <c r="B341" s="294">
        <f t="shared" ref="B341:I341" si="280">-(B212-B188)/B284</f>
        <v>3.0928734676916522E-2</v>
      </c>
      <c r="C341" s="294">
        <f t="shared" si="280"/>
        <v>-2.553089954664575E-3</v>
      </c>
      <c r="D341" s="294">
        <f t="shared" si="280"/>
        <v>4.4438369781312194E-2</v>
      </c>
      <c r="E341" s="294">
        <f t="shared" si="280"/>
        <v>-3.8534688244887608E-2</v>
      </c>
      <c r="F341" s="294">
        <f t="shared" si="280"/>
        <v>-7.1315931983104125E-2</v>
      </c>
      <c r="G341" s="294">
        <f t="shared" si="280"/>
        <v>2.6140953150242355E-2</v>
      </c>
      <c r="H341" s="294">
        <f t="shared" si="280"/>
        <v>-0.15133825701624809</v>
      </c>
      <c r="I341" s="294">
        <f t="shared" si="280"/>
        <v>-0.13496678743961354</v>
      </c>
      <c r="K341" s="296"/>
      <c r="L341" s="250"/>
      <c r="M341" s="250"/>
      <c r="N341" s="296"/>
      <c r="O341" s="296"/>
      <c r="P341" s="250"/>
      <c r="Q341" s="250"/>
      <c r="R341" s="250"/>
    </row>
    <row r="342" spans="1:27" s="238" customFormat="1" x14ac:dyDescent="0.25">
      <c r="A342" s="252" t="s">
        <v>409</v>
      </c>
      <c r="B342" s="294">
        <f t="shared" ref="B342:I342" si="281">(B336-B188)/B284</f>
        <v>0.17050488260959912</v>
      </c>
      <c r="C342" s="294">
        <f t="shared" si="281"/>
        <v>0.18210450966356459</v>
      </c>
      <c r="D342" s="294">
        <f t="shared" si="281"/>
        <v>0.16654572564612319</v>
      </c>
      <c r="E342" s="294">
        <f t="shared" si="281"/>
        <v>0.14692761259565915</v>
      </c>
      <c r="F342" s="294">
        <f t="shared" si="281"/>
        <v>9.6443192895050406E-2</v>
      </c>
      <c r="G342" s="294">
        <f t="shared" si="281"/>
        <v>0.10148424878836831</v>
      </c>
      <c r="H342" s="294">
        <f t="shared" si="281"/>
        <v>0.24572525849335297</v>
      </c>
      <c r="I342" s="294">
        <f t="shared" si="281"/>
        <v>0.17753925120772951</v>
      </c>
      <c r="K342" s="296"/>
      <c r="L342" s="250"/>
      <c r="M342" s="250"/>
      <c r="N342" s="296"/>
      <c r="O342" s="296"/>
      <c r="P342" s="250"/>
      <c r="Q342" s="250"/>
      <c r="R342" s="250"/>
    </row>
    <row r="343" spans="1:27" s="238" customFormat="1" x14ac:dyDescent="0.25">
      <c r="A343" s="252" t="s">
        <v>387</v>
      </c>
      <c r="B343" s="294">
        <f>B312</f>
        <v>4.27027757522686</v>
      </c>
      <c r="C343" s="294">
        <f t="shared" ref="C343:I343" si="282">C312</f>
        <v>4.3130595862920691</v>
      </c>
      <c r="D343" s="294">
        <f t="shared" si="282"/>
        <v>4.1691705174164415</v>
      </c>
      <c r="E343" s="294">
        <f t="shared" si="282"/>
        <v>3.7631718094950348</v>
      </c>
      <c r="F343" s="294">
        <f t="shared" si="282"/>
        <v>4.91258127334447</v>
      </c>
      <c r="G343" s="294">
        <f t="shared" si="282"/>
        <v>6.2012397470415133</v>
      </c>
      <c r="H343" s="294">
        <f t="shared" si="282"/>
        <v>3.2839209142591055</v>
      </c>
      <c r="I343" s="294">
        <f t="shared" si="282"/>
        <v>4.0291480638921664</v>
      </c>
      <c r="K343" s="296"/>
      <c r="L343" s="250"/>
      <c r="M343" s="250"/>
      <c r="N343" s="296"/>
      <c r="O343" s="296"/>
      <c r="P343" s="250"/>
      <c r="Q343" s="250"/>
      <c r="R343" s="250"/>
    </row>
    <row r="344" spans="1:27" s="238" customFormat="1" ht="15.75" thickBot="1" x14ac:dyDescent="0.3">
      <c r="A344" s="252" t="s">
        <v>410</v>
      </c>
      <c r="B344" s="295">
        <f t="shared" ref="B344:I344" si="283">B284/B284+B39</f>
        <v>489.4</v>
      </c>
      <c r="C344" s="295">
        <f t="shared" si="283"/>
        <v>400.4</v>
      </c>
      <c r="D344" s="295">
        <f t="shared" si="283"/>
        <v>407.59999999999991</v>
      </c>
      <c r="E344" s="295">
        <f t="shared" si="283"/>
        <v>342.70000000000005</v>
      </c>
      <c r="F344" s="295">
        <f t="shared" si="283"/>
        <v>148.29999999999998</v>
      </c>
      <c r="G344" s="295">
        <f t="shared" si="283"/>
        <v>57.199999999999989</v>
      </c>
      <c r="H344" s="295">
        <f t="shared" si="283"/>
        <v>100.89999999999999</v>
      </c>
      <c r="I344" s="295">
        <f t="shared" si="283"/>
        <v>31.400000000000006</v>
      </c>
      <c r="K344" s="296"/>
      <c r="L344" s="250"/>
      <c r="M344" s="250"/>
      <c r="N344" s="296"/>
      <c r="O344" s="296"/>
      <c r="P344" s="250"/>
      <c r="Q344" s="250"/>
      <c r="R344" s="250"/>
    </row>
    <row r="345" spans="1:27" s="238" customFormat="1" ht="15.75" thickTop="1" x14ac:dyDescent="0.25">
      <c r="A345" s="255"/>
    </row>
    <row r="346" spans="1:27" s="1" customFormat="1" x14ac:dyDescent="0.25">
      <c r="A346" s="1" t="s">
        <v>111</v>
      </c>
      <c r="B346" s="1" t="s">
        <v>476</v>
      </c>
      <c r="K346" s="236"/>
      <c r="L346" s="236"/>
      <c r="M346" s="236"/>
      <c r="N346" s="236"/>
      <c r="O346" s="236"/>
      <c r="P346" s="236"/>
      <c r="Q346" s="236"/>
      <c r="R346" s="236"/>
      <c r="S346" s="236"/>
      <c r="T346" s="236"/>
      <c r="U346" s="236"/>
      <c r="V346" s="236"/>
      <c r="W346" s="236"/>
      <c r="X346" s="236"/>
      <c r="Y346" s="236"/>
      <c r="Z346" s="236"/>
      <c r="AA346" s="236"/>
    </row>
    <row r="347" spans="1:27" s="1" customFormat="1" x14ac:dyDescent="0.25">
      <c r="A347" s="1" t="s">
        <v>411</v>
      </c>
      <c r="K347" s="236"/>
      <c r="L347" s="236"/>
      <c r="M347" s="236"/>
      <c r="N347" s="236"/>
      <c r="O347" s="236"/>
      <c r="P347" s="236"/>
      <c r="Q347" s="236"/>
      <c r="R347" s="236"/>
      <c r="S347" s="236"/>
      <c r="T347" s="236"/>
      <c r="U347" s="236"/>
      <c r="V347" s="236"/>
      <c r="W347" s="236"/>
      <c r="X347" s="236"/>
      <c r="Y347" s="236"/>
      <c r="Z347" s="236"/>
      <c r="AA347" s="236"/>
    </row>
    <row r="348" spans="1:27" s="1" customFormat="1" x14ac:dyDescent="0.25">
      <c r="A348" s="1" t="s">
        <v>3</v>
      </c>
      <c r="H348" s="2"/>
      <c r="I348" s="2"/>
      <c r="K348" s="236"/>
      <c r="L348" s="236"/>
      <c r="M348" s="236"/>
      <c r="N348" s="236"/>
      <c r="O348" s="236"/>
      <c r="P348" s="237"/>
      <c r="Q348" s="237"/>
      <c r="R348" s="237"/>
      <c r="S348" s="236"/>
      <c r="T348" s="236"/>
      <c r="U348" s="236"/>
      <c r="V348" s="236"/>
      <c r="W348" s="236"/>
      <c r="X348" s="236"/>
      <c r="Y348" s="236"/>
      <c r="Z348" s="236"/>
      <c r="AA348" s="236"/>
    </row>
    <row r="349" spans="1:27" s="1" customFormat="1" ht="15.75" thickBot="1" x14ac:dyDescent="0.3">
      <c r="A349" s="2" t="s">
        <v>11</v>
      </c>
      <c r="B349" s="17" t="s">
        <v>72</v>
      </c>
      <c r="C349" s="3">
        <v>2022</v>
      </c>
      <c r="D349" s="3">
        <v>2021</v>
      </c>
      <c r="E349" s="3">
        <v>2020</v>
      </c>
      <c r="F349" s="3">
        <v>2019</v>
      </c>
      <c r="G349" s="3">
        <v>2018</v>
      </c>
      <c r="H349" s="3">
        <v>2017</v>
      </c>
      <c r="I349" s="3">
        <v>2016</v>
      </c>
      <c r="K349" s="7"/>
      <c r="L349" s="7"/>
      <c r="M349" s="7"/>
      <c r="N349" s="7"/>
      <c r="O349" s="7"/>
      <c r="P349" s="7"/>
      <c r="Q349" s="7"/>
      <c r="R349" s="7"/>
      <c r="S349" s="236"/>
      <c r="T349" s="236"/>
      <c r="U349" s="236"/>
      <c r="V349" s="236"/>
      <c r="W349" s="7"/>
      <c r="X349" s="7"/>
      <c r="Y349" s="7"/>
      <c r="Z349" s="7"/>
      <c r="AA349" s="7"/>
    </row>
    <row r="350" spans="1:27" s="238" customFormat="1" x14ac:dyDescent="0.25">
      <c r="A350" s="252" t="s">
        <v>412</v>
      </c>
      <c r="B350" s="248">
        <f t="shared" ref="B350:I350" si="284">B62/B55</f>
        <v>8.263404921063866E-2</v>
      </c>
      <c r="C350" s="248">
        <f t="shared" si="284"/>
        <v>6.8316081797525838E-2</v>
      </c>
      <c r="D350" s="248">
        <f t="shared" si="284"/>
        <v>7.6313594662218459E-2</v>
      </c>
      <c r="E350" s="248">
        <f t="shared" si="284"/>
        <v>9.8136720388233095E-2</v>
      </c>
      <c r="F350" s="248">
        <f t="shared" si="284"/>
        <v>8.0635308491142366E-2</v>
      </c>
      <c r="G350" s="248">
        <f t="shared" si="284"/>
        <v>6.2519997440327615E-2</v>
      </c>
      <c r="H350" s="248">
        <f t="shared" si="284"/>
        <v>9.501863774991523E-2</v>
      </c>
      <c r="I350" s="248">
        <f t="shared" si="284"/>
        <v>7.8661206044344026E-2</v>
      </c>
      <c r="K350" s="296"/>
      <c r="L350" s="250"/>
      <c r="M350" s="250"/>
      <c r="N350" s="296"/>
      <c r="O350" s="250"/>
      <c r="P350" s="250"/>
      <c r="Q350" s="250"/>
      <c r="R350" s="250"/>
      <c r="S350" s="250"/>
      <c r="T350" s="250"/>
      <c r="U350" s="250"/>
      <c r="V350" s="296"/>
      <c r="W350" s="250"/>
      <c r="X350" s="250"/>
      <c r="Y350" s="250"/>
    </row>
    <row r="351" spans="1:27" s="238" customFormat="1" x14ac:dyDescent="0.25">
      <c r="A351" s="252" t="s">
        <v>413</v>
      </c>
      <c r="B351" s="248">
        <f t="shared" ref="B351:I351" si="285">B84/B86</f>
        <v>0.65463753316810247</v>
      </c>
      <c r="C351" s="248">
        <f t="shared" si="285"/>
        <v>0.6759259259259256</v>
      </c>
      <c r="D351" s="248">
        <f t="shared" si="285"/>
        <v>0.70074481291009028</v>
      </c>
      <c r="E351" s="248">
        <f t="shared" si="285"/>
        <v>0.68994902229323574</v>
      </c>
      <c r="F351" s="248">
        <f t="shared" si="285"/>
        <v>0.53555244418349079</v>
      </c>
      <c r="G351" s="248">
        <f t="shared" si="285"/>
        <v>0.5032595721237717</v>
      </c>
      <c r="H351" s="248">
        <f t="shared" si="285"/>
        <v>0.72818439970324123</v>
      </c>
      <c r="I351" s="248">
        <f t="shared" si="285"/>
        <v>0.54440279098132771</v>
      </c>
      <c r="K351" s="297"/>
      <c r="L351" s="250"/>
      <c r="M351" s="250"/>
      <c r="N351" s="296"/>
      <c r="O351" s="250"/>
      <c r="P351" s="250"/>
      <c r="Q351" s="250"/>
      <c r="R351" s="250"/>
      <c r="S351" s="250"/>
      <c r="T351" s="250"/>
      <c r="U351" s="250"/>
      <c r="V351" s="296"/>
      <c r="W351" s="250"/>
      <c r="X351" s="250"/>
      <c r="Y351" s="250"/>
    </row>
    <row r="352" spans="1:27" s="238" customFormat="1" x14ac:dyDescent="0.25">
      <c r="A352" s="252" t="s">
        <v>414</v>
      </c>
      <c r="B352" s="248">
        <f t="shared" ref="B352:I352" si="286">B68/B55</f>
        <v>5.57530934433225E-2</v>
      </c>
      <c r="C352" s="248">
        <f t="shared" si="286"/>
        <v>4.6957838929563206E-2</v>
      </c>
      <c r="D352" s="248">
        <f t="shared" si="286"/>
        <v>5.4330990110806568E-2</v>
      </c>
      <c r="E352" s="248">
        <f t="shared" si="286"/>
        <v>7.0217482475585555E-2</v>
      </c>
      <c r="F352" s="248">
        <f t="shared" si="286"/>
        <v>4.31887599266952E-2</v>
      </c>
      <c r="G352" s="248">
        <f t="shared" si="286"/>
        <v>2.8476355026556571E-2</v>
      </c>
      <c r="H352" s="248">
        <f t="shared" si="286"/>
        <v>6.7909183327685488E-2</v>
      </c>
      <c r="I352" s="248">
        <f t="shared" si="286"/>
        <v>4.3002400790848751E-2</v>
      </c>
      <c r="K352" s="296"/>
      <c r="L352" s="250"/>
      <c r="M352" s="250"/>
      <c r="N352" s="296"/>
      <c r="O352" s="250"/>
      <c r="P352" s="250"/>
      <c r="Q352" s="250"/>
      <c r="R352" s="250"/>
      <c r="S352" s="250"/>
      <c r="T352" s="250"/>
      <c r="U352" s="250"/>
      <c r="V352" s="296"/>
      <c r="W352" s="250"/>
      <c r="X352" s="250"/>
      <c r="Y352" s="250"/>
    </row>
    <row r="353" spans="1:25" s="238" customFormat="1" x14ac:dyDescent="0.25">
      <c r="A353" s="252" t="s">
        <v>415</v>
      </c>
      <c r="B353" s="248">
        <f t="shared" ref="B353:I353" si="287">B74/B84</f>
        <v>0.82695029279429622</v>
      </c>
      <c r="C353" s="248">
        <f t="shared" si="287"/>
        <v>0.77846746575342429</v>
      </c>
      <c r="D353" s="248">
        <f t="shared" si="287"/>
        <v>0.75325825635834465</v>
      </c>
      <c r="E353" s="248">
        <f t="shared" si="287"/>
        <v>0.87685634465519757</v>
      </c>
      <c r="F353" s="248">
        <f t="shared" si="287"/>
        <v>0.7638658533157171</v>
      </c>
      <c r="G353" s="248">
        <f t="shared" si="287"/>
        <v>0.52745849297573411</v>
      </c>
      <c r="H353" s="248">
        <f t="shared" si="287"/>
        <v>0.85420179876335012</v>
      </c>
      <c r="I353" s="248">
        <f t="shared" si="287"/>
        <v>0.80890250733089519</v>
      </c>
      <c r="K353" s="297"/>
      <c r="L353" s="250"/>
      <c r="M353" s="250"/>
      <c r="N353" s="296"/>
      <c r="O353" s="250"/>
      <c r="P353" s="250"/>
      <c r="Q353" s="250"/>
      <c r="R353" s="250"/>
      <c r="S353" s="250"/>
      <c r="T353" s="250"/>
      <c r="U353" s="250"/>
      <c r="V353" s="296"/>
      <c r="W353" s="250"/>
      <c r="X353" s="250"/>
      <c r="Y353" s="250"/>
    </row>
    <row r="354" spans="1:25" s="238" customFormat="1" x14ac:dyDescent="0.25">
      <c r="A354" s="252" t="s">
        <v>416</v>
      </c>
      <c r="B354" s="248">
        <f t="shared" ref="B354:I354" si="288">B74/B55</f>
        <v>4.3250367420471302E-2</v>
      </c>
      <c r="C354" s="248">
        <f t="shared" si="288"/>
        <v>3.6728098964907772E-2</v>
      </c>
      <c r="D354" s="248">
        <f t="shared" si="288"/>
        <v>4.255689264863572E-2</v>
      </c>
      <c r="E354" s="248">
        <f t="shared" si="288"/>
        <v>5.7166137439338502E-2</v>
      </c>
      <c r="F354" s="248">
        <f t="shared" si="288"/>
        <v>3.3198533903482E-2</v>
      </c>
      <c r="G354" s="248">
        <f t="shared" si="288"/>
        <v>1.8500031995904501E-2</v>
      </c>
      <c r="H354" s="248">
        <f t="shared" si="288"/>
        <v>6.5913927482209381E-2</v>
      </c>
      <c r="I354" s="248">
        <f t="shared" si="288"/>
        <v>3.4671656545685638E-2</v>
      </c>
      <c r="K354" s="296"/>
      <c r="L354" s="250"/>
      <c r="M354" s="250"/>
      <c r="N354" s="296"/>
      <c r="O354" s="250"/>
      <c r="P354" s="250"/>
      <c r="Q354" s="250"/>
      <c r="R354" s="250"/>
      <c r="S354" s="250"/>
      <c r="T354" s="250"/>
      <c r="U354" s="250"/>
      <c r="V354" s="296"/>
      <c r="W354" s="250"/>
      <c r="X354" s="250"/>
      <c r="Y354" s="250"/>
    </row>
    <row r="355" spans="1:25" s="238" customFormat="1" x14ac:dyDescent="0.25">
      <c r="A355" s="252" t="s">
        <v>417</v>
      </c>
      <c r="B355" s="246">
        <f t="shared" ref="B355:H355" si="289">B55/AVERAGE(B23:C23)</f>
        <v>1.1653591160220995</v>
      </c>
      <c r="C355" s="246">
        <f t="shared" si="289"/>
        <v>1.174221089141197</v>
      </c>
      <c r="D355" s="246">
        <f t="shared" si="289"/>
        <v>1.0296580279098297</v>
      </c>
      <c r="E355" s="246">
        <f t="shared" si="289"/>
        <v>1.0553237228123418</v>
      </c>
      <c r="F355" s="246">
        <f t="shared" si="289"/>
        <v>1.0753818360978815</v>
      </c>
      <c r="G355" s="246">
        <f t="shared" si="289"/>
        <v>1.1661505167717621</v>
      </c>
      <c r="H355" s="246">
        <f t="shared" si="289"/>
        <v>1.2899418630065131</v>
      </c>
      <c r="I355" s="246"/>
      <c r="K355" s="297"/>
      <c r="L355" s="250"/>
      <c r="M355" s="250"/>
      <c r="N355" s="296"/>
      <c r="O355" s="250"/>
      <c r="P355" s="250"/>
      <c r="Q355" s="250"/>
      <c r="R355" s="250"/>
      <c r="S355" s="250"/>
      <c r="T355" s="250"/>
      <c r="U355" s="250"/>
      <c r="V355" s="296"/>
      <c r="W355" s="250"/>
      <c r="X355" s="250"/>
      <c r="Y355" s="250"/>
    </row>
    <row r="356" spans="1:25" s="238" customFormat="1" x14ac:dyDescent="0.25">
      <c r="A356" s="252" t="s">
        <v>418</v>
      </c>
      <c r="B356" s="248">
        <f t="shared" ref="B356:H356" si="290">B74/AVERAGE(B23:C23)</f>
        <v>5.0402209944751447E-2</v>
      </c>
      <c r="C356" s="248">
        <f t="shared" si="290"/>
        <v>4.3126908368659671E-2</v>
      </c>
      <c r="D356" s="248">
        <f t="shared" si="290"/>
        <v>4.3819046158564592E-2</v>
      </c>
      <c r="E356" s="248">
        <f t="shared" si="290"/>
        <v>6.0328780981284698E-2</v>
      </c>
      <c r="F356" s="248">
        <f t="shared" si="290"/>
        <v>3.5701100344884246E-2</v>
      </c>
      <c r="G356" s="248">
        <f t="shared" si="290"/>
        <v>2.1573821872318169E-2</v>
      </c>
      <c r="H356" s="248">
        <f t="shared" si="290"/>
        <v>8.5025134414477385E-2</v>
      </c>
      <c r="I356" s="248"/>
      <c r="K356" s="296"/>
      <c r="L356" s="250"/>
      <c r="M356" s="250"/>
      <c r="N356" s="296"/>
      <c r="O356" s="250"/>
      <c r="P356" s="250"/>
      <c r="Q356" s="250"/>
      <c r="R356" s="250"/>
      <c r="S356" s="250"/>
      <c r="T356" s="250"/>
      <c r="U356" s="250"/>
      <c r="V356" s="296"/>
      <c r="W356" s="250"/>
      <c r="X356" s="250"/>
      <c r="Y356" s="250"/>
    </row>
    <row r="357" spans="1:25" s="238" customFormat="1" x14ac:dyDescent="0.25">
      <c r="A357" s="252" t="s">
        <v>383</v>
      </c>
      <c r="B357" s="246">
        <f>B308</f>
        <v>4.0433374287948176</v>
      </c>
      <c r="C357" s="246">
        <f t="shared" ref="C357:H357" si="291">C308</f>
        <v>4.1451216515114284</v>
      </c>
      <c r="D357" s="246">
        <f t="shared" si="291"/>
        <v>4.3082716701902752</v>
      </c>
      <c r="E357" s="246">
        <f t="shared" si="291"/>
        <v>6.2674856350307113</v>
      </c>
      <c r="F357" s="246">
        <f t="shared" si="291"/>
        <v>13.489144882587507</v>
      </c>
      <c r="G357" s="246">
        <f t="shared" si="291"/>
        <v>15.509837962962967</v>
      </c>
      <c r="H357" s="246">
        <f t="shared" si="291"/>
        <v>16.294159544159541</v>
      </c>
      <c r="I357" s="246"/>
      <c r="K357" s="297"/>
      <c r="L357" s="250"/>
      <c r="M357" s="250"/>
      <c r="N357" s="296"/>
      <c r="O357" s="250"/>
      <c r="P357" s="250"/>
      <c r="Q357" s="250"/>
      <c r="R357" s="250"/>
      <c r="S357" s="250"/>
      <c r="T357" s="250"/>
      <c r="U357" s="250"/>
      <c r="V357" s="296"/>
      <c r="W357" s="250"/>
      <c r="X357" s="250"/>
      <c r="Y357" s="250"/>
    </row>
    <row r="358" spans="1:25" s="238" customFormat="1" x14ac:dyDescent="0.25">
      <c r="A358" s="252" t="s">
        <v>419</v>
      </c>
      <c r="B358" s="248">
        <f t="shared" ref="B358:H358" si="292">B74/AVERAGE(B41:C41)</f>
        <v>0.20379314196358791</v>
      </c>
      <c r="C358" s="248">
        <f t="shared" si="292"/>
        <v>0.17876628164168062</v>
      </c>
      <c r="D358" s="248">
        <f t="shared" si="292"/>
        <v>0.18878435517970382</v>
      </c>
      <c r="E358" s="248">
        <f t="shared" si="292"/>
        <v>0.37810976817911579</v>
      </c>
      <c r="F358" s="248">
        <f t="shared" si="292"/>
        <v>0.48157731501993833</v>
      </c>
      <c r="G358" s="248">
        <f t="shared" si="292"/>
        <v>0.33460648148148109</v>
      </c>
      <c r="H358" s="248">
        <f t="shared" si="292"/>
        <v>1.3854131054131045</v>
      </c>
      <c r="K358" s="296"/>
      <c r="L358" s="250"/>
      <c r="M358" s="250"/>
      <c r="N358" s="296"/>
      <c r="O358" s="250"/>
      <c r="P358" s="250"/>
      <c r="Q358" s="250"/>
      <c r="R358" s="250"/>
      <c r="S358" s="250"/>
      <c r="T358" s="250"/>
      <c r="U358" s="250"/>
      <c r="V358" s="296"/>
      <c r="W358" s="250"/>
      <c r="X358" s="250"/>
      <c r="Y358" s="250"/>
    </row>
    <row r="359" spans="1:25" s="238" customFormat="1" ht="18" x14ac:dyDescent="0.25">
      <c r="A359" s="252"/>
      <c r="K359" s="298"/>
      <c r="L359" s="250"/>
      <c r="M359" s="250"/>
      <c r="N359" s="298"/>
      <c r="O359" s="250"/>
      <c r="P359" s="250"/>
      <c r="Q359" s="250"/>
      <c r="R359" s="250"/>
      <c r="S359" s="250"/>
      <c r="T359" s="250"/>
      <c r="U359" s="250"/>
      <c r="V359" s="298"/>
      <c r="W359" s="250"/>
      <c r="X359" s="250"/>
      <c r="Y359" s="250"/>
    </row>
    <row r="360" spans="1:25" s="238" customFormat="1" x14ac:dyDescent="0.25">
      <c r="A360" s="252" t="s">
        <v>420</v>
      </c>
      <c r="B360" s="248">
        <f t="shared" ref="B360:I360" si="293">B57/B55</f>
        <v>0.18446878111221737</v>
      </c>
      <c r="C360" s="248">
        <f t="shared" si="293"/>
        <v>0.17399646553900525</v>
      </c>
      <c r="D360" s="248">
        <f t="shared" si="293"/>
        <v>0.1990349100440843</v>
      </c>
      <c r="E360" s="248">
        <f t="shared" si="293"/>
        <v>0.21592474986519675</v>
      </c>
      <c r="F360" s="248">
        <f t="shared" si="293"/>
        <v>0.20201588271227858</v>
      </c>
      <c r="G360" s="248">
        <f t="shared" si="293"/>
        <v>0.19312727970819732</v>
      </c>
      <c r="H360" s="248">
        <f t="shared" si="293"/>
        <v>0.21829888173500503</v>
      </c>
      <c r="I360" s="248">
        <f t="shared" si="293"/>
        <v>0.20477333709927975</v>
      </c>
      <c r="K360" s="296"/>
      <c r="L360" s="250"/>
      <c r="M360" s="250"/>
      <c r="N360" s="296"/>
      <c r="O360" s="250"/>
      <c r="P360" s="250"/>
      <c r="Q360" s="250"/>
      <c r="R360" s="250"/>
      <c r="S360" s="250"/>
      <c r="T360" s="250"/>
      <c r="U360" s="250"/>
      <c r="V360" s="296"/>
      <c r="W360" s="250"/>
      <c r="X360" s="250"/>
      <c r="Y360" s="250"/>
    </row>
    <row r="361" spans="1:25" s="238" customFormat="1" x14ac:dyDescent="0.25">
      <c r="A361" s="252" t="s">
        <v>421</v>
      </c>
      <c r="B361" s="249">
        <f t="shared" ref="B361:I361" si="294">B62/B57</f>
        <v>0.44795682343870497</v>
      </c>
      <c r="C361" s="249">
        <f t="shared" si="294"/>
        <v>0.39262913522925119</v>
      </c>
      <c r="D361" s="249">
        <f t="shared" si="294"/>
        <v>0.38341813828195137</v>
      </c>
      <c r="E361" s="249">
        <f t="shared" si="294"/>
        <v>0.45449500554938932</v>
      </c>
      <c r="F361" s="249">
        <f t="shared" si="294"/>
        <v>0.3991533111581495</v>
      </c>
      <c r="G361" s="249">
        <f t="shared" si="294"/>
        <v>0.3237243207422133</v>
      </c>
      <c r="H361" s="249">
        <f t="shared" si="294"/>
        <v>0.43526855013970805</v>
      </c>
      <c r="I361" s="249">
        <f t="shared" si="294"/>
        <v>0.38413793103448279</v>
      </c>
      <c r="K361" s="297"/>
      <c r="L361" s="250"/>
      <c r="M361" s="250"/>
      <c r="N361" s="296"/>
      <c r="O361" s="250"/>
      <c r="P361" s="250"/>
      <c r="Q361" s="250"/>
      <c r="R361" s="250"/>
      <c r="S361" s="250"/>
      <c r="T361" s="250"/>
      <c r="U361" s="250"/>
      <c r="V361" s="296"/>
      <c r="W361" s="250"/>
      <c r="X361" s="250"/>
      <c r="Y361" s="250"/>
    </row>
    <row r="362" spans="1:25" s="238" customFormat="1" x14ac:dyDescent="0.25">
      <c r="A362" s="253" t="s">
        <v>412</v>
      </c>
      <c r="B362" s="20">
        <f>B360*B361</f>
        <v>8.2634049210638674E-2</v>
      </c>
      <c r="C362" s="20">
        <f t="shared" ref="C362:I362" si="295">C360*C361</f>
        <v>6.8316081797525838E-2</v>
      </c>
      <c r="D362" s="20">
        <f t="shared" si="295"/>
        <v>7.6313594662218473E-2</v>
      </c>
      <c r="E362" s="20">
        <f t="shared" si="295"/>
        <v>9.8136720388233095E-2</v>
      </c>
      <c r="F362" s="20">
        <f t="shared" si="295"/>
        <v>8.0635308491142366E-2</v>
      </c>
      <c r="G362" s="20">
        <f t="shared" si="295"/>
        <v>6.2519997440327615E-2</v>
      </c>
      <c r="H362" s="20">
        <f t="shared" si="295"/>
        <v>9.501863774991523E-2</v>
      </c>
      <c r="I362" s="20">
        <f t="shared" si="295"/>
        <v>7.8661206044344026E-2</v>
      </c>
      <c r="K362" s="296"/>
      <c r="L362" s="250"/>
      <c r="M362" s="250"/>
      <c r="N362" s="296"/>
      <c r="O362" s="250"/>
      <c r="P362" s="250"/>
      <c r="Q362" s="250"/>
      <c r="R362" s="250"/>
      <c r="S362" s="250"/>
      <c r="T362" s="250"/>
      <c r="U362" s="250"/>
      <c r="V362" s="296"/>
      <c r="W362" s="250"/>
      <c r="X362" s="250"/>
      <c r="Y362" s="250"/>
    </row>
    <row r="363" spans="1:25" s="238" customFormat="1" x14ac:dyDescent="0.25">
      <c r="A363" s="252" t="s">
        <v>422</v>
      </c>
      <c r="B363" s="249">
        <f t="shared" ref="B363:I363" si="296">B74/B62</f>
        <v>0.52339644291451548</v>
      </c>
      <c r="C363" s="249">
        <f t="shared" si="296"/>
        <v>0.5376201034737611</v>
      </c>
      <c r="D363" s="249">
        <f t="shared" si="296"/>
        <v>0.55765807962529257</v>
      </c>
      <c r="E363" s="249">
        <f t="shared" si="296"/>
        <v>0.58251526251526242</v>
      </c>
      <c r="F363" s="249">
        <f t="shared" si="296"/>
        <v>0.41171212121212131</v>
      </c>
      <c r="G363" s="249">
        <f t="shared" si="296"/>
        <v>0.2959058341862843</v>
      </c>
      <c r="H363" s="249">
        <f t="shared" si="296"/>
        <v>0.69369472182596281</v>
      </c>
      <c r="I363" s="249">
        <f t="shared" si="296"/>
        <v>0.44077199281867147</v>
      </c>
      <c r="K363" s="297"/>
      <c r="L363" s="250"/>
      <c r="M363" s="250"/>
      <c r="N363" s="296"/>
      <c r="O363" s="250"/>
      <c r="P363" s="250"/>
      <c r="Q363" s="250"/>
      <c r="R363" s="250"/>
      <c r="S363" s="250"/>
      <c r="T363" s="250"/>
      <c r="U363" s="250"/>
      <c r="V363" s="296"/>
      <c r="W363" s="250"/>
      <c r="X363" s="250"/>
      <c r="Y363" s="250"/>
    </row>
    <row r="364" spans="1:25" s="238" customFormat="1" x14ac:dyDescent="0.25">
      <c r="A364" s="253" t="s">
        <v>416</v>
      </c>
      <c r="B364" s="20">
        <f>B362*B363</f>
        <v>4.3250367420471308E-2</v>
      </c>
      <c r="C364" s="20">
        <f t="shared" ref="C364:I364" si="297">C362*C363</f>
        <v>3.6728098964907765E-2</v>
      </c>
      <c r="D364" s="20">
        <f t="shared" si="297"/>
        <v>4.2556892648635734E-2</v>
      </c>
      <c r="E364" s="20">
        <f t="shared" si="297"/>
        <v>5.7166137439338509E-2</v>
      </c>
      <c r="F364" s="20">
        <f t="shared" si="297"/>
        <v>3.3198533903482E-2</v>
      </c>
      <c r="G364" s="20">
        <f t="shared" si="297"/>
        <v>1.8500031995904501E-2</v>
      </c>
      <c r="H364" s="20">
        <f t="shared" si="297"/>
        <v>6.5913927482209381E-2</v>
      </c>
      <c r="I364" s="20">
        <f t="shared" si="297"/>
        <v>3.4671656545685645E-2</v>
      </c>
      <c r="K364" s="296"/>
      <c r="L364" s="250"/>
      <c r="M364" s="250"/>
      <c r="N364" s="296"/>
      <c r="O364" s="250"/>
      <c r="P364" s="250"/>
      <c r="Q364" s="250"/>
      <c r="R364" s="250"/>
      <c r="S364" s="250"/>
      <c r="T364" s="250"/>
      <c r="U364" s="250"/>
      <c r="V364" s="296"/>
      <c r="W364" s="250"/>
      <c r="X364" s="250"/>
      <c r="Y364" s="250"/>
    </row>
    <row r="365" spans="1:25" s="238" customFormat="1" ht="18" x14ac:dyDescent="0.25">
      <c r="A365" s="252"/>
      <c r="K365" s="298"/>
      <c r="L365" s="250"/>
      <c r="M365" s="250"/>
      <c r="N365" s="298"/>
      <c r="O365" s="250"/>
      <c r="P365" s="250"/>
      <c r="Q365" s="250"/>
      <c r="R365" s="250"/>
      <c r="S365" s="250"/>
      <c r="T365" s="250"/>
      <c r="U365" s="250"/>
      <c r="V365" s="298"/>
      <c r="W365" s="250"/>
      <c r="X365" s="250"/>
      <c r="Y365" s="250"/>
    </row>
    <row r="366" spans="1:25" s="238" customFormat="1" x14ac:dyDescent="0.25">
      <c r="A366" s="252" t="s">
        <v>423</v>
      </c>
      <c r="B366" s="248">
        <f t="shared" ref="B366:I366" si="298">B69/B68</f>
        <v>0.22</v>
      </c>
      <c r="C366" s="248">
        <f t="shared" si="298"/>
        <v>0.21999999999999997</v>
      </c>
      <c r="D366" s="248">
        <f t="shared" si="298"/>
        <v>0.22</v>
      </c>
      <c r="E366" s="248">
        <f t="shared" si="298"/>
        <v>0.22</v>
      </c>
      <c r="F366" s="248">
        <f t="shared" si="298"/>
        <v>0.22</v>
      </c>
      <c r="G366" s="248">
        <f t="shared" si="298"/>
        <v>0.22</v>
      </c>
      <c r="H366" s="248">
        <f t="shared" si="298"/>
        <v>1.5409181636726421E-2</v>
      </c>
      <c r="I366" s="248">
        <f t="shared" si="298"/>
        <v>0.22</v>
      </c>
      <c r="K366" s="296"/>
      <c r="L366" s="250"/>
      <c r="M366" s="250"/>
      <c r="N366" s="296"/>
      <c r="O366" s="250"/>
      <c r="P366" s="250"/>
      <c r="Q366" s="250"/>
      <c r="R366" s="250"/>
      <c r="S366" s="250"/>
      <c r="T366" s="250"/>
      <c r="U366" s="250"/>
      <c r="V366" s="296"/>
      <c r="W366" s="250"/>
      <c r="X366" s="250"/>
      <c r="Y366" s="250"/>
    </row>
    <row r="367" spans="1:25" s="238" customFormat="1" x14ac:dyDescent="0.25">
      <c r="A367" s="252"/>
      <c r="K367" s="296"/>
      <c r="L367" s="250"/>
      <c r="M367" s="250"/>
      <c r="N367" s="296"/>
      <c r="O367" s="250"/>
      <c r="P367" s="250"/>
      <c r="Q367" s="250"/>
      <c r="R367" s="250"/>
      <c r="S367" s="250"/>
      <c r="T367" s="250"/>
      <c r="U367" s="250"/>
      <c r="V367" s="296"/>
      <c r="W367" s="250"/>
      <c r="X367" s="250"/>
      <c r="Y367" s="250"/>
    </row>
    <row r="368" spans="1:25" s="238" customFormat="1" x14ac:dyDescent="0.25">
      <c r="A368" s="252" t="s">
        <v>424</v>
      </c>
      <c r="B368" s="246">
        <f t="shared" ref="B368:G368" si="299">B55/AVERAGE(B251:C251)</f>
        <v>5.8828615255891803</v>
      </c>
      <c r="C368" s="246">
        <f t="shared" si="299"/>
        <v>6.0454822954822953</v>
      </c>
      <c r="D368" s="246">
        <f t="shared" si="299"/>
        <v>5.4606376057254389</v>
      </c>
      <c r="E368" s="246">
        <f t="shared" si="299"/>
        <v>6.7343151099455314</v>
      </c>
      <c r="F368" s="246">
        <f t="shared" si="299"/>
        <v>7.0423747042374716</v>
      </c>
      <c r="G368" s="246">
        <f t="shared" si="299"/>
        <v>6.6910725754656406</v>
      </c>
      <c r="H368" s="246">
        <f>H55/AVERAGE(H251:J251)</f>
        <v>7.9649122807017552</v>
      </c>
      <c r="I368" s="246">
        <f>I55/AVERAGE(I251:K251)</f>
        <v>9.7668965517241428</v>
      </c>
      <c r="K368" s="296"/>
      <c r="L368" s="250"/>
      <c r="M368" s="250"/>
      <c r="N368" s="296"/>
      <c r="O368" s="250"/>
      <c r="P368" s="250"/>
      <c r="Q368" s="250"/>
      <c r="R368" s="250"/>
      <c r="S368" s="250"/>
      <c r="T368" s="250"/>
      <c r="U368" s="250"/>
      <c r="V368" s="296"/>
      <c r="W368" s="250"/>
      <c r="X368" s="250"/>
      <c r="Y368" s="250"/>
    </row>
    <row r="369" spans="1:27" s="238" customFormat="1" x14ac:dyDescent="0.25">
      <c r="A369" s="252" t="s">
        <v>425</v>
      </c>
      <c r="B369" s="246">
        <f t="shared" ref="B369:G369" si="300">B55/AVERAGE(B17:C17)</f>
        <v>3.3560859188544163</v>
      </c>
      <c r="C369" s="246">
        <f t="shared" si="300"/>
        <v>3.785359327217126</v>
      </c>
      <c r="D369" s="246">
        <f t="shared" si="300"/>
        <v>3.7376976174571359</v>
      </c>
      <c r="E369" s="246">
        <f t="shared" si="300"/>
        <v>4.0487568223165544</v>
      </c>
      <c r="F369" s="246">
        <f t="shared" si="300"/>
        <v>3.9289571582863316</v>
      </c>
      <c r="G369" s="246">
        <f t="shared" si="300"/>
        <v>4.1901059123206865</v>
      </c>
      <c r="H369" s="246">
        <f>H55/AVERAGE(H17:J17)</f>
        <v>4.8472404730617606</v>
      </c>
      <c r="I369" s="246">
        <f>I55/AVERAGE(I17:K17)</f>
        <v>10.073742620164357</v>
      </c>
      <c r="K369" s="296"/>
      <c r="L369" s="250"/>
      <c r="M369" s="250"/>
      <c r="N369" s="296"/>
      <c r="O369" s="250"/>
      <c r="P369" s="250"/>
      <c r="Q369" s="250"/>
      <c r="R369" s="250"/>
      <c r="S369" s="250"/>
      <c r="T369" s="250"/>
      <c r="U369" s="250"/>
      <c r="V369" s="296"/>
      <c r="W369" s="250"/>
      <c r="X369" s="250"/>
      <c r="Y369" s="250"/>
    </row>
    <row r="370" spans="1:27" s="238" customFormat="1" x14ac:dyDescent="0.25">
      <c r="A370" s="252"/>
      <c r="K370" s="296"/>
      <c r="L370" s="250"/>
      <c r="M370" s="250"/>
      <c r="N370" s="296"/>
      <c r="O370" s="250"/>
      <c r="P370" s="250"/>
      <c r="Q370" s="250"/>
      <c r="R370" s="250"/>
      <c r="S370" s="250"/>
      <c r="T370" s="250"/>
      <c r="U370" s="250"/>
      <c r="V370" s="296"/>
      <c r="W370" s="250"/>
      <c r="X370" s="250"/>
      <c r="Y370" s="250"/>
    </row>
    <row r="371" spans="1:27" s="238" customFormat="1" x14ac:dyDescent="0.25">
      <c r="A371" s="252" t="s">
        <v>426</v>
      </c>
      <c r="B371" s="238">
        <f t="shared" ref="B371:I371" si="301">B86+B127</f>
        <v>225.41860172845125</v>
      </c>
      <c r="C371" s="238">
        <f t="shared" si="301"/>
        <v>194.33999999999983</v>
      </c>
      <c r="D371" s="238">
        <f t="shared" si="301"/>
        <v>193.03599999999994</v>
      </c>
      <c r="E371" s="238">
        <f t="shared" si="301"/>
        <v>211.81599999999989</v>
      </c>
      <c r="F371" s="238">
        <f t="shared" si="301"/>
        <v>187.94600000000005</v>
      </c>
      <c r="G371" s="238">
        <f t="shared" si="301"/>
        <v>159.70999999999998</v>
      </c>
      <c r="H371" s="238">
        <f t="shared" si="301"/>
        <v>206.15599999999995</v>
      </c>
      <c r="I371" s="238">
        <f t="shared" si="301"/>
        <v>164.40200000000002</v>
      </c>
      <c r="K371" s="296"/>
      <c r="L371" s="250"/>
      <c r="M371" s="250"/>
      <c r="N371" s="296"/>
      <c r="O371" s="250"/>
      <c r="P371" s="250"/>
      <c r="Q371" s="250"/>
      <c r="R371" s="250"/>
      <c r="S371" s="250"/>
      <c r="T371" s="250"/>
      <c r="U371" s="250"/>
      <c r="V371" s="296"/>
      <c r="W371" s="250"/>
      <c r="X371" s="250"/>
      <c r="Y371" s="250"/>
    </row>
    <row r="372" spans="1:27" s="238" customFormat="1" ht="15.75" thickBot="1" x14ac:dyDescent="0.3">
      <c r="A372" s="254" t="s">
        <v>427</v>
      </c>
      <c r="B372" s="251">
        <f t="shared" ref="B372:I372" si="302">B88-B59+B60</f>
        <v>225.41860172845125</v>
      </c>
      <c r="C372" s="251">
        <f t="shared" si="302"/>
        <v>194.33999999999983</v>
      </c>
      <c r="D372" s="251">
        <f t="shared" si="302"/>
        <v>193.03599999999994</v>
      </c>
      <c r="E372" s="251">
        <f t="shared" si="302"/>
        <v>211.81599999999989</v>
      </c>
      <c r="F372" s="251">
        <f t="shared" si="302"/>
        <v>187.94600000000005</v>
      </c>
      <c r="G372" s="251">
        <f t="shared" si="302"/>
        <v>159.70999999999998</v>
      </c>
      <c r="H372" s="251">
        <f t="shared" si="302"/>
        <v>206.15599999999995</v>
      </c>
      <c r="I372" s="251">
        <f t="shared" si="302"/>
        <v>164.40200000000002</v>
      </c>
      <c r="K372" s="296"/>
      <c r="L372" s="250"/>
      <c r="M372" s="250"/>
      <c r="N372" s="296"/>
      <c r="O372" s="250"/>
      <c r="P372" s="250"/>
      <c r="Q372" s="250"/>
      <c r="R372" s="250"/>
      <c r="S372" s="250"/>
      <c r="T372" s="250"/>
      <c r="U372" s="250"/>
      <c r="V372" s="296"/>
      <c r="W372" s="250"/>
      <c r="X372" s="250"/>
      <c r="Y372" s="250"/>
    </row>
    <row r="373" spans="1:27" s="238" customFormat="1" ht="15.75" thickTop="1" x14ac:dyDescent="0.25">
      <c r="A373" s="254"/>
      <c r="B373" s="250"/>
      <c r="C373" s="250"/>
      <c r="D373" s="250"/>
      <c r="E373" s="250"/>
      <c r="F373" s="250"/>
      <c r="G373" s="250"/>
      <c r="H373" s="250"/>
      <c r="I373" s="250"/>
      <c r="K373" s="296"/>
      <c r="L373" s="250"/>
      <c r="M373" s="250"/>
      <c r="N373" s="296"/>
      <c r="O373" s="250"/>
      <c r="P373" s="250"/>
      <c r="Q373" s="250"/>
      <c r="R373" s="250"/>
      <c r="S373" s="250"/>
      <c r="T373" s="250"/>
      <c r="U373" s="250"/>
      <c r="V373" s="296"/>
      <c r="W373" s="250"/>
      <c r="X373" s="250"/>
      <c r="Y373" s="250"/>
    </row>
    <row r="374" spans="1:27" s="1" customFormat="1" x14ac:dyDescent="0.25">
      <c r="A374" s="1" t="s">
        <v>111</v>
      </c>
      <c r="B374" s="1" t="s">
        <v>476</v>
      </c>
      <c r="K374" s="236"/>
      <c r="L374" s="236"/>
      <c r="M374" s="236"/>
      <c r="N374" s="236"/>
      <c r="O374" s="236"/>
      <c r="P374" s="236"/>
      <c r="Q374" s="236"/>
      <c r="R374" s="236"/>
      <c r="S374" s="236"/>
      <c r="T374" s="236"/>
      <c r="U374" s="236"/>
      <c r="V374" s="236"/>
      <c r="W374" s="236"/>
      <c r="X374" s="236"/>
      <c r="Y374" s="236"/>
      <c r="Z374" s="236"/>
      <c r="AA374" s="236"/>
    </row>
    <row r="375" spans="1:27" s="1" customFormat="1" x14ac:dyDescent="0.25">
      <c r="A375" s="1" t="s">
        <v>477</v>
      </c>
      <c r="K375" s="236"/>
      <c r="L375" s="236"/>
      <c r="M375" s="236"/>
      <c r="N375" s="236"/>
      <c r="O375" s="236"/>
      <c r="P375" s="236"/>
      <c r="Q375" s="236"/>
      <c r="R375" s="236"/>
      <c r="S375" s="236"/>
      <c r="T375" s="236"/>
      <c r="U375" s="236"/>
      <c r="V375" s="236"/>
      <c r="W375" s="236"/>
      <c r="X375" s="236"/>
      <c r="Y375" s="236"/>
      <c r="Z375" s="236"/>
      <c r="AA375" s="236"/>
    </row>
    <row r="376" spans="1:27" s="1" customFormat="1" x14ac:dyDescent="0.25">
      <c r="A376" s="1" t="s">
        <v>3</v>
      </c>
      <c r="H376" s="2"/>
      <c r="I376" s="2"/>
      <c r="K376" s="236"/>
      <c r="L376" s="236"/>
      <c r="M376" s="236"/>
      <c r="N376" s="236"/>
      <c r="O376" s="236"/>
      <c r="P376" s="237"/>
      <c r="Q376" s="237"/>
      <c r="R376" s="237"/>
      <c r="S376" s="236"/>
      <c r="T376" s="236"/>
      <c r="U376" s="236"/>
      <c r="V376" s="236"/>
      <c r="W376" s="236"/>
      <c r="X376" s="236"/>
      <c r="Y376" s="236"/>
      <c r="Z376" s="236"/>
      <c r="AA376" s="236"/>
    </row>
    <row r="377" spans="1:27" s="1" customFormat="1" ht="15.75" thickBot="1" x14ac:dyDescent="0.3">
      <c r="A377" s="2" t="s">
        <v>11</v>
      </c>
      <c r="B377" s="17" t="s">
        <v>72</v>
      </c>
      <c r="C377" s="3">
        <v>2022</v>
      </c>
      <c r="D377" s="3">
        <v>2021</v>
      </c>
      <c r="E377" s="3">
        <v>2020</v>
      </c>
      <c r="F377" s="3">
        <v>2019</v>
      </c>
      <c r="G377" s="3">
        <v>2018</v>
      </c>
      <c r="H377" s="3">
        <v>2017</v>
      </c>
      <c r="I377" s="3">
        <v>2016</v>
      </c>
      <c r="K377" s="7"/>
      <c r="L377" s="7"/>
      <c r="M377" s="7"/>
      <c r="N377" s="7"/>
      <c r="O377" s="7"/>
      <c r="P377" s="7"/>
      <c r="Q377" s="7"/>
      <c r="R377" s="7"/>
      <c r="S377" s="236"/>
      <c r="T377" s="236"/>
      <c r="U377" s="236"/>
      <c r="V377" s="236"/>
      <c r="W377" s="7"/>
      <c r="X377" s="7"/>
      <c r="Y377" s="7"/>
      <c r="Z377" s="7"/>
      <c r="AA377" s="7"/>
    </row>
    <row r="378" spans="1:27" s="238" customFormat="1" x14ac:dyDescent="0.25">
      <c r="A378" s="254"/>
      <c r="B378" s="317" t="s">
        <v>539</v>
      </c>
      <c r="C378" s="250"/>
      <c r="D378" s="250"/>
      <c r="E378" s="250"/>
      <c r="F378" s="250"/>
      <c r="G378" s="250"/>
      <c r="H378" s="250"/>
      <c r="I378" s="250"/>
      <c r="K378" s="296"/>
      <c r="L378" s="250"/>
      <c r="M378" s="250"/>
      <c r="N378" s="296"/>
      <c r="O378" s="250"/>
      <c r="P378" s="250"/>
      <c r="Q378" s="250"/>
      <c r="R378" s="250"/>
      <c r="S378" s="250"/>
      <c r="T378" s="250"/>
      <c r="U378" s="250"/>
      <c r="V378" s="296"/>
      <c r="W378" s="250"/>
      <c r="X378" s="250"/>
      <c r="Y378" s="250"/>
    </row>
    <row r="379" spans="1:27" s="238" customFormat="1" x14ac:dyDescent="0.25">
      <c r="A379" s="312" t="e" vm="1">
        <v>#VALUE!</v>
      </c>
      <c r="B379" s="318" cm="1">
        <f t="array" ref="B379">_FV(A379,"Price")</f>
        <v>37.92</v>
      </c>
      <c r="C379" s="310">
        <v>28.05</v>
      </c>
      <c r="D379" s="311">
        <v>30.91</v>
      </c>
      <c r="E379" s="311">
        <v>30.77</v>
      </c>
      <c r="F379" s="311">
        <v>37.74</v>
      </c>
      <c r="G379" s="311">
        <v>16.829999999999998</v>
      </c>
      <c r="H379" s="311">
        <v>50.26</v>
      </c>
      <c r="I379" s="311">
        <v>39.799999999999997</v>
      </c>
      <c r="K379" s="296"/>
      <c r="L379" s="250"/>
      <c r="M379" s="250"/>
      <c r="N379" s="296"/>
      <c r="O379" s="250"/>
      <c r="P379" s="250"/>
      <c r="Q379" s="250"/>
      <c r="R379" s="250"/>
      <c r="S379" s="250"/>
      <c r="T379" s="250"/>
      <c r="U379" s="250"/>
      <c r="V379" s="296"/>
      <c r="W379" s="250"/>
      <c r="X379" s="250"/>
      <c r="Y379" s="250"/>
    </row>
    <row r="380" spans="1:27" s="238" customFormat="1" x14ac:dyDescent="0.25">
      <c r="A380" s="254" t="s">
        <v>478</v>
      </c>
      <c r="B380" s="247">
        <f t="shared" ref="B380:I380" si="303">B47</f>
        <v>20.440000000000005</v>
      </c>
      <c r="C380" s="247">
        <f t="shared" si="303"/>
        <v>20.77</v>
      </c>
      <c r="D380" s="247">
        <f t="shared" si="303"/>
        <v>21.1</v>
      </c>
      <c r="E380" s="247">
        <f t="shared" si="303"/>
        <v>21.1</v>
      </c>
      <c r="F380" s="247">
        <f t="shared" si="303"/>
        <v>20.8</v>
      </c>
      <c r="G380" s="247">
        <f t="shared" si="303"/>
        <v>20.55</v>
      </c>
      <c r="H380" s="247">
        <f t="shared" si="303"/>
        <v>20.77</v>
      </c>
      <c r="I380" s="247">
        <f t="shared" si="303"/>
        <v>20.66</v>
      </c>
      <c r="K380" s="296"/>
      <c r="L380" s="250"/>
      <c r="M380" s="250"/>
      <c r="N380" s="296"/>
      <c r="O380" s="250"/>
      <c r="P380" s="250"/>
      <c r="Q380" s="250"/>
      <c r="R380" s="250"/>
      <c r="S380" s="250"/>
      <c r="T380" s="250"/>
      <c r="U380" s="250"/>
      <c r="V380" s="296"/>
      <c r="W380" s="250"/>
      <c r="X380" s="250"/>
      <c r="Y380" s="250"/>
    </row>
    <row r="381" spans="1:27" s="238" customFormat="1" x14ac:dyDescent="0.25">
      <c r="A381" s="257" t="s">
        <v>430</v>
      </c>
      <c r="B381" s="250">
        <f>B379*B380</f>
        <v>775.0848000000002</v>
      </c>
      <c r="C381" s="250">
        <f t="shared" ref="C381:I381" si="304">C379*C380</f>
        <v>582.59850000000006</v>
      </c>
      <c r="D381" s="250">
        <f t="shared" si="304"/>
        <v>652.20100000000002</v>
      </c>
      <c r="E381" s="250">
        <f t="shared" si="304"/>
        <v>649.24700000000007</v>
      </c>
      <c r="F381" s="250">
        <f t="shared" si="304"/>
        <v>784.99200000000008</v>
      </c>
      <c r="G381" s="250">
        <f t="shared" si="304"/>
        <v>345.85649999999998</v>
      </c>
      <c r="H381" s="250">
        <f t="shared" si="304"/>
        <v>1043.9002</v>
      </c>
      <c r="I381" s="250">
        <f t="shared" si="304"/>
        <v>822.26799999999992</v>
      </c>
      <c r="K381" s="296"/>
      <c r="L381" s="250"/>
      <c r="M381" s="250"/>
      <c r="N381" s="296"/>
      <c r="O381" s="250"/>
      <c r="P381" s="250"/>
      <c r="Q381" s="250"/>
      <c r="R381" s="250"/>
      <c r="S381" s="250"/>
      <c r="T381" s="250"/>
      <c r="U381" s="250"/>
      <c r="V381" s="296"/>
      <c r="W381" s="250"/>
      <c r="X381" s="250"/>
      <c r="Y381" s="250"/>
    </row>
    <row r="382" spans="1:27" s="238" customFormat="1" x14ac:dyDescent="0.25">
      <c r="A382" s="254" t="s">
        <v>479</v>
      </c>
      <c r="B382" s="250">
        <f t="shared" ref="B382:I382" si="305">B284</f>
        <v>962.60000000000014</v>
      </c>
      <c r="C382" s="250">
        <f t="shared" si="305"/>
        <v>838.2</v>
      </c>
      <c r="D382" s="250">
        <f t="shared" si="305"/>
        <v>804.8</v>
      </c>
      <c r="E382" s="250">
        <f t="shared" si="305"/>
        <v>797.09999999999991</v>
      </c>
      <c r="F382" s="250">
        <f t="shared" si="305"/>
        <v>923.3</v>
      </c>
      <c r="G382" s="250">
        <f t="shared" si="305"/>
        <v>990.4</v>
      </c>
      <c r="H382" s="250">
        <f t="shared" si="305"/>
        <v>677</v>
      </c>
      <c r="I382" s="250">
        <f t="shared" si="305"/>
        <v>662.4</v>
      </c>
      <c r="K382" s="296"/>
      <c r="L382" s="250"/>
      <c r="M382" s="250"/>
      <c r="N382" s="296"/>
      <c r="O382" s="250"/>
      <c r="P382" s="250"/>
      <c r="Q382" s="250"/>
      <c r="R382" s="250"/>
      <c r="S382" s="250"/>
      <c r="T382" s="250"/>
      <c r="U382" s="250"/>
      <c r="V382" s="296"/>
      <c r="W382" s="250"/>
      <c r="X382" s="250"/>
      <c r="Y382" s="250"/>
    </row>
    <row r="383" spans="1:27" s="238" customFormat="1" x14ac:dyDescent="0.25">
      <c r="A383" s="254" t="s">
        <v>480</v>
      </c>
      <c r="B383" s="247">
        <f t="shared" ref="B383:I383" si="306">-B6-B7</f>
        <v>-38.299999999999997</v>
      </c>
      <c r="C383" s="247">
        <f t="shared" si="306"/>
        <v>-33.299999999999997</v>
      </c>
      <c r="D383" s="247">
        <f t="shared" si="306"/>
        <v>-45.5</v>
      </c>
      <c r="E383" s="247">
        <f t="shared" si="306"/>
        <v>-38.5</v>
      </c>
      <c r="F383" s="247">
        <f t="shared" si="306"/>
        <v>-33</v>
      </c>
      <c r="G383" s="247">
        <f t="shared" si="306"/>
        <v>-40.6</v>
      </c>
      <c r="H383" s="247">
        <f t="shared" si="306"/>
        <v>-60.3</v>
      </c>
      <c r="I383" s="247">
        <f t="shared" si="306"/>
        <v>-20.8</v>
      </c>
      <c r="K383" s="296"/>
      <c r="L383" s="250"/>
      <c r="M383" s="250"/>
      <c r="N383" s="296"/>
      <c r="O383" s="250"/>
      <c r="P383" s="250"/>
      <c r="Q383" s="250"/>
      <c r="R383" s="250"/>
      <c r="S383" s="250"/>
      <c r="T383" s="250"/>
      <c r="U383" s="250"/>
      <c r="V383" s="296"/>
      <c r="W383" s="250"/>
      <c r="X383" s="250"/>
      <c r="Y383" s="250"/>
    </row>
    <row r="384" spans="1:27" s="238" customFormat="1" ht="15.75" thickBot="1" x14ac:dyDescent="0.3">
      <c r="A384" s="257" t="s">
        <v>481</v>
      </c>
      <c r="B384" s="316">
        <f>SUM(B381:B383)</f>
        <v>1699.3848000000005</v>
      </c>
      <c r="C384" s="316">
        <f t="shared" ref="C384:I384" si="307">SUM(C381:C383)</f>
        <v>1387.4985000000001</v>
      </c>
      <c r="D384" s="316">
        <f t="shared" si="307"/>
        <v>1411.501</v>
      </c>
      <c r="E384" s="316">
        <f t="shared" si="307"/>
        <v>1407.847</v>
      </c>
      <c r="F384" s="316">
        <f t="shared" si="307"/>
        <v>1675.2919999999999</v>
      </c>
      <c r="G384" s="316">
        <f t="shared" si="307"/>
        <v>1295.6565000000001</v>
      </c>
      <c r="H384" s="316">
        <f t="shared" si="307"/>
        <v>1660.6002000000001</v>
      </c>
      <c r="I384" s="316">
        <f t="shared" si="307"/>
        <v>1463.8679999999999</v>
      </c>
      <c r="K384" s="296"/>
      <c r="L384" s="250"/>
      <c r="M384" s="250"/>
      <c r="N384" s="296"/>
      <c r="O384" s="250"/>
      <c r="P384" s="250"/>
      <c r="Q384" s="250"/>
      <c r="R384" s="250"/>
      <c r="S384" s="250"/>
      <c r="T384" s="250"/>
      <c r="U384" s="250"/>
      <c r="V384" s="296"/>
      <c r="W384" s="250"/>
      <c r="X384" s="250"/>
      <c r="Y384" s="250"/>
    </row>
    <row r="385" spans="1:25" s="238" customFormat="1" ht="15.75" thickTop="1" x14ac:dyDescent="0.25">
      <c r="A385" s="254"/>
      <c r="B385" s="250"/>
      <c r="C385" s="250"/>
      <c r="D385" s="250"/>
      <c r="E385" s="250"/>
      <c r="F385" s="250"/>
      <c r="G385" s="250"/>
      <c r="H385" s="250"/>
      <c r="I385" s="250"/>
      <c r="K385" s="296"/>
      <c r="L385" s="250"/>
      <c r="M385" s="250"/>
      <c r="N385" s="296"/>
      <c r="O385" s="250"/>
      <c r="P385" s="250"/>
      <c r="Q385" s="250"/>
      <c r="R385" s="250"/>
      <c r="S385" s="250"/>
      <c r="T385" s="250"/>
      <c r="U385" s="250"/>
      <c r="V385" s="296"/>
      <c r="W385" s="250"/>
      <c r="X385" s="250"/>
      <c r="Y385" s="250"/>
    </row>
    <row r="386" spans="1:25" s="238" customFormat="1" x14ac:dyDescent="0.25">
      <c r="A386" s="257" t="s">
        <v>482</v>
      </c>
      <c r="B386" s="250"/>
      <c r="C386" s="250"/>
      <c r="D386" s="250"/>
      <c r="E386" s="250"/>
      <c r="F386" s="250"/>
      <c r="G386" s="250"/>
      <c r="H386" s="250"/>
      <c r="I386" s="250"/>
      <c r="K386" s="296"/>
      <c r="L386" s="250"/>
      <c r="M386" s="250"/>
      <c r="N386" s="296"/>
      <c r="O386" s="250"/>
      <c r="P386" s="250"/>
      <c r="Q386" s="250"/>
      <c r="R386" s="250"/>
      <c r="S386" s="250"/>
      <c r="T386" s="250"/>
      <c r="U386" s="250"/>
      <c r="V386" s="296"/>
      <c r="W386" s="250"/>
      <c r="X386" s="250"/>
      <c r="Y386" s="250"/>
    </row>
    <row r="387" spans="1:25" s="238" customFormat="1" x14ac:dyDescent="0.25">
      <c r="A387" s="254" t="s">
        <v>483</v>
      </c>
      <c r="B387" s="309">
        <f t="shared" ref="B387:I387" si="308">B78</f>
        <v>4.3400570884871605</v>
      </c>
      <c r="C387" s="309">
        <f t="shared" si="308"/>
        <v>3.4295143800094219</v>
      </c>
      <c r="D387" s="309">
        <f t="shared" si="308"/>
        <v>3.2574555403556738</v>
      </c>
      <c r="E387" s="309">
        <f t="shared" si="308"/>
        <v>4.4649508656995733</v>
      </c>
      <c r="F387" s="309">
        <f t="shared" si="308"/>
        <v>2.5793070716658777</v>
      </c>
      <c r="G387" s="309">
        <f t="shared" si="308"/>
        <v>1.3852419741255373</v>
      </c>
      <c r="H387" s="309">
        <f t="shared" si="308"/>
        <v>4.4207272727272704</v>
      </c>
      <c r="I387" s="309">
        <f t="shared" si="308"/>
        <v>2.3315289648622985</v>
      </c>
      <c r="K387" s="296"/>
      <c r="L387" s="250"/>
      <c r="M387" s="250"/>
      <c r="N387" s="296"/>
      <c r="O387" s="250"/>
      <c r="P387" s="250"/>
      <c r="Q387" s="250"/>
      <c r="R387" s="250"/>
      <c r="S387" s="250"/>
      <c r="T387" s="250"/>
      <c r="U387" s="250"/>
      <c r="V387" s="296"/>
      <c r="W387" s="250"/>
      <c r="X387" s="250"/>
      <c r="Y387" s="250"/>
    </row>
    <row r="388" spans="1:25" s="238" customFormat="1" x14ac:dyDescent="0.25">
      <c r="A388" s="254" t="s">
        <v>484</v>
      </c>
      <c r="B388" s="309">
        <f t="shared" ref="B388:I388" si="309">B41/B47</f>
        <v>24.085127201565548</v>
      </c>
      <c r="C388" s="309">
        <f t="shared" si="309"/>
        <v>19.402985074626866</v>
      </c>
      <c r="D388" s="309">
        <f t="shared" si="309"/>
        <v>19.469194312796201</v>
      </c>
      <c r="E388" s="309">
        <f t="shared" si="309"/>
        <v>16.398104265402846</v>
      </c>
      <c r="F388" s="309">
        <f t="shared" si="309"/>
        <v>7.6298076923076916</v>
      </c>
      <c r="G388" s="309">
        <f t="shared" si="309"/>
        <v>3.2603406326034055</v>
      </c>
      <c r="H388" s="309">
        <f t="shared" si="309"/>
        <v>5.0938854116514207</v>
      </c>
      <c r="I388" s="309">
        <f t="shared" si="309"/>
        <v>1.6747337850919655</v>
      </c>
      <c r="K388" s="296"/>
      <c r="L388" s="250"/>
      <c r="M388" s="250"/>
      <c r="N388" s="296"/>
      <c r="O388" s="250"/>
      <c r="P388" s="250"/>
      <c r="Q388" s="250"/>
      <c r="R388" s="250"/>
      <c r="S388" s="250"/>
      <c r="T388" s="250"/>
      <c r="U388" s="250"/>
      <c r="V388" s="296"/>
      <c r="W388" s="250"/>
      <c r="X388" s="250"/>
      <c r="Y388" s="250"/>
    </row>
    <row r="389" spans="1:25" s="238" customFormat="1" x14ac:dyDescent="0.25">
      <c r="A389" s="254"/>
      <c r="B389" s="250"/>
      <c r="C389" s="250"/>
      <c r="D389" s="250"/>
      <c r="E389" s="250"/>
      <c r="F389" s="250"/>
      <c r="G389" s="250"/>
      <c r="H389" s="250"/>
      <c r="I389" s="250"/>
      <c r="K389" s="296"/>
      <c r="L389" s="250"/>
      <c r="M389" s="250"/>
      <c r="N389" s="296"/>
      <c r="O389" s="250"/>
      <c r="P389" s="250"/>
      <c r="Q389" s="250"/>
      <c r="R389" s="250"/>
      <c r="S389" s="250"/>
      <c r="T389" s="250"/>
      <c r="U389" s="250"/>
      <c r="V389" s="296"/>
      <c r="W389" s="250"/>
      <c r="X389" s="250"/>
      <c r="Y389" s="250"/>
    </row>
    <row r="390" spans="1:25" s="238" customFormat="1" x14ac:dyDescent="0.25">
      <c r="A390" s="257" t="s">
        <v>485</v>
      </c>
      <c r="B390" s="250"/>
      <c r="C390" s="250"/>
      <c r="D390" s="250"/>
      <c r="E390" s="250"/>
      <c r="F390" s="250"/>
      <c r="G390" s="250"/>
      <c r="H390" s="250"/>
      <c r="I390" s="250"/>
      <c r="K390" s="296"/>
      <c r="L390" s="250"/>
      <c r="M390" s="250"/>
      <c r="N390" s="296"/>
      <c r="O390" s="250"/>
      <c r="P390" s="250"/>
      <c r="Q390" s="250"/>
      <c r="R390" s="250"/>
      <c r="S390" s="250"/>
      <c r="T390" s="250"/>
      <c r="U390" s="250"/>
      <c r="V390" s="296"/>
      <c r="W390" s="250"/>
      <c r="X390" s="250"/>
      <c r="Y390" s="250"/>
    </row>
    <row r="391" spans="1:25" s="238" customFormat="1" x14ac:dyDescent="0.25">
      <c r="A391" s="254" t="s">
        <v>486</v>
      </c>
      <c r="B391" s="308">
        <f>B379/B387</f>
        <v>8.7372122593940347</v>
      </c>
      <c r="C391" s="308">
        <f t="shared" ref="C391:I391" si="310">C379/C387</f>
        <v>8.179000549903785</v>
      </c>
      <c r="D391" s="308">
        <f t="shared" si="310"/>
        <v>9.4890013438602487</v>
      </c>
      <c r="E391" s="308">
        <f t="shared" si="310"/>
        <v>6.8914532153936534</v>
      </c>
      <c r="F391" s="308">
        <f t="shared" si="310"/>
        <v>14.631836749714779</v>
      </c>
      <c r="G391" s="308">
        <f t="shared" si="310"/>
        <v>12.149501902455912</v>
      </c>
      <c r="H391" s="308">
        <f t="shared" si="310"/>
        <v>11.369170025499718</v>
      </c>
      <c r="I391" s="308">
        <f t="shared" si="310"/>
        <v>17.070343366868961</v>
      </c>
      <c r="K391" s="296"/>
      <c r="L391" s="250"/>
      <c r="M391" s="250"/>
      <c r="N391" s="296"/>
      <c r="O391" s="250"/>
      <c r="P391" s="250"/>
      <c r="Q391" s="250"/>
      <c r="R391" s="250"/>
      <c r="S391" s="250"/>
      <c r="T391" s="250"/>
      <c r="U391" s="250"/>
      <c r="V391" s="296"/>
      <c r="W391" s="250"/>
      <c r="X391" s="250"/>
      <c r="Y391" s="250"/>
    </row>
    <row r="392" spans="1:25" s="238" customFormat="1" x14ac:dyDescent="0.25">
      <c r="A392" s="254" t="s">
        <v>487</v>
      </c>
      <c r="B392" s="308">
        <f>B379/B388</f>
        <v>1.5744156002437546</v>
      </c>
      <c r="C392" s="308">
        <f t="shared" ref="C392:I392" si="311">C379/C388</f>
        <v>1.4456538461538462</v>
      </c>
      <c r="D392" s="308">
        <f t="shared" si="311"/>
        <v>1.5876363193768264</v>
      </c>
      <c r="E392" s="308">
        <f t="shared" si="311"/>
        <v>1.8764364161849707</v>
      </c>
      <c r="F392" s="308">
        <f t="shared" si="311"/>
        <v>4.9463894139886584</v>
      </c>
      <c r="G392" s="308">
        <f t="shared" si="311"/>
        <v>5.1620373134328368</v>
      </c>
      <c r="H392" s="308">
        <f t="shared" si="311"/>
        <v>9.8667315689981088</v>
      </c>
      <c r="I392" s="308">
        <f t="shared" si="311"/>
        <v>23.764971098265889</v>
      </c>
      <c r="K392" s="296"/>
      <c r="L392" s="250"/>
      <c r="M392" s="250"/>
      <c r="N392" s="296"/>
      <c r="O392" s="250"/>
      <c r="P392" s="250"/>
      <c r="Q392" s="250"/>
      <c r="R392" s="250"/>
      <c r="S392" s="250"/>
      <c r="T392" s="250"/>
      <c r="U392" s="250"/>
      <c r="V392" s="296"/>
      <c r="W392" s="250"/>
      <c r="X392" s="250"/>
      <c r="Y392" s="250"/>
    </row>
    <row r="393" spans="1:25" s="238" customFormat="1" x14ac:dyDescent="0.25">
      <c r="A393" s="254" t="s">
        <v>488</v>
      </c>
      <c r="B393" s="308">
        <f>B384/B371</f>
        <v>7.5387957647219865</v>
      </c>
      <c r="C393" s="308">
        <f t="shared" ref="C393:I393" si="312">C384/C371</f>
        <v>7.1395415251620937</v>
      </c>
      <c r="D393" s="308">
        <f t="shared" si="312"/>
        <v>7.3121127665305972</v>
      </c>
      <c r="E393" s="308">
        <f t="shared" si="312"/>
        <v>6.6465564452166062</v>
      </c>
      <c r="F393" s="308">
        <f t="shared" si="312"/>
        <v>8.9136879742053541</v>
      </c>
      <c r="G393" s="308">
        <f t="shared" si="312"/>
        <v>8.1125571348068384</v>
      </c>
      <c r="H393" s="308">
        <f t="shared" si="312"/>
        <v>8.055066066473934</v>
      </c>
      <c r="I393" s="308">
        <f t="shared" si="312"/>
        <v>8.9041982457634319</v>
      </c>
      <c r="K393" s="296"/>
      <c r="L393" s="250"/>
      <c r="M393" s="250"/>
      <c r="N393" s="296"/>
      <c r="O393" s="250"/>
      <c r="P393" s="250"/>
      <c r="Q393" s="250"/>
      <c r="R393" s="250"/>
      <c r="S393" s="250"/>
      <c r="T393" s="250"/>
      <c r="U393" s="250"/>
      <c r="V393" s="296"/>
      <c r="W393" s="250"/>
      <c r="X393" s="250"/>
      <c r="Y393" s="250"/>
    </row>
    <row r="394" spans="1:25" s="238" customFormat="1" x14ac:dyDescent="0.25">
      <c r="A394" s="254" t="s">
        <v>489</v>
      </c>
      <c r="B394" s="308">
        <f t="shared" ref="B394:I394" si="313">B381/B55</f>
        <v>0.36746067415730344</v>
      </c>
      <c r="C394" s="308">
        <f t="shared" si="313"/>
        <v>0.29416738197424896</v>
      </c>
      <c r="D394" s="308">
        <f t="shared" si="313"/>
        <v>0.38853866317169072</v>
      </c>
      <c r="E394" s="308">
        <f t="shared" si="313"/>
        <v>0.38898028877838364</v>
      </c>
      <c r="F394" s="308">
        <f t="shared" si="313"/>
        <v>0.47953084911423338</v>
      </c>
      <c r="G394" s="308">
        <f t="shared" si="313"/>
        <v>0.22131983106162409</v>
      </c>
      <c r="H394" s="308">
        <f t="shared" si="313"/>
        <v>0.70748912233141314</v>
      </c>
      <c r="I394" s="308">
        <f t="shared" si="313"/>
        <v>0.58061573224120877</v>
      </c>
      <c r="K394" s="296"/>
      <c r="L394" s="250"/>
      <c r="M394" s="250"/>
      <c r="N394" s="296"/>
      <c r="O394" s="250"/>
      <c r="P394" s="250"/>
      <c r="Q394" s="250"/>
      <c r="R394" s="250"/>
      <c r="S394" s="250"/>
      <c r="T394" s="250"/>
      <c r="U394" s="250"/>
      <c r="V394" s="296"/>
      <c r="W394" s="250"/>
      <c r="X394" s="250"/>
      <c r="Y394" s="250"/>
    </row>
    <row r="395" spans="1:25" s="238" customFormat="1" x14ac:dyDescent="0.25">
      <c r="A395" s="254" t="s">
        <v>490</v>
      </c>
      <c r="B395" s="308">
        <f t="shared" ref="B395:I395" si="314">B379/B86</f>
        <v>0.22501966911109203</v>
      </c>
      <c r="C395" s="308">
        <f t="shared" si="314"/>
        <v>0.20290798611111135</v>
      </c>
      <c r="D395" s="308">
        <f t="shared" si="314"/>
        <v>0.22839451439380518</v>
      </c>
      <c r="E395" s="308">
        <f t="shared" si="314"/>
        <v>0.19509751705597417</v>
      </c>
      <c r="F395" s="308">
        <f t="shared" si="314"/>
        <v>0.28408834289327478</v>
      </c>
      <c r="G395" s="308">
        <f t="shared" si="314"/>
        <v>0.15453126434670833</v>
      </c>
      <c r="H395" s="308">
        <f t="shared" si="314"/>
        <v>0.32144593108035519</v>
      </c>
      <c r="I395" s="308">
        <f t="shared" si="314"/>
        <v>0.35694427005793611</v>
      </c>
      <c r="K395" s="296"/>
      <c r="L395" s="250"/>
      <c r="M395" s="250"/>
      <c r="N395" s="296"/>
      <c r="O395" s="250"/>
      <c r="P395" s="250"/>
      <c r="Q395" s="250"/>
      <c r="R395" s="250"/>
      <c r="S395" s="250"/>
      <c r="T395" s="250"/>
      <c r="U395" s="250"/>
      <c r="V395" s="296"/>
      <c r="W395" s="250"/>
      <c r="X395" s="250"/>
      <c r="Y395" s="250"/>
    </row>
    <row r="396" spans="1:25" s="238" customFormat="1" x14ac:dyDescent="0.25">
      <c r="A396" s="314" t="s">
        <v>491</v>
      </c>
      <c r="B396" s="308">
        <f t="shared" ref="B396:I396" si="315">B381/B88</f>
        <v>3.4384243095150597</v>
      </c>
      <c r="C396" s="308">
        <f t="shared" si="315"/>
        <v>2.9978311207162731</v>
      </c>
      <c r="D396" s="308">
        <f t="shared" si="315"/>
        <v>3.378649578316999</v>
      </c>
      <c r="E396" s="308">
        <f t="shared" si="315"/>
        <v>3.0651461645956886</v>
      </c>
      <c r="F396" s="308">
        <f t="shared" si="315"/>
        <v>4.176689048982154</v>
      </c>
      <c r="G396" s="308">
        <f t="shared" si="315"/>
        <v>2.1655281447623822</v>
      </c>
      <c r="H396" s="308">
        <f t="shared" si="315"/>
        <v>5.0636420962766078</v>
      </c>
      <c r="I396" s="308">
        <f t="shared" si="315"/>
        <v>5.0015693239741603</v>
      </c>
      <c r="K396" s="296"/>
      <c r="L396" s="250"/>
      <c r="M396" s="250"/>
      <c r="N396" s="296"/>
      <c r="O396" s="250"/>
      <c r="P396" s="250"/>
      <c r="Q396" s="250"/>
      <c r="R396" s="250"/>
      <c r="S396" s="250"/>
      <c r="T396" s="250"/>
      <c r="U396" s="250"/>
      <c r="V396" s="296"/>
      <c r="W396" s="250"/>
      <c r="X396" s="250"/>
      <c r="Y396" s="250"/>
    </row>
    <row r="397" spans="1:25" s="238" customFormat="1" x14ac:dyDescent="0.25">
      <c r="A397" s="314" t="s">
        <v>492</v>
      </c>
      <c r="B397" s="308">
        <f t="shared" ref="B397:I397" si="316">B381/B143</f>
        <v>4.5828295728678849</v>
      </c>
      <c r="C397" s="308">
        <f t="shared" si="316"/>
        <v>3.714604055087992</v>
      </c>
      <c r="D397" s="308">
        <f t="shared" si="316"/>
        <v>4.8658643946402478</v>
      </c>
      <c r="E397" s="308">
        <f t="shared" si="316"/>
        <v>5.5436234161002824</v>
      </c>
      <c r="F397" s="308">
        <f t="shared" si="316"/>
        <v>8.8155784650629982</v>
      </c>
      <c r="G397" s="308">
        <f t="shared" si="316"/>
        <v>3.4410158193214611</v>
      </c>
      <c r="H397" s="308">
        <f t="shared" si="316"/>
        <v>6.2750979826396422</v>
      </c>
      <c r="I397" s="308">
        <f t="shared" si="316"/>
        <v>6.9919559191170197</v>
      </c>
      <c r="K397" s="296"/>
      <c r="L397" s="250"/>
      <c r="M397" s="250"/>
      <c r="N397" s="296"/>
      <c r="O397" s="250"/>
      <c r="P397" s="250"/>
      <c r="Q397" s="250"/>
      <c r="R397" s="250"/>
      <c r="S397" s="250"/>
      <c r="T397" s="250"/>
      <c r="U397" s="250"/>
      <c r="V397" s="296"/>
      <c r="W397" s="250"/>
      <c r="X397" s="250"/>
      <c r="Y397" s="250"/>
    </row>
    <row r="398" spans="1:25" s="238" customFormat="1" x14ac:dyDescent="0.25">
      <c r="A398" s="314" t="s">
        <v>493</v>
      </c>
      <c r="B398" s="308">
        <f t="shared" ref="B398:I398" si="317">B381/B199</f>
        <v>8.8755588127519101</v>
      </c>
      <c r="C398" s="308">
        <f t="shared" si="317"/>
        <v>5.2185462199928416</v>
      </c>
      <c r="D398" s="308">
        <f t="shared" si="317"/>
        <v>7.3087206956833608</v>
      </c>
      <c r="E398" s="308">
        <f t="shared" si="317"/>
        <v>6.4591408333001779</v>
      </c>
      <c r="F398" s="308">
        <f t="shared" si="317"/>
        <v>7.6178793936688454</v>
      </c>
      <c r="G398" s="308">
        <f t="shared" si="317"/>
        <v>4.1266734279918875</v>
      </c>
      <c r="H398" s="308">
        <f t="shared" si="317"/>
        <v>6.1421791522511722</v>
      </c>
      <c r="I398" s="308">
        <f t="shared" si="317"/>
        <v>5.9027723937919037</v>
      </c>
      <c r="K398" s="296"/>
      <c r="L398" s="250"/>
      <c r="M398" s="250"/>
      <c r="N398" s="296"/>
      <c r="O398" s="250"/>
      <c r="P398" s="250"/>
      <c r="Q398" s="250"/>
      <c r="R398" s="250"/>
      <c r="S398" s="250"/>
      <c r="T398" s="250"/>
      <c r="U398" s="250"/>
      <c r="V398" s="296"/>
      <c r="W398" s="250"/>
      <c r="X398" s="250"/>
      <c r="Y398" s="250"/>
    </row>
    <row r="399" spans="1:25" s="238" customFormat="1" x14ac:dyDescent="0.25">
      <c r="A399" s="314" t="s">
        <v>494</v>
      </c>
      <c r="B399" s="308">
        <f t="shared" ref="B399:I399" si="318">B381/B212</f>
        <v>-31.288745357662076</v>
      </c>
      <c r="C399" s="308">
        <f t="shared" si="318"/>
        <v>91.892507886437556</v>
      </c>
      <c r="D399" s="308">
        <f t="shared" si="318"/>
        <v>-18.23624314953582</v>
      </c>
      <c r="E399" s="308">
        <f t="shared" si="318"/>
        <v>21.137094673785715</v>
      </c>
      <c r="F399" s="308">
        <f t="shared" si="318"/>
        <v>11.921635330923666</v>
      </c>
      <c r="G399" s="308">
        <f t="shared" si="318"/>
        <v>-13.358690614136716</v>
      </c>
      <c r="H399" s="308">
        <f t="shared" si="318"/>
        <v>10.188765909268373</v>
      </c>
      <c r="I399" s="308">
        <f t="shared" si="318"/>
        <v>9.1974228764457138</v>
      </c>
      <c r="K399" s="296"/>
      <c r="L399" s="250"/>
      <c r="M399" s="250"/>
      <c r="N399" s="296"/>
      <c r="O399" s="250"/>
      <c r="P399" s="250"/>
      <c r="Q399" s="250"/>
      <c r="R399" s="250"/>
      <c r="S399" s="250"/>
      <c r="T399" s="250"/>
      <c r="U399" s="250"/>
      <c r="V399" s="296"/>
      <c r="W399" s="250"/>
      <c r="X399" s="250"/>
      <c r="Y399" s="250"/>
    </row>
    <row r="400" spans="1:25" s="238" customFormat="1" x14ac:dyDescent="0.25">
      <c r="A400" s="314" t="s">
        <v>504</v>
      </c>
      <c r="B400" s="308">
        <f t="shared" ref="B400:I400" si="319">B381/B213</f>
        <v>-12.869953647169215</v>
      </c>
      <c r="C400" s="308">
        <f t="shared" si="319"/>
        <v>-23.649218591434806</v>
      </c>
      <c r="D400" s="308">
        <f t="shared" si="319"/>
        <v>-10.136946486578895</v>
      </c>
      <c r="E400" s="308">
        <f t="shared" si="319"/>
        <v>-94.656218107594569</v>
      </c>
      <c r="F400" s="308">
        <f t="shared" si="319"/>
        <v>38.916860839819478</v>
      </c>
      <c r="G400" s="308">
        <f t="shared" si="319"/>
        <v>-5.4689516129032238</v>
      </c>
      <c r="H400" s="308">
        <f t="shared" si="319"/>
        <v>14.058125942684775</v>
      </c>
      <c r="I400" s="308">
        <f t="shared" si="319"/>
        <v>14.330968855116158</v>
      </c>
      <c r="K400" s="296"/>
      <c r="L400" s="250"/>
      <c r="M400" s="250"/>
      <c r="N400" s="296"/>
      <c r="O400" s="250"/>
      <c r="P400" s="250"/>
      <c r="Q400" s="250"/>
      <c r="R400" s="250"/>
      <c r="S400" s="250"/>
      <c r="T400" s="250"/>
      <c r="U400" s="250"/>
      <c r="V400" s="296"/>
      <c r="W400" s="250"/>
      <c r="X400" s="250"/>
      <c r="Y400" s="250"/>
    </row>
    <row r="401" spans="1:27" s="238" customFormat="1" x14ac:dyDescent="0.25">
      <c r="A401" s="314" t="s">
        <v>505</v>
      </c>
      <c r="B401" s="308">
        <f t="shared" ref="B401:I401" si="320">B381/B214</f>
        <v>-4.4744559757848199</v>
      </c>
      <c r="C401" s="308">
        <f t="shared" si="320"/>
        <v>-21.873418434390718</v>
      </c>
      <c r="D401" s="308">
        <f t="shared" si="320"/>
        <v>-8.7615497252784102</v>
      </c>
      <c r="E401" s="308">
        <f t="shared" si="320"/>
        <v>-8.371007877873609</v>
      </c>
      <c r="F401" s="308">
        <f t="shared" si="320"/>
        <v>-82.379263301500998</v>
      </c>
      <c r="G401" s="308">
        <f t="shared" si="320"/>
        <v>21.011938031591761</v>
      </c>
      <c r="H401" s="308">
        <f t="shared" si="320"/>
        <v>37.882863986064862</v>
      </c>
      <c r="I401" s="308">
        <f t="shared" si="320"/>
        <v>32.023522997234863</v>
      </c>
      <c r="K401" s="296"/>
      <c r="L401" s="250"/>
      <c r="M401" s="250"/>
      <c r="N401" s="296"/>
      <c r="O401" s="250"/>
      <c r="P401" s="250"/>
      <c r="Q401" s="250"/>
      <c r="R401" s="250"/>
      <c r="S401" s="250"/>
      <c r="T401" s="250"/>
      <c r="U401" s="250"/>
      <c r="V401" s="296"/>
      <c r="W401" s="250"/>
      <c r="X401" s="250"/>
      <c r="Y401" s="250"/>
    </row>
    <row r="402" spans="1:27" s="238" customFormat="1" x14ac:dyDescent="0.25">
      <c r="A402" s="314"/>
      <c r="B402" s="308"/>
      <c r="C402" s="308"/>
      <c r="D402" s="308"/>
      <c r="E402" s="308"/>
      <c r="F402" s="308"/>
      <c r="G402" s="308"/>
      <c r="H402" s="308"/>
      <c r="I402" s="308"/>
      <c r="K402" s="296"/>
      <c r="L402" s="250"/>
      <c r="M402" s="250"/>
      <c r="N402" s="296"/>
      <c r="O402" s="250"/>
      <c r="P402" s="250"/>
      <c r="Q402" s="250"/>
      <c r="R402" s="250"/>
      <c r="S402" s="250"/>
      <c r="T402" s="250"/>
      <c r="U402" s="250"/>
      <c r="V402" s="296"/>
      <c r="W402" s="250"/>
      <c r="X402" s="250"/>
      <c r="Y402" s="250"/>
    </row>
    <row r="403" spans="1:27" s="238" customFormat="1" x14ac:dyDescent="0.25">
      <c r="A403" s="254"/>
      <c r="B403" s="250"/>
      <c r="C403" s="250"/>
      <c r="D403" s="250"/>
      <c r="E403" s="250"/>
      <c r="F403" s="250"/>
      <c r="G403" s="250"/>
      <c r="H403" s="250"/>
      <c r="I403" s="250"/>
      <c r="K403" s="296"/>
      <c r="L403" s="250"/>
      <c r="M403" s="250"/>
      <c r="N403" s="296"/>
      <c r="O403" s="250"/>
      <c r="P403" s="250"/>
      <c r="Q403" s="250"/>
      <c r="R403" s="250"/>
      <c r="S403" s="250"/>
      <c r="T403" s="250"/>
      <c r="U403" s="250"/>
      <c r="V403" s="296"/>
      <c r="W403" s="250"/>
      <c r="X403" s="250"/>
      <c r="Y403" s="250"/>
    </row>
    <row r="404" spans="1:27" s="238" customFormat="1" x14ac:dyDescent="0.25">
      <c r="A404" s="314" t="s">
        <v>495</v>
      </c>
      <c r="B404" s="309">
        <f t="shared" ref="B404:I404" si="321">B79</f>
        <v>0.23786869647954326</v>
      </c>
      <c r="C404" s="309">
        <f t="shared" si="321"/>
        <v>0.19801980198019803</v>
      </c>
      <c r="D404" s="309">
        <f t="shared" si="321"/>
        <v>0</v>
      </c>
      <c r="E404" s="309">
        <f t="shared" si="321"/>
        <v>0</v>
      </c>
      <c r="F404" s="309">
        <f t="shared" si="321"/>
        <v>0</v>
      </c>
      <c r="G404" s="309">
        <f t="shared" si="321"/>
        <v>0</v>
      </c>
      <c r="H404" s="309">
        <f t="shared" si="321"/>
        <v>0</v>
      </c>
      <c r="I404" s="309">
        <f t="shared" si="321"/>
        <v>0</v>
      </c>
      <c r="K404" s="370" t="s">
        <v>558</v>
      </c>
      <c r="L404" s="312" t="s">
        <v>559</v>
      </c>
      <c r="M404" s="312" t="s">
        <v>560</v>
      </c>
      <c r="N404" s="296"/>
      <c r="O404" s="250"/>
      <c r="P404" s="250"/>
      <c r="Q404" s="250"/>
      <c r="R404" s="250"/>
      <c r="S404" s="250"/>
      <c r="T404" s="250"/>
      <c r="U404" s="250"/>
      <c r="V404" s="296"/>
      <c r="W404" s="250"/>
      <c r="X404" s="250"/>
      <c r="Y404" s="250"/>
    </row>
    <row r="405" spans="1:27" s="238" customFormat="1" x14ac:dyDescent="0.25">
      <c r="A405" s="314" t="s">
        <v>496</v>
      </c>
      <c r="B405" s="320">
        <f>B404/B379</f>
        <v>6.2729086624352124E-3</v>
      </c>
      <c r="C405" s="320">
        <f t="shared" ref="C405:H405" si="322">C404/C379</f>
        <v>7.0595294823600011E-3</v>
      </c>
      <c r="D405" s="320">
        <f t="shared" si="322"/>
        <v>0</v>
      </c>
      <c r="E405" s="320">
        <f t="shared" si="322"/>
        <v>0</v>
      </c>
      <c r="F405" s="320">
        <f t="shared" si="322"/>
        <v>0</v>
      </c>
      <c r="G405" s="320">
        <f t="shared" si="322"/>
        <v>0</v>
      </c>
      <c r="H405" s="320">
        <f t="shared" si="322"/>
        <v>0</v>
      </c>
      <c r="I405" s="320">
        <f>I404/I379</f>
        <v>0</v>
      </c>
      <c r="K405" s="369">
        <v>5.0000000000000001E-3</v>
      </c>
      <c r="L405" s="320">
        <v>7.0000000000000001E-3</v>
      </c>
      <c r="M405" s="320">
        <v>8.9999999999999993E-3</v>
      </c>
      <c r="N405" s="296"/>
      <c r="O405" s="250"/>
      <c r="P405" s="250"/>
      <c r="Q405" s="250"/>
      <c r="R405" s="250"/>
      <c r="S405" s="250"/>
      <c r="T405" s="250"/>
      <c r="U405" s="250"/>
      <c r="V405" s="296"/>
      <c r="W405" s="250"/>
      <c r="X405" s="250"/>
      <c r="Y405" s="250"/>
    </row>
    <row r="406" spans="1:27" s="238" customFormat="1" x14ac:dyDescent="0.25">
      <c r="A406" s="314" t="s">
        <v>497</v>
      </c>
      <c r="B406" s="320">
        <f>B404/B387</f>
        <v>5.4807734467487976E-2</v>
      </c>
      <c r="C406" s="320">
        <f t="shared" ref="C406:I406" si="323">C404/C387</f>
        <v>5.7739895518284429E-2</v>
      </c>
      <c r="D406" s="320">
        <f t="shared" si="323"/>
        <v>0</v>
      </c>
      <c r="E406" s="320">
        <f t="shared" si="323"/>
        <v>0</v>
      </c>
      <c r="F406" s="320">
        <f t="shared" si="323"/>
        <v>0</v>
      </c>
      <c r="G406" s="320">
        <f t="shared" si="323"/>
        <v>0</v>
      </c>
      <c r="H406" s="320">
        <f t="shared" si="323"/>
        <v>0</v>
      </c>
      <c r="I406" s="320">
        <f t="shared" si="323"/>
        <v>0</v>
      </c>
      <c r="K406" s="296"/>
      <c r="L406" s="250"/>
      <c r="M406" s="250"/>
      <c r="N406" s="296"/>
      <c r="O406" s="250"/>
      <c r="P406" s="250"/>
      <c r="Q406" s="250"/>
      <c r="R406" s="250"/>
      <c r="S406" s="250"/>
      <c r="T406" s="250"/>
      <c r="U406" s="250"/>
      <c r="V406" s="296"/>
      <c r="W406" s="250"/>
      <c r="X406" s="250"/>
      <c r="Y406" s="250"/>
    </row>
    <row r="407" spans="1:27" s="238" customFormat="1" x14ac:dyDescent="0.25">
      <c r="A407" s="314" t="s">
        <v>498</v>
      </c>
      <c r="B407" s="320">
        <f>1-B406</f>
        <v>0.94519226553251201</v>
      </c>
      <c r="C407" s="320">
        <f t="shared" ref="C407:I407" si="324">1-C406</f>
        <v>0.9422601044817156</v>
      </c>
      <c r="D407" s="320">
        <f t="shared" si="324"/>
        <v>1</v>
      </c>
      <c r="E407" s="320">
        <f t="shared" si="324"/>
        <v>1</v>
      </c>
      <c r="F407" s="320">
        <f t="shared" si="324"/>
        <v>1</v>
      </c>
      <c r="G407" s="320">
        <f t="shared" si="324"/>
        <v>1</v>
      </c>
      <c r="H407" s="320">
        <f t="shared" si="324"/>
        <v>1</v>
      </c>
      <c r="I407" s="320">
        <f t="shared" si="324"/>
        <v>1</v>
      </c>
      <c r="K407" s="296"/>
      <c r="L407" s="250"/>
      <c r="M407" s="250"/>
      <c r="N407" s="296"/>
      <c r="O407" s="250"/>
      <c r="P407" s="250"/>
      <c r="Q407" s="250"/>
      <c r="R407" s="250"/>
      <c r="S407" s="250"/>
      <c r="T407" s="250"/>
      <c r="U407" s="250"/>
      <c r="V407" s="296"/>
      <c r="W407" s="250"/>
      <c r="X407" s="250"/>
      <c r="Y407" s="250"/>
    </row>
    <row r="408" spans="1:27" s="238" customFormat="1" x14ac:dyDescent="0.25">
      <c r="A408" s="314" t="s">
        <v>499</v>
      </c>
      <c r="B408" s="320">
        <f>B407*B358</f>
        <v>0.19262370155255251</v>
      </c>
      <c r="C408" s="320">
        <f t="shared" ref="C408:G408" si="325">C407*C358</f>
        <v>0.16844433521749777</v>
      </c>
      <c r="D408" s="320">
        <f t="shared" si="325"/>
        <v>0.18878435517970382</v>
      </c>
      <c r="E408" s="320">
        <f t="shared" si="325"/>
        <v>0.37810976817911579</v>
      </c>
      <c r="F408" s="320">
        <f t="shared" si="325"/>
        <v>0.48157731501993833</v>
      </c>
      <c r="G408" s="320">
        <f t="shared" si="325"/>
        <v>0.33460648148148109</v>
      </c>
      <c r="H408" s="320">
        <f>H407*H358</f>
        <v>1.3854131054131045</v>
      </c>
      <c r="I408" s="320"/>
      <c r="K408" s="296"/>
      <c r="L408" s="250"/>
      <c r="M408" s="250"/>
      <c r="N408" s="296"/>
      <c r="O408" s="250"/>
      <c r="P408" s="250"/>
      <c r="Q408" s="250"/>
      <c r="R408" s="250"/>
      <c r="S408" s="250"/>
      <c r="T408" s="250"/>
      <c r="U408" s="250"/>
      <c r="V408" s="296"/>
      <c r="W408" s="250"/>
      <c r="X408" s="250"/>
      <c r="Y408" s="250"/>
    </row>
    <row r="409" spans="1:27" s="238" customFormat="1" x14ac:dyDescent="0.25">
      <c r="A409" s="314" t="s">
        <v>500</v>
      </c>
      <c r="B409" s="320">
        <f>B407*B356</f>
        <v>4.7639779005524928E-2</v>
      </c>
      <c r="C409" s="320">
        <f t="shared" ref="C409:G409" si="326">C407*C356</f>
        <v>4.0636765185426638E-2</v>
      </c>
      <c r="D409" s="320">
        <f t="shared" si="326"/>
        <v>4.3819046158564592E-2</v>
      </c>
      <c r="E409" s="320">
        <f t="shared" si="326"/>
        <v>6.0328780981284698E-2</v>
      </c>
      <c r="F409" s="320">
        <f t="shared" si="326"/>
        <v>3.5701100344884246E-2</v>
      </c>
      <c r="G409" s="320">
        <f t="shared" si="326"/>
        <v>2.1573821872318169E-2</v>
      </c>
      <c r="H409" s="320">
        <f>H407*H356</f>
        <v>8.5025134414477385E-2</v>
      </c>
      <c r="I409" s="320"/>
      <c r="K409" s="296"/>
      <c r="L409" s="250"/>
      <c r="M409" s="250"/>
      <c r="N409" s="296"/>
      <c r="O409" s="250"/>
      <c r="P409" s="250"/>
      <c r="Q409" s="250"/>
      <c r="R409" s="250"/>
      <c r="S409" s="250"/>
      <c r="T409" s="250"/>
      <c r="U409" s="250"/>
      <c r="V409" s="296"/>
      <c r="W409" s="250"/>
      <c r="X409" s="250"/>
      <c r="Y409" s="250"/>
    </row>
    <row r="410" spans="1:27" s="238" customFormat="1" x14ac:dyDescent="0.25">
      <c r="A410" s="314"/>
      <c r="B410" s="250"/>
      <c r="C410" s="250"/>
      <c r="D410" s="250"/>
      <c r="E410" s="250"/>
      <c r="F410" s="250"/>
      <c r="G410" s="250"/>
      <c r="H410" s="250"/>
      <c r="I410" s="250"/>
      <c r="K410" s="296"/>
      <c r="L410" s="250"/>
      <c r="M410" s="250"/>
      <c r="N410" s="296"/>
      <c r="O410" s="250"/>
      <c r="P410" s="250"/>
      <c r="Q410" s="250"/>
      <c r="R410" s="250"/>
      <c r="S410" s="250"/>
      <c r="T410" s="250"/>
      <c r="U410" s="250"/>
      <c r="V410" s="296"/>
      <c r="W410" s="250"/>
      <c r="X410" s="250"/>
      <c r="Y410" s="250"/>
    </row>
    <row r="411" spans="1:27" s="238" customFormat="1" x14ac:dyDescent="0.25">
      <c r="A411" s="314" t="s">
        <v>501</v>
      </c>
      <c r="B411" s="308">
        <f>B391/(B408*100)</f>
        <v>0.4535896771254968</v>
      </c>
      <c r="C411" s="308">
        <f t="shared" ref="C411:H411" si="327">C391/(C408*100)</f>
        <v>0.48556103352142654</v>
      </c>
      <c r="D411" s="308">
        <f t="shared" si="327"/>
        <v>0.50263706093800353</v>
      </c>
      <c r="E411" s="308">
        <f t="shared" si="327"/>
        <v>0.18226065009061276</v>
      </c>
      <c r="F411" s="308">
        <f t="shared" si="327"/>
        <v>0.30383151974484074</v>
      </c>
      <c r="G411" s="308">
        <f t="shared" si="327"/>
        <v>0.36309822358083432</v>
      </c>
      <c r="H411" s="308">
        <f t="shared" si="327"/>
        <v>8.2063393085267819E-2</v>
      </c>
      <c r="I411" s="250"/>
      <c r="K411" s="296"/>
      <c r="L411" s="250"/>
      <c r="M411" s="250"/>
      <c r="N411" s="296"/>
      <c r="O411" s="250"/>
      <c r="P411" s="250"/>
      <c r="Q411" s="250"/>
      <c r="R411" s="250"/>
      <c r="S411" s="250"/>
      <c r="T411" s="250"/>
      <c r="U411" s="250"/>
      <c r="V411" s="296"/>
      <c r="W411" s="250"/>
      <c r="X411" s="250"/>
      <c r="Y411" s="250"/>
    </row>
    <row r="412" spans="1:27" s="238" customFormat="1" x14ac:dyDescent="0.25">
      <c r="A412" s="314"/>
      <c r="B412" s="250"/>
      <c r="C412" s="250"/>
      <c r="D412" s="250"/>
      <c r="E412" s="250"/>
      <c r="F412" s="250"/>
      <c r="G412" s="250"/>
      <c r="H412" s="250"/>
      <c r="I412" s="250"/>
      <c r="K412" s="296"/>
      <c r="L412" s="250"/>
      <c r="M412" s="250"/>
      <c r="N412" s="296"/>
      <c r="O412" s="250"/>
      <c r="P412" s="250"/>
      <c r="Q412" s="250"/>
      <c r="R412" s="250"/>
      <c r="S412" s="250"/>
      <c r="T412" s="250"/>
      <c r="U412" s="250"/>
      <c r="V412" s="296"/>
      <c r="W412" s="250"/>
      <c r="X412" s="250"/>
      <c r="Y412" s="250"/>
    </row>
    <row r="413" spans="1:27" s="238" customFormat="1" x14ac:dyDescent="0.25">
      <c r="A413" s="314" t="s">
        <v>502</v>
      </c>
      <c r="B413" s="250">
        <f t="shared" ref="B413:I413" si="328">B381-B41</f>
        <v>282.78480000000025</v>
      </c>
      <c r="C413" s="250">
        <f t="shared" si="328"/>
        <v>179.59850000000006</v>
      </c>
      <c r="D413" s="250">
        <f t="shared" si="328"/>
        <v>241.40100000000012</v>
      </c>
      <c r="E413" s="250">
        <f t="shared" si="328"/>
        <v>303.24700000000001</v>
      </c>
      <c r="F413" s="250">
        <f t="shared" si="328"/>
        <v>626.29200000000014</v>
      </c>
      <c r="G413" s="250">
        <f t="shared" si="328"/>
        <v>278.85649999999998</v>
      </c>
      <c r="H413" s="250">
        <f t="shared" si="328"/>
        <v>938.10020000000009</v>
      </c>
      <c r="I413" s="250">
        <f t="shared" si="328"/>
        <v>787.66799999999989</v>
      </c>
      <c r="K413" s="296"/>
      <c r="L413" s="250"/>
      <c r="M413" s="250"/>
      <c r="N413" s="296"/>
      <c r="O413" s="250"/>
      <c r="P413" s="250"/>
      <c r="Q413" s="250"/>
      <c r="R413" s="250"/>
      <c r="S413" s="250"/>
      <c r="T413" s="250"/>
      <c r="U413" s="250"/>
      <c r="V413" s="296"/>
      <c r="W413" s="250"/>
      <c r="X413" s="250"/>
      <c r="Y413" s="250"/>
    </row>
    <row r="414" spans="1:27" s="238" customFormat="1" x14ac:dyDescent="0.25">
      <c r="A414" s="314" t="s">
        <v>503</v>
      </c>
      <c r="B414" s="319">
        <f t="shared" ref="B414:I414" si="329">B413/B23</f>
        <v>0.1481634706067276</v>
      </c>
      <c r="C414" s="319">
        <f t="shared" si="329"/>
        <v>0.10494244478204981</v>
      </c>
      <c r="D414" s="319">
        <f t="shared" si="329"/>
        <v>0.14525603225224148</v>
      </c>
      <c r="E414" s="319">
        <f t="shared" si="329"/>
        <v>0.1896953584386338</v>
      </c>
      <c r="F414" s="319">
        <f t="shared" si="329"/>
        <v>0.40028889172951559</v>
      </c>
      <c r="G414" s="319">
        <f t="shared" si="329"/>
        <v>0.1884292857625515</v>
      </c>
      <c r="H414" s="319">
        <f t="shared" si="329"/>
        <v>0.7816198966838861</v>
      </c>
      <c r="I414" s="319">
        <f t="shared" si="329"/>
        <v>0.72429241379310338</v>
      </c>
      <c r="K414" s="296"/>
      <c r="L414" s="250"/>
      <c r="M414" s="250"/>
      <c r="N414" s="296"/>
      <c r="O414" s="250"/>
      <c r="P414" s="250"/>
      <c r="Q414" s="250"/>
      <c r="R414" s="250"/>
      <c r="S414" s="250"/>
      <c r="T414" s="250"/>
      <c r="U414" s="250"/>
      <c r="V414" s="296"/>
      <c r="W414" s="250"/>
      <c r="X414" s="250"/>
      <c r="Y414" s="250"/>
    </row>
    <row r="415" spans="1:27" s="238" customFormat="1" x14ac:dyDescent="0.25">
      <c r="A415" s="314"/>
      <c r="B415" s="319"/>
      <c r="C415" s="319"/>
      <c r="D415" s="319"/>
      <c r="E415" s="319"/>
      <c r="F415" s="319"/>
      <c r="G415" s="319"/>
      <c r="H415" s="319"/>
      <c r="I415" s="319"/>
      <c r="K415" s="296"/>
      <c r="L415" s="250"/>
      <c r="M415" s="250"/>
      <c r="N415" s="296"/>
      <c r="O415" s="250"/>
      <c r="P415" s="250"/>
      <c r="Q415" s="250"/>
      <c r="R415" s="250"/>
      <c r="S415" s="250"/>
      <c r="T415" s="250"/>
      <c r="U415" s="250"/>
      <c r="V415" s="296"/>
      <c r="W415" s="250"/>
      <c r="X415" s="250"/>
      <c r="Y415" s="250"/>
    </row>
    <row r="416" spans="1:27" s="1" customFormat="1" x14ac:dyDescent="0.25">
      <c r="A416" s="1" t="s">
        <v>111</v>
      </c>
      <c r="B416" s="1" t="s">
        <v>476</v>
      </c>
      <c r="K416" s="236"/>
      <c r="L416" s="236"/>
      <c r="M416" s="236"/>
      <c r="N416" s="236"/>
      <c r="O416" s="236"/>
      <c r="P416" s="236"/>
      <c r="Q416" s="236"/>
      <c r="R416" s="236"/>
      <c r="S416" s="236"/>
      <c r="T416" s="236"/>
      <c r="U416" s="236"/>
      <c r="V416" s="236"/>
      <c r="W416" s="236"/>
      <c r="X416" s="236"/>
      <c r="Y416" s="236"/>
      <c r="Z416" s="236"/>
      <c r="AA416" s="236"/>
    </row>
    <row r="417" spans="1:27" s="1" customFormat="1" x14ac:dyDescent="0.25">
      <c r="A417" s="1" t="s">
        <v>506</v>
      </c>
      <c r="K417" s="236"/>
      <c r="L417" s="236"/>
      <c r="M417" s="236"/>
      <c r="N417" s="236"/>
      <c r="O417" s="236"/>
      <c r="P417" s="236"/>
      <c r="Q417" s="236"/>
      <c r="R417" s="236"/>
      <c r="S417" s="236"/>
      <c r="T417" s="236"/>
      <c r="U417" s="236"/>
      <c r="V417" s="236"/>
      <c r="W417" s="236"/>
      <c r="X417" s="236"/>
      <c r="Y417" s="236"/>
      <c r="Z417" s="236"/>
      <c r="AA417" s="236"/>
    </row>
    <row r="418" spans="1:27" s="1" customFormat="1" x14ac:dyDescent="0.25">
      <c r="A418" s="1" t="s">
        <v>3</v>
      </c>
      <c r="H418" s="2"/>
      <c r="I418" s="2"/>
      <c r="K418" s="236"/>
      <c r="L418" s="236"/>
      <c r="M418" s="236"/>
      <c r="N418" s="236"/>
      <c r="O418" s="236"/>
      <c r="P418" s="237"/>
      <c r="Q418" s="237"/>
      <c r="R418" s="237"/>
      <c r="S418" s="236"/>
      <c r="T418" s="236"/>
      <c r="U418" s="236"/>
      <c r="V418" s="236"/>
      <c r="W418" s="236"/>
      <c r="X418" s="236"/>
      <c r="Y418" s="236"/>
      <c r="Z418" s="236"/>
      <c r="AA418" s="236"/>
    </row>
    <row r="419" spans="1:27" s="1" customFormat="1" ht="15.75" thickBot="1" x14ac:dyDescent="0.3">
      <c r="A419" s="2" t="s">
        <v>11</v>
      </c>
      <c r="B419" s="323" t="s">
        <v>536</v>
      </c>
      <c r="C419" s="323" t="s">
        <v>263</v>
      </c>
      <c r="D419" s="323" t="s">
        <v>4</v>
      </c>
      <c r="E419" s="3"/>
      <c r="F419" s="323" t="s">
        <v>536</v>
      </c>
      <c r="G419" s="323" t="s">
        <v>263</v>
      </c>
      <c r="H419" s="323" t="s">
        <v>4</v>
      </c>
      <c r="I419" s="7"/>
      <c r="K419" s="7"/>
      <c r="L419" s="7"/>
      <c r="M419" s="7"/>
      <c r="N419" s="7"/>
      <c r="O419" s="7"/>
      <c r="P419" s="7"/>
      <c r="Q419" s="7"/>
      <c r="R419" s="7"/>
      <c r="S419" s="236"/>
      <c r="T419" s="236"/>
      <c r="U419" s="236"/>
      <c r="V419" s="236"/>
      <c r="W419" s="7"/>
      <c r="X419" s="7"/>
      <c r="Y419" s="7"/>
      <c r="Z419" s="7"/>
      <c r="AA419" s="7"/>
    </row>
    <row r="420" spans="1:27" s="238" customFormat="1" x14ac:dyDescent="0.25">
      <c r="A420" s="321" t="s">
        <v>507</v>
      </c>
      <c r="B420" s="250"/>
      <c r="C420" s="250"/>
      <c r="D420" s="250"/>
      <c r="E420" s="250"/>
      <c r="F420" s="250"/>
      <c r="G420" s="250"/>
      <c r="H420" s="250"/>
      <c r="I420" s="250"/>
      <c r="K420" s="296"/>
      <c r="L420" s="250"/>
      <c r="M420" s="250"/>
      <c r="N420" s="296"/>
      <c r="O420" s="250"/>
      <c r="P420" s="250"/>
      <c r="Q420" s="250"/>
      <c r="R420" s="250"/>
      <c r="S420" s="250"/>
      <c r="T420" s="250"/>
      <c r="U420" s="250"/>
      <c r="V420" s="296"/>
      <c r="W420" s="250"/>
      <c r="X420" s="250"/>
      <c r="Y420" s="250"/>
    </row>
    <row r="421" spans="1:27" s="238" customFormat="1" x14ac:dyDescent="0.25">
      <c r="A421" s="322" t="s">
        <v>508</v>
      </c>
      <c r="B421" s="250"/>
      <c r="C421" s="250"/>
      <c r="D421" s="250"/>
      <c r="E421" s="250"/>
      <c r="F421" s="250"/>
      <c r="G421" s="250"/>
      <c r="H421" s="250"/>
      <c r="I421" s="250"/>
      <c r="K421" s="296"/>
      <c r="L421" s="250"/>
      <c r="M421" s="250"/>
      <c r="N421" s="296"/>
      <c r="O421" s="250"/>
      <c r="P421" s="250"/>
      <c r="Q421" s="250"/>
      <c r="R421" s="250"/>
      <c r="S421" s="250"/>
      <c r="T421" s="250"/>
      <c r="U421" s="250"/>
      <c r="V421" s="296"/>
      <c r="W421" s="250"/>
      <c r="X421" s="250"/>
      <c r="Y421" s="250"/>
    </row>
    <row r="422" spans="1:27" s="238" customFormat="1" x14ac:dyDescent="0.25">
      <c r="A422" s="313" t="s">
        <v>512</v>
      </c>
      <c r="B422" s="320">
        <f>T212</f>
        <v>-0.35663563262650189</v>
      </c>
      <c r="C422" s="320"/>
      <c r="D422" s="320">
        <f>V212</f>
        <v>-0.42679446911310048</v>
      </c>
      <c r="E422" s="250" t="s">
        <v>546</v>
      </c>
      <c r="F422" s="250"/>
      <c r="G422" s="250"/>
      <c r="H422" s="250"/>
      <c r="I422" s="250"/>
      <c r="K422" s="296"/>
      <c r="L422" s="250"/>
      <c r="M422" s="250"/>
      <c r="N422" s="296"/>
      <c r="O422" s="250"/>
      <c r="P422" s="250"/>
      <c r="Q422" s="250"/>
      <c r="R422" s="250"/>
      <c r="S422" s="250"/>
      <c r="T422" s="250"/>
      <c r="U422" s="250"/>
      <c r="V422" s="296"/>
      <c r="W422" s="250"/>
      <c r="X422" s="250"/>
      <c r="Y422" s="250"/>
    </row>
    <row r="423" spans="1:27" s="238" customFormat="1" x14ac:dyDescent="0.25">
      <c r="A423" s="313" t="s">
        <v>338</v>
      </c>
      <c r="B423" s="320"/>
      <c r="C423" s="320"/>
      <c r="D423" s="320"/>
      <c r="E423" s="250" t="s">
        <v>546</v>
      </c>
      <c r="F423" s="250"/>
      <c r="G423" s="250"/>
      <c r="H423" s="250"/>
      <c r="I423" s="250"/>
      <c r="K423" s="296"/>
      <c r="L423" s="250"/>
      <c r="M423" s="250"/>
      <c r="N423" s="296"/>
      <c r="O423" s="250"/>
      <c r="P423" s="250"/>
      <c r="Q423" s="250"/>
      <c r="R423" s="250"/>
      <c r="S423" s="250"/>
      <c r="T423" s="250"/>
      <c r="U423" s="250"/>
      <c r="V423" s="296"/>
      <c r="W423" s="250"/>
      <c r="X423" s="250"/>
      <c r="Y423" s="250"/>
    </row>
    <row r="424" spans="1:27" s="238" customFormat="1" x14ac:dyDescent="0.25">
      <c r="A424" s="313" t="s">
        <v>509</v>
      </c>
      <c r="B424" s="320">
        <f>T55</f>
        <v>5.7487013665047604E-2</v>
      </c>
      <c r="C424" s="320">
        <f>U55</f>
        <v>6.7131710020519542E-2</v>
      </c>
      <c r="D424" s="320">
        <f>V55</f>
        <v>6.0637862838911261E-2</v>
      </c>
      <c r="E424" s="250"/>
      <c r="F424" s="320">
        <f>B424</f>
        <v>5.7487013665047604E-2</v>
      </c>
      <c r="G424" s="320">
        <f t="shared" ref="G424:H430" si="330">C424</f>
        <v>6.7131710020519542E-2</v>
      </c>
      <c r="H424" s="320">
        <f t="shared" si="330"/>
        <v>6.0637862838911261E-2</v>
      </c>
      <c r="I424" s="250"/>
      <c r="K424" s="296"/>
      <c r="L424" s="250"/>
      <c r="M424" s="250"/>
      <c r="N424" s="296"/>
      <c r="O424" s="250"/>
      <c r="P424" s="250"/>
      <c r="Q424" s="250"/>
      <c r="R424" s="250"/>
      <c r="S424" s="250"/>
      <c r="T424" s="250"/>
      <c r="U424" s="250"/>
      <c r="V424" s="296"/>
      <c r="W424" s="250"/>
      <c r="X424" s="250"/>
      <c r="Y424" s="250"/>
    </row>
    <row r="425" spans="1:27" s="238" customFormat="1" x14ac:dyDescent="0.25">
      <c r="A425" s="313" t="s">
        <v>510</v>
      </c>
      <c r="B425" s="320">
        <f>T86</f>
        <v>3.647423633934066E-2</v>
      </c>
      <c r="C425" s="320">
        <f>U86</f>
        <v>1.3713300268494377E-2</v>
      </c>
      <c r="D425" s="320">
        <f>V86</f>
        <v>-2.4328015693485194E-2</v>
      </c>
      <c r="E425" s="250"/>
      <c r="F425" s="320">
        <f t="shared" ref="F425:F430" si="331">B425</f>
        <v>3.647423633934066E-2</v>
      </c>
      <c r="G425" s="320">
        <f t="shared" si="330"/>
        <v>1.3713300268494377E-2</v>
      </c>
      <c r="H425" s="320">
        <f t="shared" si="330"/>
        <v>-2.4328015693485194E-2</v>
      </c>
      <c r="I425" s="250"/>
      <c r="K425" s="296"/>
      <c r="L425" s="250"/>
      <c r="M425" s="250"/>
      <c r="N425" s="296"/>
      <c r="O425" s="250"/>
      <c r="P425" s="250"/>
      <c r="Q425" s="250"/>
      <c r="R425" s="250"/>
      <c r="S425" s="250"/>
      <c r="T425" s="250"/>
      <c r="U425" s="250"/>
      <c r="V425" s="296"/>
      <c r="W425" s="250"/>
      <c r="X425" s="250"/>
      <c r="Y425" s="250"/>
    </row>
    <row r="426" spans="1:27" s="238" customFormat="1" x14ac:dyDescent="0.25">
      <c r="A426" s="313" t="s">
        <v>426</v>
      </c>
      <c r="B426" s="320">
        <f>T88</f>
        <v>2.8274778663071709E-2</v>
      </c>
      <c r="C426" s="320">
        <f>U88</f>
        <v>1.6373687321323604E-2</v>
      </c>
      <c r="D426" s="320">
        <f>V88</f>
        <v>-1.1735389072704994E-2</v>
      </c>
      <c r="E426" s="250"/>
      <c r="F426" s="320">
        <f t="shared" si="331"/>
        <v>2.8274778663071709E-2</v>
      </c>
      <c r="G426" s="320">
        <f t="shared" si="330"/>
        <v>1.6373687321323604E-2</v>
      </c>
      <c r="H426" s="320">
        <f t="shared" si="330"/>
        <v>-1.1735389072704994E-2</v>
      </c>
      <c r="I426" s="250"/>
      <c r="K426" s="296"/>
      <c r="L426" s="250"/>
      <c r="M426" s="250"/>
      <c r="N426" s="296"/>
      <c r="O426" s="250"/>
      <c r="P426" s="250"/>
      <c r="Q426" s="250"/>
      <c r="R426" s="250"/>
      <c r="S426" s="250"/>
      <c r="T426" s="250"/>
      <c r="U426" s="250"/>
      <c r="V426" s="296"/>
      <c r="W426" s="250"/>
      <c r="X426" s="250"/>
      <c r="Y426" s="250"/>
    </row>
    <row r="427" spans="1:27" s="238" customFormat="1" x14ac:dyDescent="0.25">
      <c r="A427" s="313" t="s">
        <v>162</v>
      </c>
      <c r="B427" s="320">
        <f>T143</f>
        <v>4.915669013440338E-2</v>
      </c>
      <c r="C427" s="320">
        <f>U143</f>
        <v>3.009201192127664E-3</v>
      </c>
      <c r="D427" s="320">
        <f>V143</f>
        <v>-1.1711656913963253E-2</v>
      </c>
      <c r="E427" s="250"/>
      <c r="F427" s="320">
        <f t="shared" si="331"/>
        <v>4.915669013440338E-2</v>
      </c>
      <c r="G427" s="320">
        <f t="shared" si="330"/>
        <v>3.009201192127664E-3</v>
      </c>
      <c r="H427" s="320">
        <f t="shared" si="330"/>
        <v>-1.1711656913963253E-2</v>
      </c>
      <c r="I427" s="250"/>
      <c r="K427" s="296"/>
      <c r="L427" s="250"/>
      <c r="M427" s="250"/>
      <c r="N427" s="296"/>
      <c r="O427" s="250"/>
      <c r="P427" s="250"/>
      <c r="Q427" s="250"/>
      <c r="R427" s="250"/>
      <c r="S427" s="250"/>
      <c r="T427" s="250"/>
      <c r="U427" s="250"/>
      <c r="V427" s="296"/>
      <c r="W427" s="250"/>
      <c r="X427" s="250"/>
      <c r="Y427" s="250"/>
    </row>
    <row r="428" spans="1:27" s="238" customFormat="1" x14ac:dyDescent="0.25">
      <c r="A428" s="313" t="s">
        <v>511</v>
      </c>
      <c r="B428" s="320">
        <f>T150</f>
        <v>-3.6221842811444138E-2</v>
      </c>
      <c r="C428" s="320">
        <f>U150</f>
        <v>-0.11402539230277908</v>
      </c>
      <c r="D428" s="320">
        <f>V150</f>
        <v>-8.0616584594806362E-2</v>
      </c>
      <c r="E428" s="250"/>
      <c r="F428" s="320">
        <f t="shared" si="331"/>
        <v>-3.6221842811444138E-2</v>
      </c>
      <c r="G428" s="320">
        <f t="shared" si="330"/>
        <v>-0.11402539230277908</v>
      </c>
      <c r="H428" s="320">
        <f t="shared" si="330"/>
        <v>-8.0616584594806362E-2</v>
      </c>
      <c r="I428" s="250"/>
      <c r="K428" s="296"/>
      <c r="L428" s="250"/>
      <c r="M428" s="250"/>
      <c r="N428" s="296"/>
      <c r="O428" s="250"/>
      <c r="P428" s="250"/>
      <c r="Q428" s="250"/>
      <c r="R428" s="250"/>
      <c r="S428" s="250"/>
      <c r="T428" s="250"/>
      <c r="U428" s="250"/>
      <c r="V428" s="296"/>
      <c r="W428" s="250"/>
      <c r="X428" s="250"/>
      <c r="Y428" s="250"/>
    </row>
    <row r="429" spans="1:27" s="238" customFormat="1" x14ac:dyDescent="0.25">
      <c r="A429" s="313" t="s">
        <v>467</v>
      </c>
      <c r="B429" s="320">
        <f>T110</f>
        <v>6.7691255426475694E-2</v>
      </c>
      <c r="C429" s="320">
        <f t="shared" ref="C429:D429" si="332">U110</f>
        <v>-1.1566193082725218E-2</v>
      </c>
      <c r="D429" s="320">
        <f t="shared" si="332"/>
        <v>-5.6435965657379739E-2</v>
      </c>
      <c r="E429" s="250"/>
      <c r="F429" s="320">
        <f t="shared" si="331"/>
        <v>6.7691255426475694E-2</v>
      </c>
      <c r="G429" s="320">
        <f t="shared" si="330"/>
        <v>-1.1566193082725218E-2</v>
      </c>
      <c r="H429" s="320">
        <f t="shared" si="330"/>
        <v>-5.6435965657379739E-2</v>
      </c>
      <c r="I429" s="250"/>
      <c r="K429" s="296"/>
      <c r="L429" s="250"/>
      <c r="M429" s="250"/>
      <c r="N429" s="296"/>
      <c r="O429" s="250"/>
      <c r="P429" s="250"/>
      <c r="Q429" s="250"/>
      <c r="R429" s="250"/>
      <c r="S429" s="250"/>
      <c r="T429" s="250"/>
      <c r="U429" s="250"/>
      <c r="V429" s="296"/>
      <c r="W429" s="250"/>
      <c r="X429" s="250"/>
      <c r="Y429" s="250"/>
    </row>
    <row r="430" spans="1:27" s="238" customFormat="1" x14ac:dyDescent="0.25">
      <c r="A430" s="313" t="s">
        <v>468</v>
      </c>
      <c r="B430" s="249">
        <f>T114</f>
        <v>6.6429054681602429E-2</v>
      </c>
      <c r="C430" s="249">
        <f t="shared" ref="C430:D430" si="333">U114</f>
        <v>-3.3428949232524596E-3</v>
      </c>
      <c r="D430" s="249">
        <f t="shared" si="333"/>
        <v>-4.9509498801786345E-2</v>
      </c>
      <c r="E430" s="250"/>
      <c r="F430" s="249">
        <f t="shared" si="331"/>
        <v>6.6429054681602429E-2</v>
      </c>
      <c r="G430" s="249">
        <f t="shared" si="330"/>
        <v>-3.3428949232524596E-3</v>
      </c>
      <c r="H430" s="249">
        <f t="shared" si="330"/>
        <v>-4.9509498801786345E-2</v>
      </c>
      <c r="I430" s="250"/>
      <c r="K430" s="296"/>
      <c r="L430" s="250"/>
      <c r="M430" s="250"/>
      <c r="N430" s="296"/>
      <c r="O430" s="250"/>
      <c r="P430" s="250"/>
      <c r="Q430" s="250"/>
      <c r="R430" s="250"/>
      <c r="S430" s="250"/>
      <c r="T430" s="250"/>
      <c r="U430" s="250"/>
      <c r="V430" s="296"/>
      <c r="W430" s="250"/>
      <c r="X430" s="250"/>
      <c r="Y430" s="250"/>
    </row>
    <row r="431" spans="1:27" s="238" customFormat="1" x14ac:dyDescent="0.25">
      <c r="A431" s="315" t="s">
        <v>513</v>
      </c>
      <c r="B431" s="320">
        <f>AVERAGE(B422:B430)</f>
        <v>-1.0918055816000569E-2</v>
      </c>
      <c r="C431" s="320">
        <f t="shared" ref="C431:D431" si="334">AVERAGE(C422:C430)</f>
        <v>-4.1009402151845108E-3</v>
      </c>
      <c r="D431" s="320">
        <f t="shared" si="334"/>
        <v>-7.5061714626039389E-2</v>
      </c>
      <c r="E431" s="250"/>
      <c r="F431" s="320">
        <f>AVERAGE(F424:F430)</f>
        <v>3.8470169442642477E-2</v>
      </c>
      <c r="G431" s="320">
        <f t="shared" ref="G431:H431" si="335">AVERAGE(G424:G430)</f>
        <v>-4.1009402151845108E-3</v>
      </c>
      <c r="H431" s="320">
        <f t="shared" si="335"/>
        <v>-2.4814178270744947E-2</v>
      </c>
      <c r="I431" s="250"/>
      <c r="K431" s="296"/>
      <c r="L431" s="250"/>
      <c r="M431" s="250"/>
      <c r="N431" s="296"/>
      <c r="O431" s="250"/>
      <c r="P431" s="250"/>
      <c r="Q431" s="250"/>
      <c r="R431" s="250"/>
      <c r="S431" s="250"/>
      <c r="T431" s="250"/>
      <c r="U431" s="250"/>
      <c r="V431" s="296"/>
      <c r="W431" s="250"/>
      <c r="X431" s="250"/>
      <c r="Y431" s="250"/>
    </row>
    <row r="432" spans="1:27" s="238" customFormat="1" x14ac:dyDescent="0.25">
      <c r="A432" s="315" t="s">
        <v>514</v>
      </c>
      <c r="B432" s="320"/>
      <c r="C432" s="320"/>
      <c r="D432" s="320"/>
      <c r="E432" s="250"/>
      <c r="F432" s="320">
        <f>$B$408</f>
        <v>0.19262370155255251</v>
      </c>
      <c r="G432" s="320">
        <f t="shared" ref="G432:H432" si="336">$B$408</f>
        <v>0.19262370155255251</v>
      </c>
      <c r="H432" s="320">
        <f t="shared" si="336"/>
        <v>0.19262370155255251</v>
      </c>
      <c r="I432" s="250"/>
      <c r="K432" s="296"/>
      <c r="L432" s="250"/>
      <c r="M432" s="250"/>
      <c r="N432" s="296"/>
      <c r="O432" s="250"/>
      <c r="P432" s="250"/>
      <c r="Q432" s="250"/>
      <c r="R432" s="250"/>
      <c r="S432" s="250"/>
      <c r="T432" s="250"/>
      <c r="U432" s="250"/>
      <c r="V432" s="296"/>
      <c r="W432" s="250"/>
      <c r="X432" s="250"/>
      <c r="Y432" s="250"/>
    </row>
    <row r="433" spans="1:25" s="238" customFormat="1" x14ac:dyDescent="0.25">
      <c r="A433" s="315" t="s">
        <v>515</v>
      </c>
      <c r="B433" s="320"/>
      <c r="C433" s="320"/>
      <c r="D433" s="320"/>
      <c r="E433" s="250"/>
      <c r="F433" s="249">
        <f>$B$391/100</f>
        <v>8.7372122593940352E-2</v>
      </c>
      <c r="G433" s="249">
        <f>$B$391/100</f>
        <v>8.7372122593940352E-2</v>
      </c>
      <c r="H433" s="249">
        <f>$B$391/100</f>
        <v>8.7372122593940352E-2</v>
      </c>
      <c r="I433" s="250"/>
      <c r="K433" s="296"/>
      <c r="L433" s="250"/>
      <c r="M433" s="250"/>
      <c r="N433" s="296"/>
      <c r="O433" s="250"/>
      <c r="P433" s="250"/>
      <c r="Q433" s="250"/>
      <c r="R433" s="250"/>
      <c r="S433" s="250"/>
      <c r="T433" s="250"/>
      <c r="U433" s="250"/>
      <c r="V433" s="296"/>
      <c r="W433" s="250"/>
      <c r="X433" s="250"/>
      <c r="Y433" s="250"/>
    </row>
    <row r="434" spans="1:25" s="238" customFormat="1" x14ac:dyDescent="0.25">
      <c r="A434" s="315" t="s">
        <v>516</v>
      </c>
      <c r="B434" s="320"/>
      <c r="C434" s="320"/>
      <c r="D434" s="320"/>
      <c r="E434" s="250"/>
      <c r="F434" s="320">
        <f>AVERAGE(F431:F433)</f>
        <v>0.10615533119637845</v>
      </c>
      <c r="G434" s="320">
        <f t="shared" ref="G434:H434" si="337">AVERAGE(G431:G433)</f>
        <v>9.1964961310436119E-2</v>
      </c>
      <c r="H434" s="320">
        <f t="shared" si="337"/>
        <v>8.506054862524931E-2</v>
      </c>
      <c r="I434" s="250"/>
      <c r="K434" s="296"/>
      <c r="L434" s="250"/>
      <c r="M434" s="250"/>
      <c r="N434" s="296"/>
      <c r="O434" s="250"/>
      <c r="P434" s="250"/>
      <c r="Q434" s="250"/>
      <c r="R434" s="250"/>
      <c r="S434" s="250"/>
      <c r="T434" s="250"/>
      <c r="U434" s="250"/>
      <c r="V434" s="296"/>
      <c r="W434" s="250"/>
      <c r="X434" s="250"/>
      <c r="Y434" s="250"/>
    </row>
    <row r="435" spans="1:25" s="238" customFormat="1" x14ac:dyDescent="0.25">
      <c r="A435" s="315"/>
      <c r="B435" s="320"/>
      <c r="C435" s="320"/>
      <c r="D435" s="320"/>
      <c r="E435" s="250"/>
      <c r="F435" s="320"/>
      <c r="G435" s="320"/>
      <c r="H435" s="320"/>
      <c r="I435" s="250"/>
      <c r="K435" s="296"/>
      <c r="L435" s="250"/>
      <c r="M435" s="250"/>
      <c r="N435" s="296"/>
      <c r="O435" s="250"/>
      <c r="P435" s="250"/>
      <c r="Q435" s="250"/>
      <c r="R435" s="250"/>
      <c r="S435" s="250"/>
      <c r="T435" s="250"/>
      <c r="U435" s="250"/>
      <c r="V435" s="296"/>
      <c r="W435" s="250"/>
      <c r="X435" s="250"/>
      <c r="Y435" s="250"/>
    </row>
    <row r="436" spans="1:25" s="238" customFormat="1" x14ac:dyDescent="0.25">
      <c r="A436" s="315"/>
      <c r="B436" s="320"/>
      <c r="C436" s="320"/>
      <c r="D436" s="320"/>
      <c r="E436" s="250"/>
      <c r="F436" s="320"/>
      <c r="G436" s="320"/>
      <c r="H436" s="320"/>
      <c r="I436" s="250"/>
      <c r="K436" s="296"/>
      <c r="L436" s="250"/>
      <c r="M436" s="250"/>
      <c r="N436" s="296"/>
      <c r="O436" s="250"/>
      <c r="P436" s="250"/>
      <c r="Q436" s="250"/>
      <c r="R436" s="250"/>
      <c r="S436" s="250"/>
      <c r="T436" s="250"/>
      <c r="U436" s="250"/>
      <c r="V436" s="296"/>
      <c r="W436" s="250"/>
      <c r="X436" s="250"/>
      <c r="Y436" s="250"/>
    </row>
    <row r="437" spans="1:25" s="238" customFormat="1" x14ac:dyDescent="0.25">
      <c r="A437" s="315" t="s">
        <v>516</v>
      </c>
      <c r="B437" s="320">
        <f>F434</f>
        <v>0.10615533119637845</v>
      </c>
      <c r="C437" s="320">
        <f>G434</f>
        <v>9.1964961310436119E-2</v>
      </c>
      <c r="D437" s="320">
        <f>H434</f>
        <v>8.506054862524931E-2</v>
      </c>
      <c r="F437" s="320"/>
      <c r="G437" s="320"/>
      <c r="H437" s="320"/>
      <c r="I437" s="250"/>
      <c r="K437" s="296"/>
      <c r="L437" s="250"/>
      <c r="M437" s="250"/>
      <c r="N437" s="296"/>
      <c r="O437" s="250"/>
      <c r="P437" s="250"/>
      <c r="Q437" s="250"/>
      <c r="R437" s="250"/>
      <c r="S437" s="250"/>
      <c r="T437" s="250"/>
      <c r="U437" s="250"/>
      <c r="V437" s="296"/>
      <c r="W437" s="250"/>
      <c r="X437" s="250"/>
      <c r="Y437" s="250"/>
    </row>
    <row r="438" spans="1:25" s="238" customFormat="1" x14ac:dyDescent="0.25">
      <c r="A438" s="314" t="s">
        <v>547</v>
      </c>
      <c r="B438" s="367">
        <f t="shared" ref="B438:C438" si="338">$B$387</f>
        <v>4.3400570884871605</v>
      </c>
      <c r="C438" s="367">
        <f t="shared" si="338"/>
        <v>4.3400570884871605</v>
      </c>
      <c r="D438" s="367">
        <f>$B$387</f>
        <v>4.3400570884871605</v>
      </c>
      <c r="F438" s="320"/>
      <c r="G438" s="320"/>
      <c r="H438" s="320"/>
      <c r="I438" s="250"/>
      <c r="K438" s="296"/>
      <c r="L438" s="250"/>
      <c r="M438" s="250"/>
      <c r="N438" s="296"/>
      <c r="O438" s="250"/>
      <c r="P438" s="250"/>
      <c r="Q438" s="250"/>
      <c r="R438" s="250"/>
      <c r="S438" s="250"/>
      <c r="T438" s="250"/>
      <c r="U438" s="250"/>
      <c r="V438" s="296"/>
      <c r="W438" s="250"/>
      <c r="X438" s="250"/>
      <c r="Y438" s="250"/>
    </row>
    <row r="439" spans="1:25" s="238" customFormat="1" x14ac:dyDescent="0.25">
      <c r="A439" s="314" t="s">
        <v>548</v>
      </c>
      <c r="B439" s="367">
        <f>B438*(1+$B$437)</f>
        <v>4.8007772861267055</v>
      </c>
      <c r="C439" s="367">
        <f>C438*(1+$C$437)</f>
        <v>4.7391902707149658</v>
      </c>
      <c r="D439" s="367">
        <f>D438*(1+$D$437)</f>
        <v>4.7092247254987809</v>
      </c>
      <c r="F439" s="320"/>
      <c r="G439" s="320"/>
      <c r="H439" s="320"/>
      <c r="I439" s="250"/>
      <c r="K439" s="296"/>
      <c r="L439" s="250"/>
      <c r="M439" s="250"/>
      <c r="N439" s="296"/>
      <c r="O439" s="250"/>
      <c r="P439" s="250"/>
      <c r="Q439" s="250"/>
      <c r="R439" s="250"/>
      <c r="S439" s="250"/>
      <c r="T439" s="250"/>
      <c r="U439" s="250"/>
      <c r="V439" s="296"/>
      <c r="W439" s="250"/>
      <c r="X439" s="250"/>
      <c r="Y439" s="250"/>
    </row>
    <row r="440" spans="1:25" s="238" customFormat="1" x14ac:dyDescent="0.25">
      <c r="A440" s="314" t="s">
        <v>549</v>
      </c>
      <c r="B440" s="367">
        <f>B439*(1+$B$437)</f>
        <v>5.3104053889355374</v>
      </c>
      <c r="C440" s="367">
        <f>C439*(1+$C$437)</f>
        <v>5.175029720604063</v>
      </c>
      <c r="D440" s="367">
        <f>D439*(1+$D$437)</f>
        <v>5.1097939642492962</v>
      </c>
      <c r="F440" s="320"/>
      <c r="G440" s="320"/>
      <c r="H440" s="320"/>
      <c r="I440" s="250"/>
      <c r="K440" s="296"/>
      <c r="L440" s="250"/>
      <c r="M440" s="250"/>
      <c r="N440" s="296"/>
      <c r="O440" s="250"/>
      <c r="P440" s="250"/>
      <c r="Q440" s="250"/>
      <c r="R440" s="250"/>
      <c r="S440" s="250"/>
      <c r="T440" s="250"/>
      <c r="U440" s="250"/>
      <c r="V440" s="296"/>
      <c r="W440" s="250"/>
      <c r="X440" s="250"/>
      <c r="Y440" s="250"/>
    </row>
    <row r="441" spans="1:25" s="238" customFormat="1" x14ac:dyDescent="0.25">
      <c r="A441" s="314"/>
      <c r="B441" s="320"/>
      <c r="C441" s="320"/>
      <c r="D441" s="320"/>
      <c r="F441" s="320"/>
      <c r="G441" s="320"/>
      <c r="H441" s="320"/>
      <c r="I441" s="250"/>
      <c r="K441" s="296"/>
      <c r="L441" s="250"/>
      <c r="M441" s="250"/>
      <c r="N441" s="296"/>
      <c r="O441" s="250"/>
      <c r="P441" s="250"/>
      <c r="Q441" s="250"/>
      <c r="R441" s="250"/>
      <c r="S441" s="250"/>
      <c r="T441" s="250"/>
      <c r="U441" s="250"/>
      <c r="V441" s="296"/>
      <c r="W441" s="250"/>
      <c r="X441" s="250"/>
      <c r="Y441" s="250"/>
    </row>
    <row r="442" spans="1:25" s="238" customFormat="1" x14ac:dyDescent="0.25">
      <c r="A442" s="315" t="s">
        <v>550</v>
      </c>
      <c r="B442" s="368">
        <f>B437*100</f>
        <v>10.615533119637846</v>
      </c>
      <c r="C442" s="368">
        <f t="shared" ref="C442" si="339">C437*100</f>
        <v>9.1964961310436113</v>
      </c>
      <c r="D442" s="368">
        <f>D437*100</f>
        <v>8.5060548625249304</v>
      </c>
      <c r="F442" s="320"/>
      <c r="G442" s="320"/>
      <c r="H442" s="320"/>
      <c r="I442" s="250"/>
      <c r="K442" s="296"/>
      <c r="L442" s="250"/>
      <c r="M442" s="250"/>
      <c r="N442" s="296"/>
      <c r="O442" s="250"/>
      <c r="P442" s="250"/>
      <c r="Q442" s="250"/>
      <c r="R442" s="250"/>
      <c r="S442" s="250"/>
      <c r="T442" s="250"/>
      <c r="U442" s="250"/>
      <c r="V442" s="296"/>
      <c r="W442" s="250"/>
      <c r="X442" s="250"/>
      <c r="Y442" s="250"/>
    </row>
    <row r="443" spans="1:25" s="238" customFormat="1" x14ac:dyDescent="0.25">
      <c r="A443" s="315" t="s">
        <v>551</v>
      </c>
      <c r="B443" s="367">
        <f t="shared" ref="B443:C443" si="340">$B$379</f>
        <v>37.92</v>
      </c>
      <c r="C443" s="367">
        <f t="shared" si="340"/>
        <v>37.92</v>
      </c>
      <c r="D443" s="367">
        <f>$B$379</f>
        <v>37.92</v>
      </c>
      <c r="F443" s="320"/>
      <c r="G443" s="320"/>
      <c r="H443" s="320"/>
      <c r="I443" s="250"/>
      <c r="K443" s="296"/>
      <c r="L443" s="250"/>
      <c r="M443" s="250"/>
      <c r="N443" s="296"/>
      <c r="O443" s="250"/>
      <c r="P443" s="250"/>
      <c r="Q443" s="250"/>
      <c r="R443" s="250"/>
      <c r="S443" s="250"/>
      <c r="T443" s="250"/>
      <c r="U443" s="250"/>
      <c r="V443" s="296"/>
      <c r="W443" s="250"/>
      <c r="X443" s="250"/>
      <c r="Y443" s="250"/>
    </row>
    <row r="444" spans="1:25" s="238" customFormat="1" x14ac:dyDescent="0.25">
      <c r="A444" s="314" t="s">
        <v>552</v>
      </c>
      <c r="B444" s="367">
        <f>$B$442*B438</f>
        <v>46.072019763954451</v>
      </c>
      <c r="C444" s="367">
        <f>$C$442*C438</f>
        <v>39.913318222780575</v>
      </c>
      <c r="D444" s="367">
        <f>$D$442*D438</f>
        <v>36.916763701162004</v>
      </c>
      <c r="F444" s="320"/>
      <c r="G444" s="320"/>
      <c r="H444" s="320"/>
      <c r="I444" s="250"/>
      <c r="K444" s="296"/>
      <c r="L444" s="250"/>
      <c r="M444" s="250"/>
      <c r="N444" s="296"/>
      <c r="O444" s="250"/>
      <c r="P444" s="250"/>
      <c r="Q444" s="250"/>
      <c r="R444" s="250"/>
      <c r="S444" s="250"/>
      <c r="T444" s="250"/>
      <c r="U444" s="250"/>
      <c r="V444" s="296"/>
      <c r="W444" s="250"/>
      <c r="X444" s="250"/>
      <c r="Y444" s="250"/>
    </row>
    <row r="445" spans="1:25" s="238" customFormat="1" x14ac:dyDescent="0.25">
      <c r="A445" s="314" t="s">
        <v>553</v>
      </c>
      <c r="B445" s="367">
        <f>$B$442*B439</f>
        <v>50.962810280883133</v>
      </c>
      <c r="C445" s="367">
        <f t="shared" ref="C445" si="341">$C$442*C439</f>
        <v>43.583944988909707</v>
      </c>
      <c r="D445" s="367">
        <f>$D$442*D439</f>
        <v>40.056923875051538</v>
      </c>
      <c r="F445" s="320"/>
      <c r="G445" s="320"/>
      <c r="H445" s="320"/>
      <c r="I445" s="250"/>
      <c r="K445" s="296"/>
      <c r="L445" s="250"/>
      <c r="M445" s="250"/>
      <c r="N445" s="296"/>
      <c r="O445" s="250"/>
      <c r="P445" s="250"/>
      <c r="Q445" s="250"/>
      <c r="R445" s="250"/>
      <c r="S445" s="250"/>
      <c r="T445" s="250"/>
      <c r="U445" s="250"/>
      <c r="V445" s="296"/>
      <c r="W445" s="250"/>
      <c r="X445" s="250"/>
      <c r="Y445" s="250"/>
    </row>
    <row r="446" spans="1:25" s="238" customFormat="1" x14ac:dyDescent="0.25">
      <c r="A446" s="314" t="s">
        <v>554</v>
      </c>
      <c r="B446" s="367">
        <f>$B$442*B440</f>
        <v>56.372784284948494</v>
      </c>
      <c r="C446" s="367">
        <f>$C$442*C440</f>
        <v>47.592140803570963</v>
      </c>
      <c r="D446" s="367">
        <f>$D$442*D440</f>
        <v>43.464187796103268</v>
      </c>
      <c r="F446" s="320"/>
      <c r="G446" s="320"/>
      <c r="H446" s="320"/>
      <c r="I446" s="250"/>
      <c r="K446" s="296"/>
      <c r="L446" s="250"/>
      <c r="M446" s="250"/>
      <c r="N446" s="296"/>
      <c r="O446" s="250"/>
      <c r="P446" s="250"/>
      <c r="Q446" s="250"/>
      <c r="R446" s="250"/>
      <c r="S446" s="250"/>
      <c r="T446" s="250"/>
      <c r="U446" s="250"/>
      <c r="V446" s="296"/>
      <c r="W446" s="250"/>
      <c r="X446" s="250"/>
      <c r="Y446" s="250"/>
    </row>
    <row r="447" spans="1:25" s="238" customFormat="1" x14ac:dyDescent="0.25">
      <c r="A447" s="315" t="s">
        <v>555</v>
      </c>
      <c r="B447" s="320">
        <f>_xlfn.RRI(2,B443,B446)</f>
        <v>0.21927193773471876</v>
      </c>
      <c r="C447" s="320">
        <f t="shared" ref="C447" si="342">_xlfn.RRI(2,C443,C446)</f>
        <v>0.12029773020995638</v>
      </c>
      <c r="D447" s="320">
        <f>_xlfn.RRI(2,D443,D446)</f>
        <v>7.0610799531955593E-2</v>
      </c>
      <c r="F447" s="320"/>
      <c r="G447" s="320"/>
      <c r="H447" s="320"/>
      <c r="I447" s="250"/>
      <c r="K447" s="296"/>
      <c r="L447" s="250"/>
      <c r="M447" s="250"/>
      <c r="N447" s="296"/>
      <c r="O447" s="250"/>
      <c r="P447" s="250"/>
      <c r="Q447" s="250"/>
      <c r="R447" s="250"/>
      <c r="S447" s="250"/>
      <c r="T447" s="250"/>
      <c r="U447" s="250"/>
      <c r="V447" s="296"/>
      <c r="W447" s="250"/>
      <c r="X447" s="250"/>
      <c r="Y447" s="250"/>
    </row>
    <row r="448" spans="1:25" s="238" customFormat="1" x14ac:dyDescent="0.25">
      <c r="A448" s="315" t="s">
        <v>556</v>
      </c>
      <c r="B448" s="320">
        <f>B447+M405</f>
        <v>0.22827193773471877</v>
      </c>
      <c r="C448" s="320">
        <f t="shared" ref="C448" si="343">C447+L405</f>
        <v>0.12729773020995638</v>
      </c>
      <c r="D448" s="320">
        <f>D447+K405</f>
        <v>7.5610799531955597E-2</v>
      </c>
      <c r="F448" s="320"/>
      <c r="G448" s="320"/>
      <c r="H448" s="320"/>
      <c r="I448" s="250"/>
      <c r="K448" s="296"/>
      <c r="L448" s="250"/>
      <c r="M448" s="250"/>
      <c r="N448" s="296"/>
      <c r="O448" s="250"/>
      <c r="P448" s="250"/>
      <c r="Q448" s="250"/>
      <c r="R448" s="250"/>
      <c r="S448" s="250"/>
      <c r="T448" s="250"/>
      <c r="U448" s="250"/>
      <c r="V448" s="296"/>
      <c r="W448" s="250"/>
      <c r="X448" s="250"/>
      <c r="Y448" s="250"/>
    </row>
    <row r="449" spans="1:37" s="238" customFormat="1" x14ac:dyDescent="0.25">
      <c r="A449" s="315" t="s">
        <v>557</v>
      </c>
      <c r="B449" s="372" t="s">
        <v>561</v>
      </c>
      <c r="C449" s="372" t="s">
        <v>565</v>
      </c>
      <c r="D449" s="372" t="s">
        <v>565</v>
      </c>
      <c r="F449" s="320"/>
      <c r="G449" s="320"/>
      <c r="H449" s="320"/>
      <c r="I449" s="250"/>
      <c r="K449" s="296"/>
      <c r="L449" s="250"/>
      <c r="M449" s="250"/>
      <c r="N449" s="296"/>
      <c r="O449" s="250"/>
      <c r="P449" s="250"/>
      <c r="Q449" s="250"/>
      <c r="R449" s="250"/>
      <c r="S449" s="250"/>
      <c r="T449" s="250"/>
      <c r="U449" s="250"/>
      <c r="V449" s="296"/>
      <c r="W449" s="250"/>
      <c r="X449" s="250"/>
      <c r="Y449" s="250"/>
    </row>
    <row r="450" spans="1:37" s="238" customFormat="1" x14ac:dyDescent="0.25">
      <c r="A450" s="315"/>
      <c r="B450" s="373"/>
      <c r="C450" s="373"/>
      <c r="D450" s="373"/>
      <c r="E450" s="250"/>
      <c r="F450" s="320"/>
      <c r="G450" s="320"/>
      <c r="H450" s="320"/>
      <c r="I450" s="250"/>
      <c r="K450" s="296"/>
      <c r="L450" s="250"/>
      <c r="M450" s="250"/>
      <c r="N450" s="296"/>
      <c r="O450" s="250"/>
      <c r="P450" s="250"/>
      <c r="Q450" s="250"/>
      <c r="R450" s="250"/>
      <c r="S450" s="250"/>
      <c r="T450" s="250"/>
      <c r="U450" s="250"/>
      <c r="V450" s="296"/>
      <c r="W450" s="250"/>
      <c r="X450" s="250"/>
      <c r="Y450" s="250"/>
    </row>
    <row r="451" spans="1:37" s="1" customFormat="1" x14ac:dyDescent="0.25">
      <c r="A451" s="1" t="s">
        <v>111</v>
      </c>
      <c r="B451" s="1" t="s">
        <v>476</v>
      </c>
      <c r="K451" s="1" t="s">
        <v>476</v>
      </c>
      <c r="U451" s="1" t="s">
        <v>476</v>
      </c>
      <c r="AF451" s="1" t="s">
        <v>476</v>
      </c>
    </row>
    <row r="452" spans="1:37" s="1" customFormat="1" x14ac:dyDescent="0.25">
      <c r="A452" s="1" t="s">
        <v>107</v>
      </c>
      <c r="K452" s="1" t="s">
        <v>265</v>
      </c>
      <c r="U452" s="1" t="s">
        <v>74</v>
      </c>
      <c r="AF452" s="1" t="s">
        <v>73</v>
      </c>
    </row>
    <row r="453" spans="1:37" s="1" customFormat="1" x14ac:dyDescent="0.25">
      <c r="A453" s="1" t="s">
        <v>3</v>
      </c>
      <c r="H453" s="2"/>
      <c r="I453" s="2"/>
      <c r="Q453" s="2"/>
      <c r="R453" s="2"/>
      <c r="U453" s="1" t="s">
        <v>263</v>
      </c>
      <c r="V453" s="1" t="s">
        <v>4</v>
      </c>
      <c r="W453" s="1" t="s">
        <v>5</v>
      </c>
      <c r="X453" s="22" t="s">
        <v>75</v>
      </c>
      <c r="Y453" s="1" t="s">
        <v>6</v>
      </c>
      <c r="Z453" s="1" t="s">
        <v>7</v>
      </c>
      <c r="AA453" s="1" t="s">
        <v>8</v>
      </c>
      <c r="AB453" s="1" t="s">
        <v>9</v>
      </c>
      <c r="AC453" s="1" t="s">
        <v>10</v>
      </c>
      <c r="AF453" s="109" t="s">
        <v>262</v>
      </c>
      <c r="AG453" s="109" t="s">
        <v>260</v>
      </c>
      <c r="AH453" s="111" t="s">
        <v>261</v>
      </c>
      <c r="AI453" s="109" t="s">
        <v>262</v>
      </c>
      <c r="AJ453" s="109" t="s">
        <v>260</v>
      </c>
      <c r="AK453" s="109" t="s">
        <v>261</v>
      </c>
    </row>
    <row r="454" spans="1:37" s="1" customFormat="1" ht="15.75" thickBot="1" x14ac:dyDescent="0.3">
      <c r="A454" s="2" t="s">
        <v>11</v>
      </c>
      <c r="B454" s="17" t="s">
        <v>72</v>
      </c>
      <c r="C454" s="3">
        <v>2022</v>
      </c>
      <c r="D454" s="3">
        <v>2021</v>
      </c>
      <c r="E454" s="3">
        <v>2020</v>
      </c>
      <c r="F454" s="3">
        <v>2019</v>
      </c>
      <c r="G454" s="3">
        <v>2018</v>
      </c>
      <c r="H454" s="3">
        <v>2017</v>
      </c>
      <c r="I454" s="3">
        <v>2016</v>
      </c>
      <c r="K454" s="17" t="s">
        <v>72</v>
      </c>
      <c r="L454" s="3">
        <v>2022</v>
      </c>
      <c r="M454" s="3">
        <v>2021</v>
      </c>
      <c r="N454" s="3">
        <v>2020</v>
      </c>
      <c r="O454" s="3">
        <v>2019</v>
      </c>
      <c r="P454" s="3">
        <v>2018</v>
      </c>
      <c r="Q454" s="3">
        <v>2017</v>
      </c>
      <c r="R454" s="7"/>
      <c r="U454" s="4" t="s">
        <v>12</v>
      </c>
      <c r="V454" s="4" t="s">
        <v>12</v>
      </c>
      <c r="W454" s="4" t="s">
        <v>13</v>
      </c>
      <c r="X454" s="21" t="s">
        <v>72</v>
      </c>
      <c r="Y454" s="3">
        <v>2022</v>
      </c>
      <c r="Z454" s="3">
        <v>2021</v>
      </c>
      <c r="AA454" s="3">
        <v>2020</v>
      </c>
      <c r="AB454" s="3">
        <v>2019</v>
      </c>
      <c r="AC454" s="3">
        <v>2018</v>
      </c>
      <c r="AD454" s="7"/>
      <c r="AE454" s="7"/>
      <c r="AF454" s="110">
        <v>2023</v>
      </c>
      <c r="AG454" s="110">
        <v>2023</v>
      </c>
      <c r="AH454" s="112">
        <v>2023</v>
      </c>
      <c r="AI454" s="110">
        <v>2022</v>
      </c>
      <c r="AJ454" s="110">
        <v>2022</v>
      </c>
      <c r="AK454" s="110">
        <v>2022</v>
      </c>
    </row>
    <row r="455" spans="1:37" x14ac:dyDescent="0.25">
      <c r="A455" s="14" t="s">
        <v>15</v>
      </c>
      <c r="B455" s="16">
        <f>C455+AG455-AJ455</f>
        <v>-3.6000000000000005</v>
      </c>
      <c r="C455" s="9">
        <v>-3.5</v>
      </c>
      <c r="D455" s="9">
        <v>-3.3</v>
      </c>
      <c r="E455" s="9">
        <v>-7.9</v>
      </c>
      <c r="F455" s="9">
        <v>-7.6</v>
      </c>
      <c r="G455" s="9">
        <v>-2.5</v>
      </c>
      <c r="H455" s="9">
        <v>-2.5</v>
      </c>
      <c r="I455" s="61">
        <v>-3.8</v>
      </c>
      <c r="J455" s="57"/>
      <c r="K455" s="58">
        <f>B455/$B$23</f>
        <v>-1.8861993083935874E-3</v>
      </c>
      <c r="L455" s="58">
        <f>C455/$C$23</f>
        <v>-2.0451092672665655E-3</v>
      </c>
      <c r="M455" s="58">
        <f>D455/$D$23</f>
        <v>-1.9856790420602921E-3</v>
      </c>
      <c r="N455" s="58">
        <f>E455/$E$23</f>
        <v>-4.941824096084073E-3</v>
      </c>
      <c r="O455" s="58">
        <f>F455/$F$23</f>
        <v>-4.8574715582257438E-3</v>
      </c>
      <c r="P455" s="58">
        <f>G455/$G$23</f>
        <v>-1.6893033313061692E-3</v>
      </c>
      <c r="Q455" s="58">
        <f>H455/$H$23</f>
        <v>-2.082986168971838E-3</v>
      </c>
      <c r="R455" s="58"/>
      <c r="S455" s="57"/>
      <c r="T455" s="57"/>
      <c r="U455" s="58">
        <f>_xlfn.RRI(5.5,H455,B455)</f>
        <v>6.8545895355792696E-2</v>
      </c>
      <c r="V455" s="58">
        <f>_xlfn.RRI(5,H455,C455)</f>
        <v>6.9610375725068785E-2</v>
      </c>
      <c r="W455" s="58">
        <f>AVERAGE(X455:AC455)</f>
        <v>-0.26439544872922627</v>
      </c>
      <c r="X455" s="58">
        <f t="shared" ref="X455:AC457" si="344">(C455-B455)/C455</f>
        <v>-2.8571428571428723E-2</v>
      </c>
      <c r="Y455" s="58">
        <f t="shared" si="344"/>
        <v>-6.0606060606060663E-2</v>
      </c>
      <c r="Z455" s="58">
        <f t="shared" si="344"/>
        <v>0.58227848101265822</v>
      </c>
      <c r="AA455" s="58">
        <f t="shared" si="344"/>
        <v>-3.9473684210526411E-2</v>
      </c>
      <c r="AB455" s="58">
        <f t="shared" si="344"/>
        <v>-2.04</v>
      </c>
      <c r="AC455" s="58">
        <f t="shared" si="344"/>
        <v>0</v>
      </c>
      <c r="AD455" s="58"/>
      <c r="AE455" s="57"/>
      <c r="AF455" s="132"/>
      <c r="AG455" s="9">
        <v>-3.4</v>
      </c>
      <c r="AH455" s="167">
        <v>-3.7</v>
      </c>
      <c r="AI455" s="53"/>
      <c r="AJ455" s="9">
        <v>-3.3</v>
      </c>
      <c r="AK455" s="9">
        <v>-3.5</v>
      </c>
    </row>
    <row r="456" spans="1:37" x14ac:dyDescent="0.25">
      <c r="A456" s="14" t="s">
        <v>16</v>
      </c>
      <c r="B456" s="16">
        <f>C456+AG456-AJ456</f>
        <v>248.09999999999997</v>
      </c>
      <c r="C456" s="10">
        <v>219.2</v>
      </c>
      <c r="D456" s="10">
        <v>186.1</v>
      </c>
      <c r="E456" s="10">
        <v>183</v>
      </c>
      <c r="F456" s="10">
        <v>171.5</v>
      </c>
      <c r="G456" s="10">
        <v>192.2</v>
      </c>
      <c r="H456" s="10">
        <v>161.69999999999999</v>
      </c>
      <c r="I456" s="337">
        <v>140.6</v>
      </c>
      <c r="J456" s="57"/>
      <c r="K456" s="59">
        <f>B456/$B$23</f>
        <v>0.12999056900345804</v>
      </c>
      <c r="L456" s="59">
        <f>C456/$C$23</f>
        <v>0.12808227182423745</v>
      </c>
      <c r="M456" s="59">
        <f>D456/$D$23</f>
        <v>0.11198026355376375</v>
      </c>
      <c r="N456" s="59">
        <f>E456/$E$23</f>
        <v>0.11447516577004878</v>
      </c>
      <c r="O456" s="59">
        <f>F456/$F$23</f>
        <v>0.10961268055733094</v>
      </c>
      <c r="P456" s="59">
        <f>G456/$G$23</f>
        <v>0.12987364011081828</v>
      </c>
      <c r="Q456" s="59">
        <f>H456/$H$23</f>
        <v>0.13472754540909848</v>
      </c>
      <c r="R456" s="80"/>
      <c r="S456" s="57"/>
      <c r="T456" s="57"/>
      <c r="U456" s="59">
        <f>_xlfn.RRI(5.5,H456,B456)</f>
        <v>8.094362466686289E-2</v>
      </c>
      <c r="V456" s="59">
        <f>_xlfn.RRI(5,H456,C456)</f>
        <v>6.2737745969493108E-2</v>
      </c>
      <c r="W456" s="59">
        <f t="shared" ref="W456:W510" si="345">AVERAGE(X456:AC456)</f>
        <v>-7.910338426320361E-2</v>
      </c>
      <c r="X456" s="59">
        <f t="shared" si="344"/>
        <v>-0.13184306569343057</v>
      </c>
      <c r="Y456" s="59">
        <f t="shared" si="344"/>
        <v>-0.17786136485760343</v>
      </c>
      <c r="Z456" s="59">
        <f t="shared" si="344"/>
        <v>-1.6939890710382481E-2</v>
      </c>
      <c r="AA456" s="59">
        <f t="shared" si="344"/>
        <v>-6.7055393586005832E-2</v>
      </c>
      <c r="AB456" s="59">
        <f t="shared" si="344"/>
        <v>0.10770031217481785</v>
      </c>
      <c r="AC456" s="59">
        <f t="shared" si="344"/>
        <v>-0.1886209029066172</v>
      </c>
      <c r="AD456" s="80"/>
      <c r="AE456" s="57"/>
      <c r="AF456" s="133"/>
      <c r="AG456" s="10">
        <v>261.7</v>
      </c>
      <c r="AH456" s="149">
        <v>245.3</v>
      </c>
      <c r="AI456" s="133"/>
      <c r="AJ456" s="10">
        <v>232.8</v>
      </c>
      <c r="AK456" s="10">
        <v>227</v>
      </c>
    </row>
    <row r="457" spans="1:37" ht="15.75" thickBot="1" x14ac:dyDescent="0.3">
      <c r="A457" s="6" t="s">
        <v>76</v>
      </c>
      <c r="B457" s="102">
        <f>SUM(B455:B456)</f>
        <v>244.49999999999997</v>
      </c>
      <c r="C457" s="102">
        <f>SUM(C455:C456)</f>
        <v>215.7</v>
      </c>
      <c r="D457" s="103">
        <f>SUM(D455:D456)</f>
        <v>182.79999999999998</v>
      </c>
      <c r="E457" s="103">
        <f t="shared" ref="E457:H457" si="346">SUM(E455:E456)</f>
        <v>175.1</v>
      </c>
      <c r="F457" s="103">
        <f t="shared" si="346"/>
        <v>163.9</v>
      </c>
      <c r="G457" s="103">
        <f t="shared" si="346"/>
        <v>189.7</v>
      </c>
      <c r="H457" s="103">
        <f t="shared" si="346"/>
        <v>159.19999999999999</v>
      </c>
      <c r="I457" s="103">
        <f>SUM(I455:I456)</f>
        <v>136.79999999999998</v>
      </c>
      <c r="J457" s="57"/>
      <c r="K457" s="19">
        <f>B457/$B$23</f>
        <v>0.12810436969506445</v>
      </c>
      <c r="L457" s="19">
        <f>C457/$C$23</f>
        <v>0.12603716255697089</v>
      </c>
      <c r="M457" s="19">
        <f>D457/$D$23</f>
        <v>0.10999458451170345</v>
      </c>
      <c r="N457" s="19">
        <f>E457/$E$23</f>
        <v>0.10953334167396471</v>
      </c>
      <c r="O457" s="19">
        <f>F457/$F$23</f>
        <v>0.1047552089991052</v>
      </c>
      <c r="P457" s="19">
        <f>G457/$G$23</f>
        <v>0.1281843367795121</v>
      </c>
      <c r="Q457" s="19">
        <f>H457/$H$23</f>
        <v>0.13264455924012664</v>
      </c>
      <c r="R457" s="32"/>
      <c r="S457" s="57"/>
      <c r="T457" s="57"/>
      <c r="U457" s="214">
        <f>_xlfn.RRI(5.5,H457,B457)</f>
        <v>8.1133280360158988E-2</v>
      </c>
      <c r="V457" s="214">
        <f>_xlfn.RRI(5,H457,C457)</f>
        <v>6.2628394073854121E-2</v>
      </c>
      <c r="W457" s="214">
        <f t="shared" si="345"/>
        <v>-8.0230802223865083E-2</v>
      </c>
      <c r="X457" s="214">
        <f t="shared" si="344"/>
        <v>-0.13351877607788587</v>
      </c>
      <c r="Y457" s="214">
        <f t="shared" si="344"/>
        <v>-0.17997811816192566</v>
      </c>
      <c r="Z457" s="214">
        <f t="shared" si="344"/>
        <v>-4.3974871501998795E-2</v>
      </c>
      <c r="AA457" s="214">
        <f t="shared" si="344"/>
        <v>-6.8334350213544767E-2</v>
      </c>
      <c r="AB457" s="214">
        <f t="shared" si="344"/>
        <v>0.13600421718502892</v>
      </c>
      <c r="AC457" s="214">
        <f t="shared" si="344"/>
        <v>-0.19158291457286433</v>
      </c>
      <c r="AD457" s="80"/>
      <c r="AE457" s="57"/>
      <c r="AF457" s="215"/>
      <c r="AG457" s="215">
        <f>SUM(AG455:AG456)</f>
        <v>258.3</v>
      </c>
      <c r="AH457" s="216">
        <f t="shared" ref="AH457:AK457" si="347">SUM(AH455:AH456)</f>
        <v>241.60000000000002</v>
      </c>
      <c r="AI457" s="215"/>
      <c r="AJ457" s="215">
        <f t="shared" si="347"/>
        <v>229.5</v>
      </c>
      <c r="AK457" s="215">
        <f t="shared" si="347"/>
        <v>223.5</v>
      </c>
    </row>
    <row r="458" spans="1:37" ht="15.75" thickTop="1" x14ac:dyDescent="0.25">
      <c r="B458" s="50"/>
      <c r="C458" s="61"/>
      <c r="D458" s="61"/>
      <c r="E458" s="61"/>
      <c r="F458" s="61"/>
      <c r="G458" s="61"/>
      <c r="H458" s="61"/>
      <c r="I458" s="61"/>
      <c r="J458" s="57"/>
      <c r="K458" s="80"/>
      <c r="L458" s="80"/>
      <c r="M458" s="80"/>
      <c r="N458" s="80"/>
      <c r="O458" s="80"/>
      <c r="P458" s="80"/>
      <c r="Q458" s="80"/>
      <c r="R458" s="80"/>
      <c r="S458" s="57"/>
      <c r="T458" s="57"/>
      <c r="U458" s="58"/>
      <c r="V458" s="58"/>
      <c r="W458" s="58"/>
      <c r="X458" s="58"/>
      <c r="Y458" s="58"/>
      <c r="Z458" s="58"/>
      <c r="AA458" s="58"/>
      <c r="AB458" s="58"/>
      <c r="AC458" s="58"/>
      <c r="AD458" s="58"/>
      <c r="AE458" s="57"/>
      <c r="AF458" s="132"/>
      <c r="AG458" s="132"/>
      <c r="AH458" s="168"/>
      <c r="AI458" s="132"/>
      <c r="AJ458" s="132"/>
      <c r="AK458" s="132"/>
    </row>
    <row r="459" spans="1:37" x14ac:dyDescent="0.25">
      <c r="A459" s="14" t="s">
        <v>18</v>
      </c>
      <c r="B459" s="16">
        <f>C459+AG459-AK459</f>
        <v>384.4</v>
      </c>
      <c r="C459" s="9">
        <v>318.5</v>
      </c>
      <c r="D459" s="9">
        <v>266.8</v>
      </c>
      <c r="E459" s="9">
        <v>233.7</v>
      </c>
      <c r="F459" s="9">
        <v>237</v>
      </c>
      <c r="G459" s="9">
        <v>199.5</v>
      </c>
      <c r="H459" s="9">
        <v>173.6</v>
      </c>
      <c r="I459" s="337">
        <v>157.69999999999999</v>
      </c>
      <c r="J459" s="57"/>
      <c r="K459" s="80">
        <f>B459/$B$23</f>
        <v>0.20140417059624857</v>
      </c>
      <c r="L459" s="80">
        <f>C459/$C$23</f>
        <v>0.18610494332125743</v>
      </c>
      <c r="M459" s="80">
        <f>D459/$D$23</f>
        <v>0.16053914194596547</v>
      </c>
      <c r="N459" s="80">
        <f>E459/$E$23</f>
        <v>0.14619041661453769</v>
      </c>
      <c r="O459" s="80">
        <f>F459/$F$23</f>
        <v>0.1514764156973028</v>
      </c>
      <c r="P459" s="80">
        <f>G459/$G$23</f>
        <v>0.13480640583823231</v>
      </c>
      <c r="Q459" s="80">
        <f>H459/$H$23</f>
        <v>0.14464255957340441</v>
      </c>
      <c r="R459" s="80"/>
      <c r="S459" s="57"/>
      <c r="T459" s="57"/>
      <c r="U459" s="58">
        <f>_xlfn.RRI(5.5,H459,B459)</f>
        <v>0.1554994844038815</v>
      </c>
      <c r="V459" s="58">
        <f>_xlfn.RRI(5,H459,C459)</f>
        <v>0.12904679733078961</v>
      </c>
      <c r="W459" s="58">
        <f t="shared" si="345"/>
        <v>-0.14425991434786201</v>
      </c>
      <c r="X459" s="58">
        <f t="shared" ref="X459:AC463" si="348">(C459-B459)/C459</f>
        <v>-0.20690737833594969</v>
      </c>
      <c r="Y459" s="58">
        <f t="shared" si="348"/>
        <v>-0.19377811094452768</v>
      </c>
      <c r="Z459" s="58">
        <f t="shared" si="348"/>
        <v>-0.14163457424047934</v>
      </c>
      <c r="AA459" s="58">
        <f t="shared" si="348"/>
        <v>1.3924050632911441E-2</v>
      </c>
      <c r="AB459" s="58">
        <f t="shared" si="348"/>
        <v>-0.18796992481203006</v>
      </c>
      <c r="AC459" s="58">
        <f t="shared" si="348"/>
        <v>-0.14919354838709681</v>
      </c>
      <c r="AD459" s="58"/>
      <c r="AE459" s="57"/>
      <c r="AF459" s="132"/>
      <c r="AG459" s="9">
        <v>341.4</v>
      </c>
      <c r="AH459" s="148">
        <v>345</v>
      </c>
      <c r="AI459" s="132"/>
      <c r="AJ459" s="9">
        <v>279.5</v>
      </c>
      <c r="AK459" s="9">
        <v>275.5</v>
      </c>
    </row>
    <row r="460" spans="1:37" x14ac:dyDescent="0.25">
      <c r="A460" s="14" t="s">
        <v>19</v>
      </c>
      <c r="B460" s="16">
        <f>C460+AG460-AK460</f>
        <v>9.1999999999999975</v>
      </c>
      <c r="C460" s="9">
        <v>10.199999999999999</v>
      </c>
      <c r="D460" s="9">
        <v>12.6</v>
      </c>
      <c r="E460" s="9">
        <v>12.4</v>
      </c>
      <c r="F460" s="9">
        <v>12</v>
      </c>
      <c r="G460" s="9">
        <v>16</v>
      </c>
      <c r="H460" s="9">
        <v>11.2</v>
      </c>
      <c r="I460" s="337">
        <v>14.2</v>
      </c>
      <c r="J460" s="57"/>
      <c r="K460" s="80">
        <f>B460/$B$23</f>
        <v>4.8202871214502773E-3</v>
      </c>
      <c r="L460" s="80">
        <f>C460/$C$23</f>
        <v>5.9600327217482754E-3</v>
      </c>
      <c r="M460" s="80">
        <f>D460/$D$23</f>
        <v>7.5816836151392977E-3</v>
      </c>
      <c r="N460" s="80">
        <f>E460/$E$23</f>
        <v>7.7567871887901912E-3</v>
      </c>
      <c r="O460" s="80">
        <f>F460/$F$23</f>
        <v>7.6696919340406488E-3</v>
      </c>
      <c r="P460" s="80">
        <f>G460/$G$23</f>
        <v>1.0811541320359483E-2</v>
      </c>
      <c r="Q460" s="80">
        <f>H460/$H$23</f>
        <v>9.331778036993834E-3</v>
      </c>
      <c r="R460" s="80"/>
      <c r="S460" s="57"/>
      <c r="T460" s="57"/>
      <c r="U460" s="58">
        <f>_xlfn.RRI(5.5,H460,B460)</f>
        <v>-3.5133479605173989E-2</v>
      </c>
      <c r="V460" s="58">
        <f>_xlfn.RRI(5,H460,C460)</f>
        <v>-1.8531354828478674E-2</v>
      </c>
      <c r="W460" s="58">
        <f t="shared" si="345"/>
        <v>1.0080268666606449E-2</v>
      </c>
      <c r="X460" s="58">
        <f t="shared" si="348"/>
        <v>9.8039215686274689E-2</v>
      </c>
      <c r="Y460" s="58">
        <f t="shared" si="348"/>
        <v>0.19047619047619052</v>
      </c>
      <c r="Z460" s="58">
        <f t="shared" si="348"/>
        <v>-1.6129032258064457E-2</v>
      </c>
      <c r="AA460" s="58">
        <f t="shared" si="348"/>
        <v>-3.3333333333333361E-2</v>
      </c>
      <c r="AB460" s="58">
        <f t="shared" si="348"/>
        <v>0.25</v>
      </c>
      <c r="AC460" s="58">
        <f t="shared" si="348"/>
        <v>-0.42857142857142866</v>
      </c>
      <c r="AD460" s="58"/>
      <c r="AE460" s="57"/>
      <c r="AF460" s="132"/>
      <c r="AG460" s="9">
        <v>10.1</v>
      </c>
      <c r="AH460" s="148">
        <v>11.8</v>
      </c>
      <c r="AI460" s="132"/>
      <c r="AJ460" s="9">
        <v>11.1</v>
      </c>
      <c r="AK460" s="9">
        <v>11.1</v>
      </c>
    </row>
    <row r="461" spans="1:37" x14ac:dyDescent="0.25">
      <c r="A461" s="14" t="s">
        <v>20</v>
      </c>
      <c r="B461" s="16">
        <f>C461+AG461-AK461</f>
        <v>133.4</v>
      </c>
      <c r="C461" s="9">
        <v>130.4</v>
      </c>
      <c r="D461" s="9">
        <v>112.1</v>
      </c>
      <c r="E461" s="9">
        <v>99.3</v>
      </c>
      <c r="F461" s="9">
        <v>113.4</v>
      </c>
      <c r="G461" s="9">
        <v>128.1</v>
      </c>
      <c r="H461" s="9">
        <v>98.4</v>
      </c>
      <c r="I461" s="337">
        <v>103.6</v>
      </c>
      <c r="J461" s="57"/>
      <c r="K461" s="80">
        <f>B461/$B$23</f>
        <v>6.9894163261029041E-2</v>
      </c>
      <c r="L461" s="80">
        <f>C461/$C$23</f>
        <v>7.6194928129017181E-2</v>
      </c>
      <c r="M461" s="80">
        <f>D461/$D$23</f>
        <v>6.7452915337866293E-2</v>
      </c>
      <c r="N461" s="80">
        <f>E461/$E$23</f>
        <v>6.211685224571499E-2</v>
      </c>
      <c r="O461" s="80">
        <f>F461/$F$23</f>
        <v>7.247858877668413E-2</v>
      </c>
      <c r="P461" s="80">
        <f>G461/$G$23</f>
        <v>8.6559902696128108E-2</v>
      </c>
      <c r="Q461" s="80">
        <f>H461/$H$23</f>
        <v>8.1986335610731542E-2</v>
      </c>
      <c r="R461" s="80"/>
      <c r="S461" s="57"/>
      <c r="T461" s="57"/>
      <c r="U461" s="58">
        <f>_xlfn.RRI(5.5,H461,B461)</f>
        <v>5.6888625269295057E-2</v>
      </c>
      <c r="V461" s="58">
        <f>_xlfn.RRI(5,H461,C461)</f>
        <v>5.7928942504797298E-2</v>
      </c>
      <c r="W461" s="58">
        <f t="shared" si="345"/>
        <v>-6.2982016263179508E-2</v>
      </c>
      <c r="X461" s="58">
        <f t="shared" si="348"/>
        <v>-2.3006134969325152E-2</v>
      </c>
      <c r="Y461" s="58">
        <f t="shared" si="348"/>
        <v>-0.16324710080285471</v>
      </c>
      <c r="Z461" s="58">
        <f t="shared" si="348"/>
        <v>-0.12890231621349443</v>
      </c>
      <c r="AA461" s="58">
        <f t="shared" si="348"/>
        <v>0.1243386243386244</v>
      </c>
      <c r="AB461" s="58">
        <f t="shared" si="348"/>
        <v>0.11475409836065566</v>
      </c>
      <c r="AC461" s="58">
        <f t="shared" si="348"/>
        <v>-0.30182926829268281</v>
      </c>
      <c r="AD461" s="58"/>
      <c r="AE461" s="57"/>
      <c r="AF461" s="132"/>
      <c r="AG461" s="9">
        <v>125.5</v>
      </c>
      <c r="AH461" s="148">
        <v>126.1</v>
      </c>
      <c r="AI461" s="132"/>
      <c r="AJ461" s="9">
        <v>120.5</v>
      </c>
      <c r="AK461" s="9">
        <v>122.5</v>
      </c>
    </row>
    <row r="462" spans="1:37" x14ac:dyDescent="0.25">
      <c r="A462" s="14" t="s">
        <v>21</v>
      </c>
      <c r="B462" s="49">
        <f>C462+AG462-AK462</f>
        <v>-127.9</v>
      </c>
      <c r="C462" s="10">
        <v>-103.4</v>
      </c>
      <c r="D462" s="10">
        <v>-77.7</v>
      </c>
      <c r="E462" s="10">
        <v>-49.6</v>
      </c>
      <c r="F462" s="10">
        <v>-63.3</v>
      </c>
      <c r="G462" s="10">
        <v>-58.9</v>
      </c>
      <c r="H462" s="10">
        <v>-46.3</v>
      </c>
      <c r="I462" s="337">
        <v>-46.8</v>
      </c>
      <c r="J462" s="57"/>
      <c r="K462" s="59">
        <f>B462/$B$23</f>
        <v>-6.7012469873205499E-2</v>
      </c>
      <c r="L462" s="59">
        <f>C462/$C$23</f>
        <v>-6.041837092438939E-2</v>
      </c>
      <c r="M462" s="59">
        <f>D462/$D$23</f>
        <v>-4.6753715626692338E-2</v>
      </c>
      <c r="N462" s="59">
        <f>E462/$E$23</f>
        <v>-3.1027148755160765E-2</v>
      </c>
      <c r="O462" s="59">
        <f>F462/$F$23</f>
        <v>-4.0457624952064418E-2</v>
      </c>
      <c r="P462" s="59">
        <f>G462/$G$23</f>
        <v>-3.9799986485573348E-2</v>
      </c>
      <c r="Q462" s="59">
        <f>H462/$H$23</f>
        <v>-3.8576903849358433E-2</v>
      </c>
      <c r="R462" s="80"/>
      <c r="S462" s="57"/>
      <c r="T462" s="57"/>
      <c r="U462" s="59">
        <f>_xlfn.RRI(5.5,H462,B462)</f>
        <v>0.20291368107378149</v>
      </c>
      <c r="V462" s="59">
        <f>_xlfn.RRI(5,H462,C462)</f>
        <v>0.17432392638022898</v>
      </c>
      <c r="W462" s="59">
        <f t="shared" si="345"/>
        <v>-0.21077448522134343</v>
      </c>
      <c r="X462" s="59">
        <f t="shared" si="348"/>
        <v>-0.2369439071566731</v>
      </c>
      <c r="Y462" s="59">
        <f t="shared" si="348"/>
        <v>-0.33075933075933078</v>
      </c>
      <c r="Z462" s="59">
        <f t="shared" si="348"/>
        <v>-0.56653225806451613</v>
      </c>
      <c r="AA462" s="59">
        <f t="shared" si="348"/>
        <v>0.21642969984202207</v>
      </c>
      <c r="AB462" s="59">
        <f t="shared" si="348"/>
        <v>-7.4702886247877742E-2</v>
      </c>
      <c r="AC462" s="59">
        <f t="shared" si="348"/>
        <v>-0.27213822894168471</v>
      </c>
      <c r="AD462" s="80"/>
      <c r="AE462" s="57"/>
      <c r="AF462" s="133"/>
      <c r="AG462" s="10">
        <v>-103.9</v>
      </c>
      <c r="AH462" s="149">
        <v>-103.7</v>
      </c>
      <c r="AI462" s="133"/>
      <c r="AJ462" s="10">
        <v>-84.5</v>
      </c>
      <c r="AK462" s="10">
        <v>-79.400000000000006</v>
      </c>
    </row>
    <row r="463" spans="1:37" ht="15.75" thickBot="1" x14ac:dyDescent="0.3">
      <c r="A463" s="6" t="s">
        <v>77</v>
      </c>
      <c r="B463" s="102">
        <f>SUM(B459:B462)</f>
        <v>399.1</v>
      </c>
      <c r="C463" s="102">
        <f>SUM(C459:C462)</f>
        <v>355.70000000000005</v>
      </c>
      <c r="D463" s="103">
        <f t="shared" ref="D463:H463" si="349">SUM(D459:D462)</f>
        <v>313.8</v>
      </c>
      <c r="E463" s="103">
        <f t="shared" si="349"/>
        <v>295.79999999999995</v>
      </c>
      <c r="F463" s="103">
        <f t="shared" si="349"/>
        <v>299.09999999999997</v>
      </c>
      <c r="G463" s="103">
        <f t="shared" si="349"/>
        <v>284.70000000000005</v>
      </c>
      <c r="H463" s="103">
        <f t="shared" si="349"/>
        <v>236.89999999999998</v>
      </c>
      <c r="I463" s="103">
        <f>SUM(I459:I462)</f>
        <v>228.7</v>
      </c>
      <c r="J463" s="57"/>
      <c r="K463" s="19">
        <f>B463/$B$23</f>
        <v>0.20910615110552241</v>
      </c>
      <c r="L463" s="19">
        <f>C463/$C$23</f>
        <v>0.20784153324763352</v>
      </c>
      <c r="M463" s="19">
        <f>D463/$D$23</f>
        <v>0.1888200252722787</v>
      </c>
      <c r="N463" s="19">
        <f>E463/$E$23</f>
        <v>0.18503690729388211</v>
      </c>
      <c r="O463" s="19">
        <f>F463/$F$23</f>
        <v>0.19116707145596315</v>
      </c>
      <c r="P463" s="19">
        <f>G463/$G$23</f>
        <v>0.19237786336914658</v>
      </c>
      <c r="Q463" s="19">
        <f>H463/$H$23</f>
        <v>0.19738376937177135</v>
      </c>
      <c r="R463" s="32"/>
      <c r="S463" s="57"/>
      <c r="T463" s="57"/>
      <c r="U463" s="214">
        <f>_xlfn.RRI(5.5,H463,B463)</f>
        <v>9.9473708334730793E-2</v>
      </c>
      <c r="V463" s="214">
        <f>_xlfn.RRI(5,H463,C463)</f>
        <v>8.4685315966525287E-2</v>
      </c>
      <c r="W463" s="214">
        <f t="shared" si="345"/>
        <v>-9.2951459205828854E-2</v>
      </c>
      <c r="X463" s="214">
        <f t="shared" si="348"/>
        <v>-0.12201293224627487</v>
      </c>
      <c r="Y463" s="214">
        <f t="shared" si="348"/>
        <v>-0.13352453792224356</v>
      </c>
      <c r="Z463" s="214">
        <f t="shared" si="348"/>
        <v>-6.0851926977687827E-2</v>
      </c>
      <c r="AA463" s="214">
        <f t="shared" si="348"/>
        <v>1.1033099297893719E-2</v>
      </c>
      <c r="AB463" s="214">
        <f t="shared" si="348"/>
        <v>-5.0579557428872213E-2</v>
      </c>
      <c r="AC463" s="214">
        <f t="shared" si="348"/>
        <v>-0.20177289995778841</v>
      </c>
      <c r="AD463" s="80"/>
      <c r="AE463" s="57"/>
      <c r="AF463" s="215"/>
      <c r="AG463" s="215">
        <f>SUM(AG459:AG462)</f>
        <v>373.1</v>
      </c>
      <c r="AH463" s="216">
        <f t="shared" ref="AH463:AK463" si="350">SUM(AH459:AH462)</f>
        <v>379.2</v>
      </c>
      <c r="AI463" s="215"/>
      <c r="AJ463" s="215">
        <f t="shared" si="350"/>
        <v>326.60000000000002</v>
      </c>
      <c r="AK463" s="215">
        <f t="shared" si="350"/>
        <v>329.70000000000005</v>
      </c>
    </row>
    <row r="464" spans="1:37" ht="15.75" thickTop="1" x14ac:dyDescent="0.25">
      <c r="AH464" s="217"/>
    </row>
    <row r="465" spans="1:37" x14ac:dyDescent="0.25">
      <c r="A465" s="14" t="s">
        <v>17</v>
      </c>
      <c r="B465" s="118">
        <f>AG465+AH465+C465-(AJ465+AK465)</f>
        <v>0</v>
      </c>
      <c r="C465" s="8">
        <v>0</v>
      </c>
      <c r="D465" s="8">
        <v>0.1</v>
      </c>
      <c r="E465" s="8">
        <v>1.2</v>
      </c>
      <c r="F465" s="8">
        <v>1.9</v>
      </c>
      <c r="G465" s="8">
        <v>2.8</v>
      </c>
      <c r="H465" s="8">
        <v>1.7</v>
      </c>
      <c r="I465" s="336">
        <v>3.8</v>
      </c>
      <c r="J465" s="57"/>
      <c r="K465" s="58">
        <f>B465/$B$23</f>
        <v>0</v>
      </c>
      <c r="L465" s="58">
        <f>C465/$C$23</f>
        <v>0</v>
      </c>
      <c r="M465" s="58">
        <f>D465/$D$23</f>
        <v>6.0172092183645224E-5</v>
      </c>
      <c r="N465" s="58">
        <f>E465/$E$23</f>
        <v>7.5065682472163131E-4</v>
      </c>
      <c r="O465" s="58">
        <f>F465/$F$23</f>
        <v>1.2143678895564359E-3</v>
      </c>
      <c r="P465" s="58">
        <f>G465/$G$23</f>
        <v>1.8920197310629094E-3</v>
      </c>
      <c r="Q465" s="58">
        <f>H465/$H$23</f>
        <v>1.4164305949008497E-3</v>
      </c>
      <c r="R465" s="58"/>
      <c r="S465" s="57"/>
      <c r="T465" s="57"/>
      <c r="U465" s="58"/>
      <c r="V465" s="58"/>
      <c r="W465" s="58"/>
      <c r="X465" s="58"/>
      <c r="Y465" s="58"/>
      <c r="Z465" s="58"/>
      <c r="AA465" s="58"/>
      <c r="AB465" s="58"/>
      <c r="AC465" s="58"/>
      <c r="AD465" s="58"/>
      <c r="AE465" s="57"/>
      <c r="AF465" s="57"/>
      <c r="AG465" s="61">
        <v>0</v>
      </c>
      <c r="AH465" s="145">
        <v>0</v>
      </c>
      <c r="AI465" s="61"/>
      <c r="AJ465" s="61">
        <v>0</v>
      </c>
      <c r="AK465" s="61">
        <v>0</v>
      </c>
    </row>
    <row r="466" spans="1:37" x14ac:dyDescent="0.25">
      <c r="A466" s="14" t="s">
        <v>22</v>
      </c>
      <c r="B466" s="118">
        <f>AG466+AH466+C466-(AJ466+AK466)</f>
        <v>0</v>
      </c>
      <c r="C466" s="8">
        <v>0</v>
      </c>
      <c r="D466" s="8">
        <v>0</v>
      </c>
      <c r="E466" s="8">
        <v>0</v>
      </c>
      <c r="F466" s="8">
        <v>0</v>
      </c>
      <c r="G466" s="8">
        <v>0</v>
      </c>
      <c r="H466" s="222">
        <v>0</v>
      </c>
      <c r="I466" s="336">
        <v>8.9</v>
      </c>
      <c r="J466" s="57"/>
      <c r="K466" s="58">
        <f>B466/$B$23</f>
        <v>0</v>
      </c>
      <c r="L466" s="58">
        <f>C466/$C$23</f>
        <v>0</v>
      </c>
      <c r="M466" s="58">
        <f>D466/$D$23</f>
        <v>0</v>
      </c>
      <c r="N466" s="58">
        <f>E466/$E$23</f>
        <v>0</v>
      </c>
      <c r="O466" s="58">
        <f>F466/$F$23</f>
        <v>0</v>
      </c>
      <c r="P466" s="58">
        <f>G466/$G$23</f>
        <v>0</v>
      </c>
      <c r="Q466" s="58">
        <f>H466/$H$23</f>
        <v>0</v>
      </c>
      <c r="R466" s="58"/>
      <c r="S466" s="57"/>
      <c r="T466" s="57"/>
      <c r="U466" s="58"/>
      <c r="V466" s="58"/>
      <c r="W466" s="58"/>
      <c r="X466" s="58"/>
      <c r="Y466" s="58"/>
      <c r="Z466" s="58"/>
      <c r="AA466" s="58"/>
      <c r="AB466" s="58"/>
      <c r="AC466" s="58"/>
      <c r="AD466" s="58"/>
      <c r="AE466" s="57"/>
      <c r="AF466" s="57"/>
      <c r="AG466" s="61">
        <v>0</v>
      </c>
      <c r="AH466" s="145">
        <v>0</v>
      </c>
      <c r="AI466" s="61"/>
      <c r="AJ466" s="61">
        <v>0</v>
      </c>
      <c r="AK466" s="61">
        <v>0</v>
      </c>
    </row>
    <row r="467" spans="1:37" x14ac:dyDescent="0.25">
      <c r="A467" s="14" t="s">
        <v>24</v>
      </c>
      <c r="B467" s="189">
        <f>AG467+AH467+C467-(AJ467+AK467)</f>
        <v>0</v>
      </c>
      <c r="C467" s="190">
        <v>0</v>
      </c>
      <c r="D467" s="190">
        <v>-0.1</v>
      </c>
      <c r="E467" s="190">
        <v>0</v>
      </c>
      <c r="F467" s="190">
        <v>0</v>
      </c>
      <c r="G467" s="190">
        <v>0</v>
      </c>
      <c r="H467" s="223">
        <v>0</v>
      </c>
      <c r="I467" s="113">
        <v>0</v>
      </c>
      <c r="J467" s="57"/>
      <c r="K467" s="58">
        <f>B467/$B$23</f>
        <v>0</v>
      </c>
      <c r="L467" s="58">
        <f>C467/$C$23</f>
        <v>0</v>
      </c>
      <c r="M467" s="58">
        <f>D467/$D$23</f>
        <v>-6.0172092183645224E-5</v>
      </c>
      <c r="N467" s="58">
        <f>E467/$E$23</f>
        <v>0</v>
      </c>
      <c r="O467" s="58">
        <f>F467/$F$23</f>
        <v>0</v>
      </c>
      <c r="P467" s="58">
        <f>G467/$G$23</f>
        <v>0</v>
      </c>
      <c r="Q467" s="58">
        <f>H467/$H$23</f>
        <v>0</v>
      </c>
      <c r="R467" s="58"/>
      <c r="S467" s="57"/>
      <c r="T467" s="57"/>
      <c r="U467" s="58"/>
      <c r="V467" s="58"/>
      <c r="W467" s="58"/>
      <c r="X467" s="58"/>
      <c r="Y467" s="58"/>
      <c r="Z467" s="58"/>
      <c r="AA467" s="58"/>
      <c r="AB467" s="58"/>
      <c r="AC467" s="58"/>
      <c r="AD467" s="58"/>
      <c r="AE467" s="57"/>
      <c r="AF467" s="57"/>
      <c r="AG467" s="61">
        <v>0</v>
      </c>
      <c r="AH467" s="145">
        <v>0</v>
      </c>
      <c r="AI467" s="61"/>
      <c r="AJ467" s="61">
        <v>0</v>
      </c>
      <c r="AK467" s="61">
        <v>0</v>
      </c>
    </row>
    <row r="468" spans="1:37" x14ac:dyDescent="0.25">
      <c r="A468" s="188" t="s">
        <v>25</v>
      </c>
      <c r="B468" s="187">
        <f>AG468+AH468+C468-(AJ468+AK468)</f>
        <v>-55.5</v>
      </c>
      <c r="C468" s="113">
        <v>3.1</v>
      </c>
      <c r="D468" s="113">
        <v>61</v>
      </c>
      <c r="E468" s="113">
        <v>38.5</v>
      </c>
      <c r="F468" s="113">
        <v>0</v>
      </c>
      <c r="G468" s="113">
        <v>0</v>
      </c>
      <c r="H468" s="113">
        <v>0</v>
      </c>
      <c r="I468" s="113">
        <v>0</v>
      </c>
      <c r="J468" s="57"/>
      <c r="K468" s="80">
        <f>B468/$B$23</f>
        <v>-2.9078906004401137E-2</v>
      </c>
      <c r="L468" s="80">
        <f>C468/$C$23</f>
        <v>1.8113824938646721E-3</v>
      </c>
      <c r="M468" s="80">
        <f>D468/$D$23</f>
        <v>3.6704976232023588E-2</v>
      </c>
      <c r="N468" s="80">
        <f>E468/$E$23</f>
        <v>2.4083573126485673E-2</v>
      </c>
      <c r="O468" s="80">
        <f>F468/$F$23</f>
        <v>0</v>
      </c>
      <c r="P468" s="80">
        <f>G468/$G$23</f>
        <v>0</v>
      </c>
      <c r="Q468" s="80">
        <f>H468/$H$23</f>
        <v>0</v>
      </c>
      <c r="R468" s="80"/>
      <c r="S468" s="57"/>
      <c r="T468" s="57"/>
      <c r="U468" s="80"/>
      <c r="V468" s="80"/>
      <c r="W468" s="80"/>
      <c r="X468" s="80"/>
      <c r="Y468" s="80"/>
      <c r="Z468" s="80"/>
      <c r="AA468" s="80"/>
      <c r="AB468" s="80"/>
      <c r="AC468" s="80"/>
      <c r="AD468" s="80"/>
      <c r="AE468" s="57"/>
      <c r="AF468" s="57"/>
      <c r="AG468" s="113">
        <v>3.7</v>
      </c>
      <c r="AH468" s="150">
        <v>9.6999999999999993</v>
      </c>
      <c r="AI468" s="113"/>
      <c r="AJ468" s="113">
        <v>17</v>
      </c>
      <c r="AK468" s="113">
        <v>55</v>
      </c>
    </row>
    <row r="469" spans="1:37" x14ac:dyDescent="0.25">
      <c r="A469" s="188" t="s">
        <v>23</v>
      </c>
      <c r="B469" s="191">
        <f>AG469+AH469+C469-(AJ469+AK469)</f>
        <v>38.200000000000003</v>
      </c>
      <c r="C469" s="84">
        <v>29</v>
      </c>
      <c r="D469" s="84">
        <v>25</v>
      </c>
      <c r="E469" s="84">
        <v>15.4</v>
      </c>
      <c r="F469" s="84">
        <v>21.6</v>
      </c>
      <c r="G469" s="84">
        <v>22.5</v>
      </c>
      <c r="H469" s="84">
        <v>48.6</v>
      </c>
      <c r="I469" s="341">
        <v>39.1</v>
      </c>
      <c r="J469" s="57"/>
      <c r="K469" s="59">
        <f>B469/$B$23</f>
        <v>2.0014670439065289E-2</v>
      </c>
      <c r="L469" s="59">
        <f>C469/$C$23</f>
        <v>1.6945191071637253E-2</v>
      </c>
      <c r="M469" s="59">
        <f>D469/$D$23</f>
        <v>1.5043023045911305E-2</v>
      </c>
      <c r="N469" s="59">
        <f>E469/$E$23</f>
        <v>9.6334292505942699E-3</v>
      </c>
      <c r="O469" s="59">
        <f>F469/$F$23</f>
        <v>1.3805445481273168E-2</v>
      </c>
      <c r="P469" s="59">
        <f>G469/$G$23</f>
        <v>1.5203729981755523E-2</v>
      </c>
      <c r="Q469" s="59">
        <f>H469/$H$23</f>
        <v>4.0493251124812529E-2</v>
      </c>
      <c r="R469" s="80"/>
      <c r="S469" s="57"/>
      <c r="T469" s="57"/>
      <c r="U469" s="59">
        <f>_xlfn.RRI(5.5,H469,B469)</f>
        <v>-4.2835144098040012E-2</v>
      </c>
      <c r="V469" s="59">
        <f>_xlfn.RRI(5,H469,C469)</f>
        <v>-9.8112545678620156E-2</v>
      </c>
      <c r="W469" s="59">
        <f>AVERAGE(X469:AC469)</f>
        <v>3.9423988102149032E-2</v>
      </c>
      <c r="X469" s="59">
        <f t="shared" ref="X469:AC469" si="351">(B469-C469)/C469</f>
        <v>0.31724137931034491</v>
      </c>
      <c r="Y469" s="59">
        <f t="shared" si="351"/>
        <v>0.16</v>
      </c>
      <c r="Z469" s="59">
        <f t="shared" si="351"/>
        <v>0.62337662337662336</v>
      </c>
      <c r="AA469" s="59">
        <f t="shared" si="351"/>
        <v>-0.28703703703703709</v>
      </c>
      <c r="AB469" s="59">
        <f t="shared" si="351"/>
        <v>-3.9999999999999938E-2</v>
      </c>
      <c r="AC469" s="59">
        <f t="shared" si="351"/>
        <v>-0.53703703703703709</v>
      </c>
      <c r="AD469" s="80"/>
      <c r="AE469" s="57"/>
      <c r="AF469" s="73"/>
      <c r="AG469" s="84">
        <v>30.2</v>
      </c>
      <c r="AH469" s="218">
        <v>33.700000000000003</v>
      </c>
      <c r="AI469" s="84"/>
      <c r="AJ469" s="84">
        <v>27.9</v>
      </c>
      <c r="AK469" s="84">
        <v>26.8</v>
      </c>
    </row>
    <row r="470" spans="1:37" ht="15.75" thickBot="1" x14ac:dyDescent="0.3">
      <c r="A470" s="192" t="s">
        <v>313</v>
      </c>
      <c r="B470" s="215">
        <f>SUM(B465:B469)</f>
        <v>-17.299999999999997</v>
      </c>
      <c r="C470" s="215">
        <f t="shared" ref="C470:H470" si="352">SUM(C465:C469)</f>
        <v>32.1</v>
      </c>
      <c r="D470" s="215">
        <f t="shared" si="352"/>
        <v>86</v>
      </c>
      <c r="E470" s="215">
        <f t="shared" si="352"/>
        <v>55.1</v>
      </c>
      <c r="F470" s="215">
        <f t="shared" si="352"/>
        <v>23.5</v>
      </c>
      <c r="G470" s="215">
        <f t="shared" si="352"/>
        <v>25.3</v>
      </c>
      <c r="H470" s="215">
        <f t="shared" si="352"/>
        <v>50.300000000000004</v>
      </c>
      <c r="I470" s="215">
        <f>SUM(I465:I469)</f>
        <v>51.8</v>
      </c>
      <c r="K470" s="219"/>
      <c r="L470" s="220"/>
      <c r="M470" s="220"/>
      <c r="N470" s="220"/>
      <c r="O470" s="220"/>
      <c r="P470" s="220"/>
      <c r="Q470" s="220"/>
      <c r="U470" s="220"/>
      <c r="V470" s="220"/>
      <c r="W470" s="220"/>
      <c r="X470" s="220"/>
      <c r="Y470" s="220"/>
      <c r="Z470" s="220"/>
      <c r="AA470" s="220"/>
      <c r="AB470" s="220"/>
      <c r="AC470" s="220"/>
      <c r="AF470" s="220"/>
      <c r="AG470" s="215">
        <f>SUM(AG465:AG469)</f>
        <v>33.9</v>
      </c>
      <c r="AH470" s="216">
        <f t="shared" ref="AH470:AK470" si="353">SUM(AH465:AH469)</f>
        <v>43.400000000000006</v>
      </c>
      <c r="AI470" s="215"/>
      <c r="AJ470" s="215">
        <f t="shared" si="353"/>
        <v>44.9</v>
      </c>
      <c r="AK470" s="215">
        <f t="shared" si="353"/>
        <v>81.8</v>
      </c>
    </row>
    <row r="471" spans="1:37" ht="15.75" thickTop="1" x14ac:dyDescent="0.25">
      <c r="B471" s="50"/>
      <c r="C471" s="61"/>
      <c r="D471" s="61"/>
      <c r="E471" s="61"/>
      <c r="F471" s="61"/>
      <c r="G471" s="61"/>
      <c r="H471" s="61"/>
      <c r="I471" s="61"/>
      <c r="J471" s="57"/>
      <c r="K471" s="80"/>
      <c r="L471" s="80"/>
      <c r="M471" s="80"/>
      <c r="N471" s="80"/>
      <c r="O471" s="80"/>
      <c r="P471" s="80"/>
      <c r="Q471" s="80"/>
      <c r="R471" s="80"/>
      <c r="S471" s="57"/>
      <c r="T471" s="57"/>
      <c r="U471" s="58"/>
      <c r="V471" s="58"/>
      <c r="W471" s="58"/>
      <c r="X471" s="58"/>
      <c r="Y471" s="58"/>
      <c r="Z471" s="58"/>
      <c r="AA471" s="58"/>
      <c r="AB471" s="58"/>
      <c r="AC471" s="58"/>
      <c r="AD471" s="58"/>
      <c r="AE471" s="57"/>
      <c r="AF471" s="132"/>
      <c r="AG471" s="132"/>
      <c r="AH471" s="168"/>
      <c r="AI471" s="132"/>
      <c r="AJ471" s="132"/>
      <c r="AK471" s="132"/>
    </row>
    <row r="472" spans="1:37" x14ac:dyDescent="0.25">
      <c r="A472" s="14" t="s">
        <v>36</v>
      </c>
      <c r="B472" s="16"/>
      <c r="C472" s="9">
        <v>224.9</v>
      </c>
      <c r="D472" s="9">
        <v>226.9</v>
      </c>
      <c r="E472" s="9">
        <v>228.5</v>
      </c>
      <c r="F472" s="9">
        <v>227</v>
      </c>
      <c r="G472" s="9">
        <v>228.8</v>
      </c>
      <c r="H472" s="224">
        <v>154.69999999999999</v>
      </c>
      <c r="I472" s="337">
        <v>152.5</v>
      </c>
      <c r="J472" s="57"/>
      <c r="K472" s="80">
        <f t="shared" ref="K472:K482" si="354">B472/$B$23</f>
        <v>0</v>
      </c>
      <c r="L472" s="80">
        <f t="shared" ref="L472:L482" si="355">C472/$C$23</f>
        <v>0.13141287834521445</v>
      </c>
      <c r="M472" s="80">
        <f t="shared" ref="M472:M482" si="356">D472/$D$23</f>
        <v>0.13653047716469102</v>
      </c>
      <c r="N472" s="80">
        <f t="shared" ref="N472:N482" si="357">E472/$E$23</f>
        <v>0.14293757037407731</v>
      </c>
      <c r="O472" s="80">
        <f t="shared" ref="O472:O482" si="358">F472/$F$23</f>
        <v>0.14508500575226893</v>
      </c>
      <c r="P472" s="80">
        <f t="shared" ref="P472:P482" si="359">G472/$G$23</f>
        <v>0.1546050408811406</v>
      </c>
      <c r="Q472" s="80">
        <f t="shared" ref="Q472:Q482" si="360">H472/$H$23</f>
        <v>0.12889518413597734</v>
      </c>
      <c r="R472" s="80"/>
      <c r="S472" s="57"/>
      <c r="T472" s="57"/>
      <c r="U472" s="58">
        <f t="shared" ref="U472:U482" si="361">_xlfn.RRI(5.5,H472,B472)</f>
        <v>-1</v>
      </c>
      <c r="V472" s="58">
        <f t="shared" ref="V472:V482" si="362">_xlfn.RRI(5,H472,C472)</f>
        <v>7.7704827736732041E-2</v>
      </c>
      <c r="W472" s="58">
        <f t="shared" si="345"/>
        <v>8.9680708434037734E-2</v>
      </c>
      <c r="X472" s="58">
        <f t="shared" ref="X472:AC482" si="363">(C472-B472)/C472</f>
        <v>1</v>
      </c>
      <c r="Y472" s="58">
        <f t="shared" si="363"/>
        <v>8.8144557073600704E-3</v>
      </c>
      <c r="Z472" s="58">
        <f t="shared" si="363"/>
        <v>7.0021881838074149E-3</v>
      </c>
      <c r="AA472" s="58">
        <f t="shared" si="363"/>
        <v>-6.6079295154185024E-3</v>
      </c>
      <c r="AB472" s="58">
        <f t="shared" si="363"/>
        <v>7.8671328671329165E-3</v>
      </c>
      <c r="AC472" s="58">
        <f t="shared" si="363"/>
        <v>-0.47899159663865565</v>
      </c>
      <c r="AD472" s="58"/>
      <c r="AE472" s="57"/>
      <c r="AF472" s="132"/>
      <c r="AG472" s="132"/>
      <c r="AH472" s="168"/>
      <c r="AI472" s="132"/>
      <c r="AJ472" s="132"/>
      <c r="AK472" s="132"/>
    </row>
    <row r="473" spans="1:37" x14ac:dyDescent="0.25">
      <c r="A473" s="14" t="s">
        <v>37</v>
      </c>
      <c r="B473" s="16"/>
      <c r="C473" s="9">
        <v>-110.5</v>
      </c>
      <c r="D473" s="9">
        <v>-97.6</v>
      </c>
      <c r="E473" s="9">
        <v>-84.7</v>
      </c>
      <c r="F473" s="9">
        <v>-69.5</v>
      </c>
      <c r="G473" s="9">
        <v>-56.5</v>
      </c>
      <c r="H473" s="224">
        <v>-43.9</v>
      </c>
      <c r="I473" s="337">
        <v>-33.6</v>
      </c>
      <c r="J473" s="57"/>
      <c r="K473" s="80">
        <f t="shared" si="354"/>
        <v>0</v>
      </c>
      <c r="L473" s="80">
        <f t="shared" si="355"/>
        <v>-6.4567021152272988E-2</v>
      </c>
      <c r="M473" s="80">
        <f t="shared" si="356"/>
        <v>-5.8727961971237731E-2</v>
      </c>
      <c r="N473" s="80">
        <f t="shared" si="357"/>
        <v>-5.2983860878268479E-2</v>
      </c>
      <c r="O473" s="80">
        <f t="shared" si="358"/>
        <v>-4.4420299117985423E-2</v>
      </c>
      <c r="P473" s="80">
        <f t="shared" si="359"/>
        <v>-3.8178255287519426E-2</v>
      </c>
      <c r="Q473" s="80">
        <f t="shared" si="360"/>
        <v>-3.6577237127145473E-2</v>
      </c>
      <c r="R473" s="80"/>
      <c r="S473" s="57"/>
      <c r="T473" s="57"/>
      <c r="U473" s="58">
        <f t="shared" si="361"/>
        <v>-1</v>
      </c>
      <c r="V473" s="58">
        <f t="shared" si="362"/>
        <v>0.20276159285545092</v>
      </c>
      <c r="W473" s="58">
        <f t="shared" si="345"/>
        <v>-3.380641872602582E-3</v>
      </c>
      <c r="X473" s="58">
        <f t="shared" si="363"/>
        <v>1</v>
      </c>
      <c r="Y473" s="58">
        <f t="shared" si="363"/>
        <v>-0.13217213114754106</v>
      </c>
      <c r="Z473" s="58">
        <f t="shared" si="363"/>
        <v>-0.15230224321133401</v>
      </c>
      <c r="AA473" s="58">
        <f t="shared" si="363"/>
        <v>-0.21870503597122307</v>
      </c>
      <c r="AB473" s="58">
        <f t="shared" si="363"/>
        <v>-0.23008849557522124</v>
      </c>
      <c r="AC473" s="58">
        <f t="shared" si="363"/>
        <v>-0.28701594533029617</v>
      </c>
      <c r="AD473" s="58"/>
      <c r="AE473" s="57"/>
      <c r="AF473" s="132"/>
      <c r="AG473" s="132"/>
      <c r="AH473" s="168"/>
      <c r="AI473" s="132"/>
      <c r="AJ473" s="132"/>
      <c r="AK473" s="132"/>
    </row>
    <row r="474" spans="1:37" x14ac:dyDescent="0.25">
      <c r="A474" s="14" t="s">
        <v>38</v>
      </c>
      <c r="B474" s="16"/>
      <c r="C474" s="9">
        <v>26.4</v>
      </c>
      <c r="D474" s="9">
        <v>26.5</v>
      </c>
      <c r="E474" s="9">
        <v>26.8</v>
      </c>
      <c r="F474" s="9">
        <v>26.7</v>
      </c>
      <c r="G474" s="9">
        <v>26.7</v>
      </c>
      <c r="H474" s="224">
        <v>26.8</v>
      </c>
      <c r="I474" s="337">
        <v>26.7</v>
      </c>
      <c r="J474" s="57"/>
      <c r="K474" s="80">
        <f t="shared" si="354"/>
        <v>0</v>
      </c>
      <c r="L474" s="80">
        <f t="shared" si="355"/>
        <v>1.5425967044524948E-2</v>
      </c>
      <c r="M474" s="80">
        <f t="shared" si="356"/>
        <v>1.5945604428665983E-2</v>
      </c>
      <c r="N474" s="80">
        <f t="shared" si="357"/>
        <v>1.6764669085449768E-2</v>
      </c>
      <c r="O474" s="80">
        <f t="shared" si="358"/>
        <v>1.7065064553240444E-2</v>
      </c>
      <c r="P474" s="80">
        <f t="shared" si="359"/>
        <v>1.8041759578349886E-2</v>
      </c>
      <c r="Q474" s="80">
        <f t="shared" si="360"/>
        <v>2.2329611731378103E-2</v>
      </c>
      <c r="R474" s="80"/>
      <c r="S474" s="57"/>
      <c r="T474" s="57"/>
      <c r="U474" s="58">
        <f t="shared" si="361"/>
        <v>-1</v>
      </c>
      <c r="V474" s="58">
        <f t="shared" si="362"/>
        <v>-3.0030572485640894E-3</v>
      </c>
      <c r="W474" s="58">
        <f t="shared" si="345"/>
        <v>0.16915893994798814</v>
      </c>
      <c r="X474" s="58">
        <f t="shared" si="363"/>
        <v>1</v>
      </c>
      <c r="Y474" s="58">
        <f t="shared" si="363"/>
        <v>3.7735849056604312E-3</v>
      </c>
      <c r="Z474" s="58">
        <f t="shared" si="363"/>
        <v>1.1194029850746294E-2</v>
      </c>
      <c r="AA474" s="58">
        <f t="shared" si="363"/>
        <v>-3.7453183520599785E-3</v>
      </c>
      <c r="AB474" s="58">
        <f t="shared" si="363"/>
        <v>0</v>
      </c>
      <c r="AC474" s="58">
        <f t="shared" si="363"/>
        <v>3.7313432835821424E-3</v>
      </c>
      <c r="AD474" s="58"/>
      <c r="AE474" s="57"/>
      <c r="AF474" s="132"/>
      <c r="AG474" s="132"/>
      <c r="AH474" s="168"/>
      <c r="AI474" s="132"/>
      <c r="AJ474" s="132"/>
      <c r="AK474" s="132"/>
    </row>
    <row r="475" spans="1:37" x14ac:dyDescent="0.25">
      <c r="A475" s="14" t="s">
        <v>39</v>
      </c>
      <c r="B475" s="16"/>
      <c r="C475" s="9">
        <v>-26</v>
      </c>
      <c r="D475" s="9">
        <v>-25.9</v>
      </c>
      <c r="E475" s="9">
        <v>-23.6</v>
      </c>
      <c r="F475" s="9">
        <v>-19.899999999999999</v>
      </c>
      <c r="G475" s="9">
        <v>-16.2</v>
      </c>
      <c r="H475" s="224">
        <v>-12.5</v>
      </c>
      <c r="I475" s="337">
        <v>-8.8000000000000007</v>
      </c>
      <c r="J475" s="57"/>
      <c r="K475" s="80">
        <f t="shared" si="354"/>
        <v>0</v>
      </c>
      <c r="L475" s="80">
        <f t="shared" si="355"/>
        <v>-1.5192240271123056E-2</v>
      </c>
      <c r="M475" s="80">
        <f t="shared" si="356"/>
        <v>-1.5584571875564111E-2</v>
      </c>
      <c r="N475" s="80">
        <f t="shared" si="357"/>
        <v>-1.4762917552858751E-2</v>
      </c>
      <c r="O475" s="80">
        <f t="shared" si="358"/>
        <v>-1.2718905790617407E-2</v>
      </c>
      <c r="P475" s="80">
        <f t="shared" si="359"/>
        <v>-1.0946685586863977E-2</v>
      </c>
      <c r="Q475" s="80">
        <f t="shared" si="360"/>
        <v>-1.0414930844859189E-2</v>
      </c>
      <c r="R475" s="80"/>
      <c r="S475" s="57"/>
      <c r="T475" s="57"/>
      <c r="U475" s="58">
        <f t="shared" si="361"/>
        <v>-1</v>
      </c>
      <c r="V475" s="58">
        <f t="shared" si="362"/>
        <v>0.15774434135315829</v>
      </c>
      <c r="W475" s="58">
        <f t="shared" si="345"/>
        <v>3.1392776508458502E-2</v>
      </c>
      <c r="X475" s="58">
        <f t="shared" si="363"/>
        <v>1</v>
      </c>
      <c r="Y475" s="58">
        <f t="shared" si="363"/>
        <v>-3.8610038610039162E-3</v>
      </c>
      <c r="Z475" s="58">
        <f t="shared" si="363"/>
        <v>-9.7457627118643947E-2</v>
      </c>
      <c r="AA475" s="58">
        <f t="shared" si="363"/>
        <v>-0.1859296482412062</v>
      </c>
      <c r="AB475" s="58">
        <f t="shared" si="363"/>
        <v>-0.22839506172839502</v>
      </c>
      <c r="AC475" s="58">
        <f t="shared" si="363"/>
        <v>-0.29599999999999993</v>
      </c>
      <c r="AD475" s="58"/>
      <c r="AE475" s="57"/>
      <c r="AF475" s="132"/>
      <c r="AG475" s="132"/>
      <c r="AH475" s="168"/>
      <c r="AI475" s="132"/>
      <c r="AJ475" s="132"/>
      <c r="AK475" s="132"/>
    </row>
    <row r="476" spans="1:37" x14ac:dyDescent="0.25">
      <c r="A476" s="14" t="s">
        <v>40</v>
      </c>
      <c r="B476" s="16"/>
      <c r="C476" s="9">
        <v>7.7</v>
      </c>
      <c r="D476" s="9">
        <v>7.6</v>
      </c>
      <c r="E476" s="9">
        <v>7.9</v>
      </c>
      <c r="F476" s="9">
        <v>7.6</v>
      </c>
      <c r="G476" s="9">
        <v>7.6</v>
      </c>
      <c r="H476" s="224">
        <v>6.5</v>
      </c>
      <c r="I476" s="337">
        <v>6.1</v>
      </c>
      <c r="J476" s="57"/>
      <c r="K476" s="80">
        <f t="shared" si="354"/>
        <v>0</v>
      </c>
      <c r="L476" s="80">
        <f t="shared" si="355"/>
        <v>4.499240387986444E-3</v>
      </c>
      <c r="M476" s="80">
        <f t="shared" si="356"/>
        <v>4.5730790059570368E-3</v>
      </c>
      <c r="N476" s="80">
        <f t="shared" si="357"/>
        <v>4.941824096084073E-3</v>
      </c>
      <c r="O476" s="80">
        <f t="shared" si="358"/>
        <v>4.8574715582257438E-3</v>
      </c>
      <c r="P476" s="80">
        <f t="shared" si="359"/>
        <v>5.1354821271707542E-3</v>
      </c>
      <c r="Q476" s="80">
        <f t="shared" si="360"/>
        <v>5.4157640393267788E-3</v>
      </c>
      <c r="R476" s="80"/>
      <c r="S476" s="57"/>
      <c r="T476" s="57"/>
      <c r="U476" s="58">
        <f t="shared" si="361"/>
        <v>-1</v>
      </c>
      <c r="V476" s="58">
        <f t="shared" si="362"/>
        <v>3.4464219527427398E-2</v>
      </c>
      <c r="W476" s="58">
        <f t="shared" si="345"/>
        <v>0.13601872256102768</v>
      </c>
      <c r="X476" s="58">
        <f t="shared" si="363"/>
        <v>1</v>
      </c>
      <c r="Y476" s="58">
        <f t="shared" si="363"/>
        <v>-1.3157894736842176E-2</v>
      </c>
      <c r="Z476" s="58">
        <f t="shared" si="363"/>
        <v>3.7974683544303889E-2</v>
      </c>
      <c r="AA476" s="58">
        <f t="shared" si="363"/>
        <v>-3.9473684210526411E-2</v>
      </c>
      <c r="AB476" s="58">
        <f t="shared" si="363"/>
        <v>0</v>
      </c>
      <c r="AC476" s="58">
        <f t="shared" si="363"/>
        <v>-0.16923076923076918</v>
      </c>
      <c r="AD476" s="58"/>
      <c r="AE476" s="57"/>
      <c r="AF476" s="132"/>
      <c r="AG476" s="132"/>
      <c r="AH476" s="168"/>
      <c r="AI476" s="132"/>
      <c r="AJ476" s="132"/>
      <c r="AK476" s="132"/>
    </row>
    <row r="477" spans="1:37" x14ac:dyDescent="0.25">
      <c r="A477" s="14" t="s">
        <v>41</v>
      </c>
      <c r="B477" s="16"/>
      <c r="C477" s="9">
        <v>-6.5</v>
      </c>
      <c r="D477" s="9">
        <v>-6.4</v>
      </c>
      <c r="E477" s="9">
        <v>-5.8</v>
      </c>
      <c r="F477" s="9">
        <v>-4.4000000000000004</v>
      </c>
      <c r="G477" s="9">
        <v>-3.5</v>
      </c>
      <c r="H477" s="224">
        <v>-2.7</v>
      </c>
      <c r="I477" s="337">
        <v>-1.9</v>
      </c>
      <c r="J477" s="57"/>
      <c r="K477" s="80">
        <f t="shared" si="354"/>
        <v>0</v>
      </c>
      <c r="L477" s="80">
        <f t="shared" si="355"/>
        <v>-3.7980600677807639E-3</v>
      </c>
      <c r="M477" s="80">
        <f t="shared" si="356"/>
        <v>-3.8510138997532944E-3</v>
      </c>
      <c r="N477" s="80">
        <f t="shared" si="357"/>
        <v>-3.6281746528212182E-3</v>
      </c>
      <c r="O477" s="80">
        <f t="shared" si="358"/>
        <v>-2.8122203758149046E-3</v>
      </c>
      <c r="P477" s="80">
        <f t="shared" si="359"/>
        <v>-2.3650246638286369E-3</v>
      </c>
      <c r="Q477" s="80">
        <f t="shared" si="360"/>
        <v>-2.249625062489585E-3</v>
      </c>
      <c r="R477" s="80"/>
      <c r="S477" s="57"/>
      <c r="T477" s="57"/>
      <c r="U477" s="58">
        <f t="shared" si="361"/>
        <v>-1</v>
      </c>
      <c r="V477" s="58">
        <f t="shared" si="362"/>
        <v>0.1920923980459821</v>
      </c>
      <c r="W477" s="58">
        <f t="shared" si="345"/>
        <v>1.5509587528265794E-3</v>
      </c>
      <c r="X477" s="58">
        <f t="shared" si="363"/>
        <v>1</v>
      </c>
      <c r="Y477" s="58">
        <f t="shared" si="363"/>
        <v>-1.5624999999999944E-2</v>
      </c>
      <c r="Z477" s="58">
        <f t="shared" si="363"/>
        <v>-0.10344827586206906</v>
      </c>
      <c r="AA477" s="58">
        <f t="shared" si="363"/>
        <v>-0.31818181818181801</v>
      </c>
      <c r="AB477" s="58">
        <f t="shared" si="363"/>
        <v>-0.25714285714285723</v>
      </c>
      <c r="AC477" s="58">
        <f t="shared" si="363"/>
        <v>-0.29629629629629622</v>
      </c>
      <c r="AD477" s="58"/>
      <c r="AE477" s="57"/>
      <c r="AF477" s="132"/>
      <c r="AG477" s="132"/>
      <c r="AH477" s="168"/>
      <c r="AI477" s="132"/>
      <c r="AJ477" s="132"/>
      <c r="AK477" s="132"/>
    </row>
    <row r="478" spans="1:37" x14ac:dyDescent="0.25">
      <c r="A478" s="14" t="s">
        <v>42</v>
      </c>
      <c r="B478" s="16"/>
      <c r="C478" s="9">
        <v>2.4</v>
      </c>
      <c r="D478" s="9">
        <v>2.4</v>
      </c>
      <c r="E478" s="9">
        <v>2.6</v>
      </c>
      <c r="F478" s="9">
        <v>2.4</v>
      </c>
      <c r="G478" s="9">
        <v>2.4</v>
      </c>
      <c r="H478" s="224">
        <v>2.5</v>
      </c>
      <c r="I478" s="337">
        <v>2.2000000000000002</v>
      </c>
      <c r="J478" s="57"/>
      <c r="K478" s="80">
        <f t="shared" si="354"/>
        <v>0</v>
      </c>
      <c r="L478" s="80">
        <f t="shared" si="355"/>
        <v>1.402360640411359E-3</v>
      </c>
      <c r="M478" s="80">
        <f t="shared" si="356"/>
        <v>1.4441302124074853E-3</v>
      </c>
      <c r="N478" s="80">
        <f t="shared" si="357"/>
        <v>1.6264231202302013E-3</v>
      </c>
      <c r="O478" s="80">
        <f t="shared" si="358"/>
        <v>1.5339383868081297E-3</v>
      </c>
      <c r="P478" s="80">
        <f t="shared" si="359"/>
        <v>1.6217311980539224E-3</v>
      </c>
      <c r="Q478" s="80">
        <f t="shared" si="360"/>
        <v>2.082986168971838E-3</v>
      </c>
      <c r="R478" s="80"/>
      <c r="S478" s="57"/>
      <c r="T478" s="57"/>
      <c r="U478" s="58">
        <f t="shared" si="361"/>
        <v>-1</v>
      </c>
      <c r="V478" s="58">
        <f t="shared" si="362"/>
        <v>-8.1311607174336942E-3</v>
      </c>
      <c r="W478" s="58">
        <f t="shared" si="345"/>
        <v>0.17226495726495727</v>
      </c>
      <c r="X478" s="58">
        <f t="shared" si="363"/>
        <v>1</v>
      </c>
      <c r="Y478" s="58">
        <f t="shared" si="363"/>
        <v>0</v>
      </c>
      <c r="Z478" s="58">
        <f t="shared" si="363"/>
        <v>7.6923076923076983E-2</v>
      </c>
      <c r="AA478" s="58">
        <f t="shared" si="363"/>
        <v>-8.3333333333333412E-2</v>
      </c>
      <c r="AB478" s="58">
        <f t="shared" si="363"/>
        <v>0</v>
      </c>
      <c r="AC478" s="58">
        <f t="shared" si="363"/>
        <v>4.0000000000000036E-2</v>
      </c>
      <c r="AD478" s="58"/>
      <c r="AE478" s="57"/>
      <c r="AF478" s="132"/>
      <c r="AG478" s="132"/>
      <c r="AH478" s="168"/>
      <c r="AI478" s="132"/>
      <c r="AJ478" s="132"/>
      <c r="AK478" s="132"/>
    </row>
    <row r="479" spans="1:37" x14ac:dyDescent="0.25">
      <c r="A479" s="14" t="s">
        <v>43</v>
      </c>
      <c r="B479" s="16"/>
      <c r="C479" s="9">
        <v>-2.4</v>
      </c>
      <c r="D479" s="9">
        <v>-2.4</v>
      </c>
      <c r="E479" s="9">
        <v>-2.6</v>
      </c>
      <c r="F479" s="9">
        <v>-2.2999999999999998</v>
      </c>
      <c r="G479" s="9">
        <v>-2.1</v>
      </c>
      <c r="H479" s="224">
        <v>-2</v>
      </c>
      <c r="I479" s="337">
        <v>-1.5</v>
      </c>
      <c r="J479" s="57"/>
      <c r="K479" s="80">
        <f t="shared" si="354"/>
        <v>0</v>
      </c>
      <c r="L479" s="80">
        <f t="shared" si="355"/>
        <v>-1.402360640411359E-3</v>
      </c>
      <c r="M479" s="80">
        <f t="shared" si="356"/>
        <v>-1.4441302124074853E-3</v>
      </c>
      <c r="N479" s="80">
        <f t="shared" si="357"/>
        <v>-1.6264231202302013E-3</v>
      </c>
      <c r="O479" s="80">
        <f t="shared" si="358"/>
        <v>-1.4700242873577909E-3</v>
      </c>
      <c r="P479" s="80">
        <f t="shared" si="359"/>
        <v>-1.4190147982971822E-3</v>
      </c>
      <c r="Q479" s="80">
        <f t="shared" si="360"/>
        <v>-1.6663889351774704E-3</v>
      </c>
      <c r="R479" s="80"/>
      <c r="S479" s="57"/>
      <c r="T479" s="57"/>
      <c r="U479" s="58">
        <f t="shared" si="361"/>
        <v>-1</v>
      </c>
      <c r="V479" s="58">
        <f t="shared" si="362"/>
        <v>3.7137289336648172E-2</v>
      </c>
      <c r="W479" s="58">
        <f t="shared" si="345"/>
        <v>0.13354169984604769</v>
      </c>
      <c r="X479" s="58">
        <f t="shared" si="363"/>
        <v>1</v>
      </c>
      <c r="Y479" s="58">
        <f t="shared" si="363"/>
        <v>0</v>
      </c>
      <c r="Z479" s="58">
        <f t="shared" si="363"/>
        <v>7.6923076923076983E-2</v>
      </c>
      <c r="AA479" s="58">
        <f t="shared" si="363"/>
        <v>-0.13043478260869579</v>
      </c>
      <c r="AB479" s="58">
        <f t="shared" si="363"/>
        <v>-9.5238095238095108E-2</v>
      </c>
      <c r="AC479" s="58">
        <f t="shared" si="363"/>
        <v>-5.0000000000000044E-2</v>
      </c>
      <c r="AD479" s="58"/>
      <c r="AE479" s="57"/>
      <c r="AF479" s="132"/>
      <c r="AG479" s="132"/>
      <c r="AH479" s="168"/>
      <c r="AI479" s="132"/>
      <c r="AJ479" s="132"/>
      <c r="AK479" s="132"/>
    </row>
    <row r="480" spans="1:37" x14ac:dyDescent="0.25">
      <c r="A480" s="14" t="s">
        <v>44</v>
      </c>
      <c r="B480" s="51"/>
      <c r="C480" s="9">
        <v>1.6</v>
      </c>
      <c r="D480" s="9">
        <v>1.7</v>
      </c>
      <c r="E480" s="9">
        <v>1.7</v>
      </c>
      <c r="F480" s="9">
        <v>1.6</v>
      </c>
      <c r="G480" s="9">
        <v>1.6</v>
      </c>
      <c r="H480" s="224">
        <v>1.4</v>
      </c>
      <c r="I480" s="337">
        <v>1.3</v>
      </c>
      <c r="J480" s="57"/>
      <c r="K480" s="80">
        <f t="shared" si="354"/>
        <v>0</v>
      </c>
      <c r="L480" s="80">
        <f t="shared" si="355"/>
        <v>9.3490709360757277E-4</v>
      </c>
      <c r="M480" s="80">
        <f t="shared" si="356"/>
        <v>1.0229255671219688E-3</v>
      </c>
      <c r="N480" s="80">
        <f t="shared" si="357"/>
        <v>1.0634305016889777E-3</v>
      </c>
      <c r="O480" s="80">
        <f t="shared" si="358"/>
        <v>1.0226255912054198E-3</v>
      </c>
      <c r="P480" s="80">
        <f t="shared" si="359"/>
        <v>1.0811541320359483E-3</v>
      </c>
      <c r="Q480" s="80">
        <f t="shared" si="360"/>
        <v>1.1664722546242292E-3</v>
      </c>
      <c r="R480" s="80"/>
      <c r="S480" s="57"/>
      <c r="T480" s="57"/>
      <c r="U480" s="58">
        <f t="shared" si="361"/>
        <v>-1</v>
      </c>
      <c r="V480" s="58">
        <f t="shared" si="362"/>
        <v>2.7066087089351765E-2</v>
      </c>
      <c r="W480" s="58">
        <f t="shared" si="345"/>
        <v>0.14224439775910364</v>
      </c>
      <c r="X480" s="58">
        <f t="shared" si="363"/>
        <v>1</v>
      </c>
      <c r="Y480" s="58">
        <f t="shared" si="363"/>
        <v>5.8823529411764629E-2</v>
      </c>
      <c r="Z480" s="58">
        <f t="shared" si="363"/>
        <v>0</v>
      </c>
      <c r="AA480" s="58">
        <f t="shared" si="363"/>
        <v>-6.2499999999999917E-2</v>
      </c>
      <c r="AB480" s="58">
        <f t="shared" si="363"/>
        <v>0</v>
      </c>
      <c r="AC480" s="58">
        <f t="shared" si="363"/>
        <v>-0.14285714285714299</v>
      </c>
      <c r="AD480" s="58"/>
      <c r="AE480" s="57"/>
      <c r="AF480" s="132"/>
      <c r="AG480" s="132"/>
      <c r="AH480" s="168"/>
      <c r="AI480" s="132"/>
      <c r="AJ480" s="132"/>
      <c r="AK480" s="132"/>
    </row>
    <row r="481" spans="1:37" x14ac:dyDescent="0.25">
      <c r="A481" s="188" t="s">
        <v>271</v>
      </c>
      <c r="B481" s="52"/>
      <c r="C481" s="53">
        <v>-1.5</v>
      </c>
      <c r="D481" s="9">
        <v>-1.3</v>
      </c>
      <c r="E481" s="9">
        <v>-1</v>
      </c>
      <c r="F481" s="9">
        <v>-0.8</v>
      </c>
      <c r="G481" s="9">
        <v>-0.8</v>
      </c>
      <c r="H481" s="224">
        <v>-1.2</v>
      </c>
      <c r="I481" s="337">
        <v>-1.1000000000000001</v>
      </c>
      <c r="J481" s="57"/>
      <c r="K481" s="59">
        <f t="shared" si="354"/>
        <v>0</v>
      </c>
      <c r="L481" s="59">
        <f t="shared" si="355"/>
        <v>-8.7647540025709942E-4</v>
      </c>
      <c r="M481" s="59">
        <f t="shared" si="356"/>
        <v>-7.8223719838738787E-4</v>
      </c>
      <c r="N481" s="59">
        <f t="shared" si="357"/>
        <v>-6.2554735393469281E-4</v>
      </c>
      <c r="O481" s="59">
        <f t="shared" si="358"/>
        <v>-5.1131279560270989E-4</v>
      </c>
      <c r="P481" s="59">
        <f t="shared" si="359"/>
        <v>-5.4057706601797417E-4</v>
      </c>
      <c r="Q481" s="59">
        <f t="shared" si="360"/>
        <v>-9.9983336110648227E-4</v>
      </c>
      <c r="R481" s="80"/>
      <c r="S481" s="57"/>
      <c r="T481" s="57"/>
      <c r="U481" s="59">
        <f t="shared" si="361"/>
        <v>-1</v>
      </c>
      <c r="V481" s="59">
        <f t="shared" si="362"/>
        <v>4.5639552591273169E-2</v>
      </c>
      <c r="W481" s="59">
        <f t="shared" si="345"/>
        <v>0.10491452991452992</v>
      </c>
      <c r="X481" s="59">
        <f t="shared" si="363"/>
        <v>1</v>
      </c>
      <c r="Y481" s="59">
        <f t="shared" si="363"/>
        <v>-0.1538461538461538</v>
      </c>
      <c r="Z481" s="59">
        <f t="shared" si="363"/>
        <v>-0.30000000000000004</v>
      </c>
      <c r="AA481" s="59">
        <f t="shared" si="363"/>
        <v>-0.24999999999999994</v>
      </c>
      <c r="AB481" s="59">
        <f t="shared" si="363"/>
        <v>0</v>
      </c>
      <c r="AC481" s="59">
        <f t="shared" si="363"/>
        <v>0.33333333333333326</v>
      </c>
      <c r="AD481" s="80"/>
      <c r="AE481" s="57"/>
      <c r="AF481" s="133"/>
      <c r="AG481" s="133"/>
      <c r="AH481" s="210"/>
      <c r="AI481" s="133"/>
      <c r="AJ481" s="133"/>
      <c r="AK481" s="133"/>
    </row>
    <row r="482" spans="1:37" ht="15.75" thickBot="1" x14ac:dyDescent="0.3">
      <c r="A482" s="85" t="s">
        <v>78</v>
      </c>
      <c r="B482" s="104"/>
      <c r="C482" s="103">
        <f t="shared" ref="C482:H482" si="364">SUM(C472:C481)</f>
        <v>116.10000000000001</v>
      </c>
      <c r="D482" s="103">
        <f t="shared" si="364"/>
        <v>131.49999999999997</v>
      </c>
      <c r="E482" s="103">
        <f t="shared" si="364"/>
        <v>149.80000000000001</v>
      </c>
      <c r="F482" s="103">
        <f t="shared" si="364"/>
        <v>168.39999999999995</v>
      </c>
      <c r="G482" s="103">
        <f t="shared" si="364"/>
        <v>188</v>
      </c>
      <c r="H482" s="103">
        <f t="shared" si="364"/>
        <v>129.60000000000002</v>
      </c>
      <c r="I482" s="103">
        <f>SUM(I472:I481)</f>
        <v>141.89999999999998</v>
      </c>
      <c r="J482" s="57"/>
      <c r="K482" s="19">
        <f t="shared" si="354"/>
        <v>0</v>
      </c>
      <c r="L482" s="19">
        <f t="shared" si="355"/>
        <v>6.78391959798995E-2</v>
      </c>
      <c r="M482" s="19">
        <f t="shared" si="356"/>
        <v>7.9126301221493445E-2</v>
      </c>
      <c r="N482" s="19">
        <f t="shared" si="357"/>
        <v>9.3706993619416992E-2</v>
      </c>
      <c r="O482" s="19">
        <f t="shared" si="358"/>
        <v>0.10763134347437041</v>
      </c>
      <c r="P482" s="19">
        <f t="shared" si="359"/>
        <v>0.12703561051422393</v>
      </c>
      <c r="Q482" s="19">
        <f t="shared" si="360"/>
        <v>0.1079820029995001</v>
      </c>
      <c r="R482" s="32"/>
      <c r="S482" s="57"/>
      <c r="T482" s="57"/>
      <c r="U482" s="211">
        <f t="shared" si="361"/>
        <v>-1</v>
      </c>
      <c r="V482" s="211">
        <f t="shared" si="362"/>
        <v>-2.1759940095709362E-2</v>
      </c>
      <c r="W482" s="211">
        <f t="shared" si="345"/>
        <v>0.16722708193607391</v>
      </c>
      <c r="X482" s="211">
        <f t="shared" si="363"/>
        <v>1</v>
      </c>
      <c r="Y482" s="211">
        <f t="shared" si="363"/>
        <v>0.11711026615969557</v>
      </c>
      <c r="Z482" s="211">
        <f t="shared" si="363"/>
        <v>0.12216288384512709</v>
      </c>
      <c r="AA482" s="211">
        <f t="shared" si="363"/>
        <v>0.11045130641330132</v>
      </c>
      <c r="AB482" s="211">
        <f t="shared" si="363"/>
        <v>0.10425531914893645</v>
      </c>
      <c r="AC482" s="211">
        <f t="shared" si="363"/>
        <v>-0.45061728395061701</v>
      </c>
      <c r="AD482" s="80"/>
      <c r="AE482" s="57"/>
      <c r="AF482" s="212"/>
      <c r="AG482" s="212"/>
      <c r="AH482" s="213"/>
      <c r="AI482" s="212"/>
      <c r="AJ482" s="212"/>
      <c r="AK482" s="212"/>
    </row>
    <row r="483" spans="1:37" ht="15.75" thickTop="1" x14ac:dyDescent="0.25">
      <c r="AH483" s="217"/>
    </row>
    <row r="484" spans="1:37" x14ac:dyDescent="0.25">
      <c r="A484" s="14" t="s">
        <v>34</v>
      </c>
      <c r="B484" s="118">
        <f>AG484+AH484+C484-(AJ484+AK484)</f>
        <v>6.5000000000000036</v>
      </c>
      <c r="C484" s="8">
        <v>11.7</v>
      </c>
      <c r="D484" s="8">
        <v>15</v>
      </c>
      <c r="E484" s="8">
        <v>18.399999999999999</v>
      </c>
      <c r="F484" s="8">
        <v>23.7</v>
      </c>
      <c r="G484" s="8">
        <v>15.5</v>
      </c>
      <c r="H484" s="222">
        <v>18.399999999999999</v>
      </c>
      <c r="I484" s="336">
        <v>27.1</v>
      </c>
      <c r="J484" s="57"/>
      <c r="K484" s="58">
        <f t="shared" ref="K484:K489" si="365">B484/$B$23</f>
        <v>3.4056376401550899E-3</v>
      </c>
      <c r="L484" s="58">
        <f>C484/$C$23</f>
        <v>6.8365081220053752E-3</v>
      </c>
      <c r="M484" s="58">
        <f>D484/$D$23</f>
        <v>9.0258138275467834E-3</v>
      </c>
      <c r="N484" s="58">
        <f>E484/$E$23</f>
        <v>1.1510071312398347E-2</v>
      </c>
      <c r="O484" s="58">
        <f>F484/$F$23</f>
        <v>1.514764156973028E-2</v>
      </c>
      <c r="P484" s="58">
        <f>G484/$G$23</f>
        <v>1.0473680654098249E-2</v>
      </c>
      <c r="Q484" s="58">
        <f>H484/$H$23</f>
        <v>1.5330778203632727E-2</v>
      </c>
      <c r="R484" s="58"/>
      <c r="S484" s="57"/>
      <c r="T484" s="57"/>
      <c r="U484" s="58">
        <f>_xlfn.RRI(5.5,H484,B484)</f>
        <v>-0.17237128262505452</v>
      </c>
      <c r="V484" s="58">
        <f>_xlfn.RRI(5,H484,C484)</f>
        <v>-8.6573498530291615E-2</v>
      </c>
      <c r="W484" s="58">
        <f>AVERAGE(X484:AC484)</f>
        <v>-0.1169053637851461</v>
      </c>
      <c r="X484" s="58">
        <f t="shared" ref="X484:AC484" si="366">(B484-C484)/C484</f>
        <v>-0.44444444444444409</v>
      </c>
      <c r="Y484" s="58">
        <f t="shared" si="366"/>
        <v>-0.22000000000000006</v>
      </c>
      <c r="Z484" s="58">
        <f t="shared" si="366"/>
        <v>-0.18478260869565211</v>
      </c>
      <c r="AA484" s="58">
        <f t="shared" si="366"/>
        <v>-0.22362869198312241</v>
      </c>
      <c r="AB484" s="58">
        <f t="shared" si="366"/>
        <v>0.52903225806451604</v>
      </c>
      <c r="AC484" s="58">
        <f t="shared" si="366"/>
        <v>-0.15760869565217384</v>
      </c>
      <c r="AD484" s="58"/>
      <c r="AE484" s="57"/>
      <c r="AF484" s="57"/>
      <c r="AG484" s="8">
        <v>11.3</v>
      </c>
      <c r="AH484" s="144">
        <v>11.7</v>
      </c>
      <c r="AI484" s="135"/>
      <c r="AJ484" s="8">
        <v>13.5</v>
      </c>
      <c r="AK484" s="8">
        <v>14.7</v>
      </c>
    </row>
    <row r="485" spans="1:37" x14ac:dyDescent="0.25">
      <c r="A485" s="14" t="s">
        <v>45</v>
      </c>
      <c r="B485" s="118">
        <f>AG485+AH485+C485-(AJ485+AK485)</f>
        <v>0</v>
      </c>
      <c r="C485" s="8">
        <v>0</v>
      </c>
      <c r="D485" s="9">
        <v>0</v>
      </c>
      <c r="E485" s="9">
        <v>0.8</v>
      </c>
      <c r="F485" s="9">
        <v>0.7</v>
      </c>
      <c r="G485" s="9">
        <v>0.7</v>
      </c>
      <c r="H485" s="224">
        <v>0.7</v>
      </c>
      <c r="I485" s="337">
        <v>0.6</v>
      </c>
      <c r="J485" s="57"/>
      <c r="K485" s="58">
        <f t="shared" si="365"/>
        <v>0</v>
      </c>
      <c r="L485" s="58">
        <f>C485/$C$23</f>
        <v>0</v>
      </c>
      <c r="M485" s="58">
        <f>D485/$D$23</f>
        <v>0</v>
      </c>
      <c r="N485" s="58">
        <f>E485/$E$23</f>
        <v>5.0043788314775431E-4</v>
      </c>
      <c r="O485" s="58">
        <f>F485/$F$23</f>
        <v>4.4739869615237116E-4</v>
      </c>
      <c r="P485" s="58">
        <f>G485/$G$23</f>
        <v>4.7300493276572736E-4</v>
      </c>
      <c r="Q485" s="58">
        <f>H485/$H$23</f>
        <v>5.8323612731211462E-4</v>
      </c>
      <c r="R485" s="58"/>
      <c r="S485" s="57"/>
      <c r="T485" s="57"/>
      <c r="U485" s="58"/>
      <c r="V485" s="58"/>
      <c r="W485" s="58"/>
      <c r="X485" s="58"/>
      <c r="Y485" s="58"/>
      <c r="Z485" s="58"/>
      <c r="AA485" s="58"/>
      <c r="AB485" s="58"/>
      <c r="AC485" s="58"/>
      <c r="AD485" s="58"/>
      <c r="AE485" s="57"/>
      <c r="AF485" s="57"/>
      <c r="AG485" s="113">
        <v>0</v>
      </c>
      <c r="AH485" s="150">
        <v>0</v>
      </c>
      <c r="AI485" s="113"/>
      <c r="AJ485" s="113">
        <v>0</v>
      </c>
      <c r="AK485" s="113">
        <v>0</v>
      </c>
    </row>
    <row r="486" spans="1:37" x14ac:dyDescent="0.25">
      <c r="A486" s="14" t="s">
        <v>70</v>
      </c>
      <c r="B486" s="118">
        <f>AG486+AH486+C486-(AJ486+AK486)</f>
        <v>0</v>
      </c>
      <c r="C486" s="8">
        <v>0</v>
      </c>
      <c r="D486" s="9">
        <v>0</v>
      </c>
      <c r="E486" s="9">
        <v>-0.8</v>
      </c>
      <c r="F486" s="9">
        <v>-0.7</v>
      </c>
      <c r="G486" s="9">
        <v>-0.7</v>
      </c>
      <c r="H486" s="224">
        <v>-0.7</v>
      </c>
      <c r="I486" s="337">
        <v>-0.6</v>
      </c>
      <c r="J486" s="57"/>
      <c r="K486" s="58">
        <f t="shared" si="365"/>
        <v>0</v>
      </c>
      <c r="L486" s="58">
        <f>C486/$C$23</f>
        <v>0</v>
      </c>
      <c r="M486" s="58">
        <f>D486/$D$23</f>
        <v>0</v>
      </c>
      <c r="N486" s="58">
        <f>E486/$E$23</f>
        <v>-5.0043788314775431E-4</v>
      </c>
      <c r="O486" s="58">
        <f>F486/$F$23</f>
        <v>-4.4739869615237116E-4</v>
      </c>
      <c r="P486" s="58">
        <f>G486/$G$23</f>
        <v>-4.7300493276572736E-4</v>
      </c>
      <c r="Q486" s="58">
        <f>H486/$H$23</f>
        <v>-5.8323612731211462E-4</v>
      </c>
      <c r="R486" s="58"/>
      <c r="S486" s="57"/>
      <c r="T486" s="57"/>
      <c r="U486" s="58"/>
      <c r="V486" s="58"/>
      <c r="W486" s="58"/>
      <c r="X486" s="58"/>
      <c r="Y486" s="58"/>
      <c r="Z486" s="58"/>
      <c r="AA486" s="58"/>
      <c r="AB486" s="58"/>
      <c r="AC486" s="58"/>
      <c r="AD486" s="58"/>
      <c r="AE486" s="57"/>
      <c r="AF486" s="57"/>
      <c r="AG486" s="113">
        <v>0</v>
      </c>
      <c r="AH486" s="150">
        <v>0</v>
      </c>
      <c r="AI486" s="113"/>
      <c r="AJ486" s="113">
        <v>0</v>
      </c>
      <c r="AK486" s="113">
        <v>0</v>
      </c>
    </row>
    <row r="487" spans="1:37" x14ac:dyDescent="0.25">
      <c r="A487" s="14" t="s">
        <v>46</v>
      </c>
      <c r="B487" s="189">
        <f>AG487+AH487+C487-(AJ487+AK487)</f>
        <v>0</v>
      </c>
      <c r="C487" s="190">
        <v>0</v>
      </c>
      <c r="D487" s="190">
        <v>0</v>
      </c>
      <c r="E487" s="190">
        <v>31.9</v>
      </c>
      <c r="F487" s="190">
        <v>0</v>
      </c>
      <c r="G487" s="190">
        <v>0</v>
      </c>
      <c r="H487" s="223">
        <v>0</v>
      </c>
      <c r="I487" s="113">
        <v>0</v>
      </c>
      <c r="J487" s="57"/>
      <c r="K487" s="80">
        <f t="shared" si="365"/>
        <v>0</v>
      </c>
      <c r="L487" s="80">
        <f>C487/$C$23</f>
        <v>0</v>
      </c>
      <c r="M487" s="80">
        <f>D487/$D$23</f>
        <v>0</v>
      </c>
      <c r="N487" s="80">
        <f>E487/$E$23</f>
        <v>1.9954960590516699E-2</v>
      </c>
      <c r="O487" s="80">
        <f>F487/$F$23</f>
        <v>0</v>
      </c>
      <c r="P487" s="80">
        <f>G487/$G$23</f>
        <v>0</v>
      </c>
      <c r="Q487" s="80">
        <f>H487/$H$23</f>
        <v>0</v>
      </c>
      <c r="R487" s="80"/>
      <c r="S487" s="57"/>
      <c r="T487" s="57"/>
      <c r="U487" s="80"/>
      <c r="V487" s="80"/>
      <c r="W487" s="80"/>
      <c r="X487" s="80"/>
      <c r="Y487" s="80"/>
      <c r="Z487" s="80"/>
      <c r="AA487" s="80"/>
      <c r="AB487" s="80"/>
      <c r="AC487" s="80"/>
      <c r="AD487" s="80"/>
      <c r="AE487" s="57"/>
      <c r="AF487" s="57"/>
      <c r="AG487" s="113">
        <v>0</v>
      </c>
      <c r="AH487" s="150">
        <v>0</v>
      </c>
      <c r="AI487" s="113"/>
      <c r="AJ487" s="113">
        <v>0</v>
      </c>
      <c r="AK487" s="113">
        <v>0</v>
      </c>
    </row>
    <row r="488" spans="1:37" x14ac:dyDescent="0.25">
      <c r="A488" s="188" t="s">
        <v>35</v>
      </c>
      <c r="B488" s="191">
        <f>AG488+AH488+C488-(AJ488+AK488)</f>
        <v>8.7999999999999972</v>
      </c>
      <c r="C488" s="84">
        <v>9.1999999999999993</v>
      </c>
      <c r="D488" s="84">
        <v>11</v>
      </c>
      <c r="E488" s="84">
        <v>24.6</v>
      </c>
      <c r="F488" s="84">
        <v>28</v>
      </c>
      <c r="G488" s="84">
        <v>21.7</v>
      </c>
      <c r="H488" s="84">
        <v>29.3</v>
      </c>
      <c r="I488" s="352">
        <v>13.2</v>
      </c>
      <c r="J488" s="57"/>
      <c r="K488" s="59">
        <f t="shared" si="365"/>
        <v>4.6107094205176564E-3</v>
      </c>
      <c r="L488" s="59">
        <f>C488/$C$23</f>
        <v>5.375715788243543E-3</v>
      </c>
      <c r="M488" s="59">
        <f>D488/$D$23</f>
        <v>6.6189301402009744E-3</v>
      </c>
      <c r="N488" s="59">
        <f>E488/$E$23</f>
        <v>1.5388464906793443E-2</v>
      </c>
      <c r="O488" s="59">
        <f>F488/$F$23</f>
        <v>1.7895947846094846E-2</v>
      </c>
      <c r="P488" s="59">
        <f>G488/$G$23</f>
        <v>1.4663152915737549E-2</v>
      </c>
      <c r="Q488" s="59">
        <f>H488/$H$23</f>
        <v>2.4412597900349942E-2</v>
      </c>
      <c r="R488" s="80"/>
      <c r="S488" s="57"/>
      <c r="T488" s="57"/>
      <c r="U488" s="59">
        <f>_xlfn.RRI(5.5,H488,B488)</f>
        <v>-0.19643517372434927</v>
      </c>
      <c r="V488" s="59">
        <f>_xlfn.RRI(5,H488,C488)</f>
        <v>-0.20679756015834672</v>
      </c>
      <c r="W488" s="59">
        <f>AVERAGE(X488:AC488)</f>
        <v>-0.14174196821227233</v>
      </c>
      <c r="X488" s="59">
        <f t="shared" ref="X488:AC488" si="367">(B488-C488)/C488</f>
        <v>-4.3478260869565452E-2</v>
      </c>
      <c r="Y488" s="59">
        <f t="shared" si="367"/>
        <v>-0.16363636363636369</v>
      </c>
      <c r="Z488" s="59">
        <f t="shared" si="367"/>
        <v>-0.55284552845528456</v>
      </c>
      <c r="AA488" s="59">
        <f t="shared" si="367"/>
        <v>-0.12142857142857137</v>
      </c>
      <c r="AB488" s="59">
        <f t="shared" si="367"/>
        <v>0.29032258064516131</v>
      </c>
      <c r="AC488" s="59">
        <f t="shared" si="367"/>
        <v>-0.25938566552901027</v>
      </c>
      <c r="AD488" s="80"/>
      <c r="AE488" s="57"/>
      <c r="AF488" s="73"/>
      <c r="AG488" s="84">
        <v>9.1999999999999993</v>
      </c>
      <c r="AH488" s="218">
        <v>10</v>
      </c>
      <c r="AI488" s="84"/>
      <c r="AJ488" s="84">
        <v>9.1999999999999993</v>
      </c>
      <c r="AK488" s="84">
        <v>10.4</v>
      </c>
    </row>
    <row r="489" spans="1:37" ht="15.75" thickBot="1" x14ac:dyDescent="0.3">
      <c r="A489" s="192" t="s">
        <v>315</v>
      </c>
      <c r="B489" s="215">
        <f>SUM(B484:B488)</f>
        <v>15.3</v>
      </c>
      <c r="C489" s="215">
        <f t="shared" ref="C489:H489" si="368">SUM(C484:C488)</f>
        <v>20.9</v>
      </c>
      <c r="D489" s="215">
        <f t="shared" si="368"/>
        <v>26</v>
      </c>
      <c r="E489" s="215">
        <f t="shared" si="368"/>
        <v>74.900000000000006</v>
      </c>
      <c r="F489" s="215">
        <f t="shared" si="368"/>
        <v>51.7</v>
      </c>
      <c r="G489" s="215">
        <f t="shared" si="368"/>
        <v>37.200000000000003</v>
      </c>
      <c r="H489" s="215">
        <f t="shared" si="368"/>
        <v>47.7</v>
      </c>
      <c r="I489" s="215">
        <f>SUM(I484:I488)</f>
        <v>40.299999999999997</v>
      </c>
      <c r="K489" s="219">
        <f t="shared" si="365"/>
        <v>8.0163470606727464E-3</v>
      </c>
      <c r="L489" s="220"/>
      <c r="M489" s="220"/>
      <c r="N489" s="220"/>
      <c r="O489" s="220"/>
      <c r="P489" s="220"/>
      <c r="Q489" s="220"/>
      <c r="U489" s="220"/>
      <c r="V489" s="220"/>
      <c r="W489" s="220"/>
      <c r="X489" s="220"/>
      <c r="Y489" s="220"/>
      <c r="Z489" s="220"/>
      <c r="AA489" s="220"/>
      <c r="AB489" s="220"/>
      <c r="AC489" s="220"/>
      <c r="AF489" s="220"/>
      <c r="AG489" s="215">
        <f>SUM(AG484:AG488)</f>
        <v>20.5</v>
      </c>
      <c r="AH489" s="216">
        <f t="shared" ref="AH489:AK489" si="369">SUM(AH484:AH488)</f>
        <v>21.7</v>
      </c>
      <c r="AI489" s="215"/>
      <c r="AJ489" s="215">
        <f t="shared" si="369"/>
        <v>22.7</v>
      </c>
      <c r="AK489" s="215">
        <f t="shared" si="369"/>
        <v>25.1</v>
      </c>
    </row>
    <row r="490" spans="1:37" ht="15.75" thickTop="1" x14ac:dyDescent="0.25">
      <c r="AH490" s="217"/>
    </row>
    <row r="491" spans="1:37" x14ac:dyDescent="0.25">
      <c r="A491" s="14" t="s">
        <v>51</v>
      </c>
      <c r="B491" s="118">
        <f>AG491+AH491+C491-(AJ491+AK491)</f>
        <v>20.799999999999997</v>
      </c>
      <c r="C491" s="8">
        <v>20.5</v>
      </c>
      <c r="D491" s="8">
        <v>21.3</v>
      </c>
      <c r="E491" s="8">
        <v>21.2</v>
      </c>
      <c r="F491" s="8">
        <v>22.1</v>
      </c>
      <c r="G491" s="8">
        <v>0</v>
      </c>
      <c r="H491" s="222">
        <v>0</v>
      </c>
      <c r="I491" s="113">
        <v>0</v>
      </c>
      <c r="J491" s="57"/>
      <c r="K491" s="58">
        <f>B491/$B$23</f>
        <v>1.089804044849628E-2</v>
      </c>
      <c r="L491" s="58">
        <f>C491/$C$23</f>
        <v>1.1978497136847024E-2</v>
      </c>
      <c r="M491" s="58">
        <f>D491/$D$23</f>
        <v>1.2816655635116433E-2</v>
      </c>
      <c r="N491" s="58">
        <f>E491/$E$23</f>
        <v>1.3261603903415487E-2</v>
      </c>
      <c r="O491" s="58">
        <f>F491/$F$23</f>
        <v>1.4125015978524863E-2</v>
      </c>
      <c r="P491" s="58">
        <f>G491/$G$23</f>
        <v>0</v>
      </c>
      <c r="Q491" s="58">
        <f>H491/$H$23</f>
        <v>0</v>
      </c>
      <c r="R491" s="58"/>
      <c r="S491" s="57"/>
      <c r="T491" s="57"/>
      <c r="U491" s="58"/>
      <c r="V491" s="58"/>
      <c r="W491" s="58"/>
      <c r="X491" s="58"/>
      <c r="Y491" s="58"/>
      <c r="Z491" s="58"/>
      <c r="AA491" s="58"/>
      <c r="AB491" s="58"/>
      <c r="AC491" s="58"/>
      <c r="AD491" s="58"/>
      <c r="AE491" s="57"/>
      <c r="AF491" s="57"/>
      <c r="AG491" s="8">
        <v>21.7</v>
      </c>
      <c r="AH491" s="144">
        <v>20.9</v>
      </c>
      <c r="AI491" s="135"/>
      <c r="AJ491" s="8">
        <v>20.9</v>
      </c>
      <c r="AK491" s="8">
        <v>21.4</v>
      </c>
    </row>
    <row r="492" spans="1:37" x14ac:dyDescent="0.25">
      <c r="A492" s="14" t="s">
        <v>52</v>
      </c>
      <c r="B492" s="120">
        <f>AG492+AH492+C492-(AJ492+AK492)</f>
        <v>4</v>
      </c>
      <c r="C492" s="23">
        <v>0</v>
      </c>
      <c r="D492" s="23">
        <v>2</v>
      </c>
      <c r="E492" s="23">
        <v>10.1</v>
      </c>
      <c r="F492" s="23">
        <v>10.199999999999999</v>
      </c>
      <c r="G492" s="23">
        <v>11.6</v>
      </c>
      <c r="H492" s="225">
        <v>11.4</v>
      </c>
      <c r="I492" s="341">
        <v>42.6</v>
      </c>
      <c r="J492" s="57"/>
      <c r="K492" s="59">
        <f>B492/$B$23</f>
        <v>2.0957770093262078E-3</v>
      </c>
      <c r="L492" s="59">
        <f>C492/$C$23</f>
        <v>0</v>
      </c>
      <c r="M492" s="59">
        <f>D492/$D$23</f>
        <v>1.2034418436729045E-3</v>
      </c>
      <c r="N492" s="59">
        <f>E492/$E$23</f>
        <v>6.3180282747403969E-3</v>
      </c>
      <c r="O492" s="59">
        <f>F492/$F$23</f>
        <v>6.519238143934551E-3</v>
      </c>
      <c r="P492" s="59">
        <f>G492/$G$23</f>
        <v>7.8383674572606258E-3</v>
      </c>
      <c r="Q492" s="59">
        <f>H492/$H$23</f>
        <v>9.4984169305115818E-3</v>
      </c>
      <c r="R492" s="80"/>
      <c r="S492" s="57"/>
      <c r="T492" s="57"/>
      <c r="U492" s="59">
        <f>_xlfn.RRI(5.5,H492,B492)</f>
        <v>-0.17338946774223929</v>
      </c>
      <c r="V492" s="59">
        <f>_xlfn.RRI(5,H492,C492)</f>
        <v>-1</v>
      </c>
      <c r="W492" s="59"/>
      <c r="X492" s="59"/>
      <c r="Y492" s="59"/>
      <c r="Z492" s="59"/>
      <c r="AA492" s="59"/>
      <c r="AB492" s="59"/>
      <c r="AC492" s="59"/>
      <c r="AD492" s="80"/>
      <c r="AE492" s="57"/>
      <c r="AF492" s="73"/>
      <c r="AG492" s="23">
        <v>4</v>
      </c>
      <c r="AH492" s="146">
        <v>0</v>
      </c>
      <c r="AI492" s="136"/>
      <c r="AJ492" s="23">
        <v>0</v>
      </c>
      <c r="AK492" s="23">
        <v>0</v>
      </c>
    </row>
    <row r="493" spans="1:37" ht="15.75" thickBot="1" x14ac:dyDescent="0.3">
      <c r="A493" s="195" t="s">
        <v>316</v>
      </c>
      <c r="B493" s="215">
        <f>SUM(B491:B492)</f>
        <v>24.799999999999997</v>
      </c>
      <c r="C493" s="215">
        <f t="shared" ref="C493:H493" si="370">SUM(C491:C492)</f>
        <v>20.5</v>
      </c>
      <c r="D493" s="215">
        <f t="shared" si="370"/>
        <v>23.3</v>
      </c>
      <c r="E493" s="215">
        <f t="shared" si="370"/>
        <v>31.299999999999997</v>
      </c>
      <c r="F493" s="215">
        <f t="shared" si="370"/>
        <v>32.299999999999997</v>
      </c>
      <c r="G493" s="215">
        <f t="shared" si="370"/>
        <v>11.6</v>
      </c>
      <c r="H493" s="215">
        <f t="shared" si="370"/>
        <v>11.4</v>
      </c>
      <c r="I493" s="215">
        <f>SUM(I491:I492)</f>
        <v>42.6</v>
      </c>
      <c r="K493" s="220"/>
      <c r="L493" s="220"/>
      <c r="M493" s="220"/>
      <c r="N493" s="220"/>
      <c r="O493" s="220"/>
      <c r="P493" s="220"/>
      <c r="Q493" s="220"/>
      <c r="U493" s="220"/>
      <c r="V493" s="220"/>
      <c r="W493" s="220"/>
      <c r="X493" s="220"/>
      <c r="Y493" s="220"/>
      <c r="Z493" s="220"/>
      <c r="AA493" s="220"/>
      <c r="AB493" s="220"/>
      <c r="AC493" s="220"/>
      <c r="AF493" s="220"/>
      <c r="AG493" s="215">
        <f>SUM(AG491:AG492)</f>
        <v>25.7</v>
      </c>
      <c r="AH493" s="216">
        <f t="shared" ref="AH493:AK493" si="371">SUM(AH491:AH492)</f>
        <v>20.9</v>
      </c>
      <c r="AI493" s="215"/>
      <c r="AJ493" s="215">
        <f t="shared" si="371"/>
        <v>20.9</v>
      </c>
      <c r="AK493" s="215">
        <f t="shared" si="371"/>
        <v>21.4</v>
      </c>
    </row>
    <row r="494" spans="1:37" ht="15.75" thickTop="1" x14ac:dyDescent="0.25">
      <c r="AH494" s="217"/>
    </row>
    <row r="495" spans="1:37" x14ac:dyDescent="0.25">
      <c r="A495" s="14" t="s">
        <v>55</v>
      </c>
      <c r="B495" s="118">
        <f>AG495+AH495+C495-(AJ495+AK495)</f>
        <v>29.600000000000009</v>
      </c>
      <c r="C495" s="8">
        <v>34.700000000000003</v>
      </c>
      <c r="D495" s="8">
        <v>38.6</v>
      </c>
      <c r="E495" s="8">
        <v>46.2</v>
      </c>
      <c r="F495" s="8">
        <v>46.6</v>
      </c>
      <c r="G495" s="8">
        <v>48.2</v>
      </c>
      <c r="H495" s="222">
        <v>46.3</v>
      </c>
      <c r="I495" s="336">
        <v>51.6</v>
      </c>
      <c r="J495" s="57"/>
      <c r="K495" s="58">
        <f>B495/$B$23</f>
        <v>1.5508749869013945E-2</v>
      </c>
      <c r="L495" s="58">
        <f>C495/$C$23</f>
        <v>2.0275797592614234E-2</v>
      </c>
      <c r="M495" s="58">
        <f>D495/$D$23</f>
        <v>2.3226427582887055E-2</v>
      </c>
      <c r="N495" s="58">
        <f>E495/$E$23</f>
        <v>2.890028775178281E-2</v>
      </c>
      <c r="O495" s="58">
        <f>F495/$F$23</f>
        <v>2.9783970343857852E-2</v>
      </c>
      <c r="P495" s="58">
        <f>G495/$G$23</f>
        <v>3.2569768227582944E-2</v>
      </c>
      <c r="Q495" s="58">
        <f>H495/$H$23</f>
        <v>3.8576903849358433E-2</v>
      </c>
      <c r="R495" s="58"/>
      <c r="S495" s="57"/>
      <c r="T495" s="57"/>
      <c r="U495" s="58">
        <f>_xlfn.RRI(5.5,H495,B495)</f>
        <v>-7.811939879878127E-2</v>
      </c>
      <c r="V495" s="58">
        <f>_xlfn.RRI(5,H495,C495)</f>
        <v>-5.6048465595558539E-2</v>
      </c>
      <c r="W495" s="58">
        <f>AVERAGE(X495:AC495)</f>
        <v>-6.8875748667361639E-2</v>
      </c>
      <c r="X495" s="58">
        <f t="shared" ref="X495:AC497" si="372">(B495-C495)/C495</f>
        <v>-0.1469740634005762</v>
      </c>
      <c r="Y495" s="58">
        <f t="shared" si="372"/>
        <v>-0.10103626943005177</v>
      </c>
      <c r="Z495" s="58">
        <f t="shared" si="372"/>
        <v>-0.16450216450216451</v>
      </c>
      <c r="AA495" s="58">
        <f t="shared" si="372"/>
        <v>-8.5836909871244323E-3</v>
      </c>
      <c r="AB495" s="58">
        <f t="shared" si="372"/>
        <v>-3.3195020746887995E-2</v>
      </c>
      <c r="AC495" s="58">
        <f t="shared" si="372"/>
        <v>4.1036717062635113E-2</v>
      </c>
      <c r="AD495" s="58"/>
      <c r="AE495" s="57"/>
      <c r="AF495" s="57"/>
      <c r="AG495" s="8">
        <v>35.299999999999997</v>
      </c>
      <c r="AH495" s="144">
        <v>35.1</v>
      </c>
      <c r="AI495" s="135"/>
      <c r="AJ495" s="8">
        <v>37.4</v>
      </c>
      <c r="AK495" s="8">
        <v>38.1</v>
      </c>
    </row>
    <row r="496" spans="1:37" x14ac:dyDescent="0.25">
      <c r="A496" s="14" t="s">
        <v>56</v>
      </c>
      <c r="B496" s="118">
        <f>AG496+AH496+C496-(AJ496+AK496)</f>
        <v>10.600000000000001</v>
      </c>
      <c r="C496" s="8">
        <v>21.5</v>
      </c>
      <c r="D496" s="8">
        <v>33.4</v>
      </c>
      <c r="E496" s="8">
        <v>21.3</v>
      </c>
      <c r="F496" s="8">
        <v>7.4</v>
      </c>
      <c r="G496" s="8">
        <v>6.8</v>
      </c>
      <c r="H496" s="222">
        <v>7.3</v>
      </c>
      <c r="I496" s="336">
        <v>6.3</v>
      </c>
      <c r="J496" s="57"/>
      <c r="K496" s="58">
        <f>B496/$B$23</f>
        <v>5.5538090747144523E-3</v>
      </c>
      <c r="L496" s="58">
        <f>C496/$C$23</f>
        <v>1.2562814070351758E-2</v>
      </c>
      <c r="M496" s="58">
        <f>D496/$D$23</f>
        <v>2.0097478789337504E-2</v>
      </c>
      <c r="N496" s="58">
        <f>E496/$E$23</f>
        <v>1.3324158638808958E-2</v>
      </c>
      <c r="O496" s="58">
        <f>F496/$F$23</f>
        <v>4.7296433593250666E-3</v>
      </c>
      <c r="P496" s="58">
        <f>G496/$G$23</f>
        <v>4.5949050611527806E-3</v>
      </c>
      <c r="Q496" s="58">
        <f>H496/$H$23</f>
        <v>6.0823196133977667E-3</v>
      </c>
      <c r="R496" s="58"/>
      <c r="S496" s="57"/>
      <c r="T496" s="57"/>
      <c r="U496" s="58">
        <f>_xlfn.RRI(5.5,H496,B496)</f>
        <v>7.0166755247763835E-2</v>
      </c>
      <c r="V496" s="58">
        <f>_xlfn.RRI(5,H496,C496)</f>
        <v>0.24114670873730493</v>
      </c>
      <c r="W496" s="58">
        <f>AVERAGE(X496:AC496)</f>
        <v>0.26715524497437315</v>
      </c>
      <c r="X496" s="58">
        <f t="shared" si="372"/>
        <v>-0.50697674418604644</v>
      </c>
      <c r="Y496" s="58">
        <f t="shared" si="372"/>
        <v>-0.35628742514970058</v>
      </c>
      <c r="Z496" s="58">
        <f t="shared" si="372"/>
        <v>0.56807511737089189</v>
      </c>
      <c r="AA496" s="58">
        <f t="shared" si="372"/>
        <v>1.8783783783783783</v>
      </c>
      <c r="AB496" s="58">
        <f t="shared" si="372"/>
        <v>8.8235294117647134E-2</v>
      </c>
      <c r="AC496" s="58">
        <f t="shared" si="372"/>
        <v>-6.8493150684931503E-2</v>
      </c>
      <c r="AD496" s="58"/>
      <c r="AE496" s="57"/>
      <c r="AF496" s="57"/>
      <c r="AG496" s="8">
        <v>22</v>
      </c>
      <c r="AH496" s="144">
        <v>23.2</v>
      </c>
      <c r="AI496" s="135"/>
      <c r="AJ496" s="8">
        <v>24.1</v>
      </c>
      <c r="AK496" s="8">
        <v>32</v>
      </c>
    </row>
    <row r="497" spans="1:37" x14ac:dyDescent="0.25">
      <c r="A497" s="14" t="s">
        <v>58</v>
      </c>
      <c r="B497" s="120">
        <f>AG497+AH497+C497-(AJ497+AK497)</f>
        <v>46.999999999999986</v>
      </c>
      <c r="C497" s="23">
        <v>44.2</v>
      </c>
      <c r="D497" s="23">
        <v>41.6</v>
      </c>
      <c r="E497" s="23">
        <v>45.9</v>
      </c>
      <c r="F497" s="23">
        <v>72.099999999999994</v>
      </c>
      <c r="G497" s="23">
        <v>80.400000000000006</v>
      </c>
      <c r="H497" s="225">
        <v>94</v>
      </c>
      <c r="I497" s="341">
        <v>82.1</v>
      </c>
      <c r="J497" s="57"/>
      <c r="K497" s="59">
        <f>B497/$B$23</f>
        <v>2.4625379859582935E-2</v>
      </c>
      <c r="L497" s="59">
        <f>C497/$C$23</f>
        <v>2.5826808460909196E-2</v>
      </c>
      <c r="M497" s="59">
        <f>D497/$D$23</f>
        <v>2.5031590348396412E-2</v>
      </c>
      <c r="N497" s="59">
        <f>E497/$E$23</f>
        <v>2.87126235456024E-2</v>
      </c>
      <c r="O497" s="59">
        <f>F497/$F$23</f>
        <v>4.6082065703694226E-2</v>
      </c>
      <c r="P497" s="59">
        <f>G497/$G$23</f>
        <v>5.4327995134806406E-2</v>
      </c>
      <c r="Q497" s="59">
        <f>H497/$H$23</f>
        <v>7.8320279953341107E-2</v>
      </c>
      <c r="R497" s="80"/>
      <c r="S497" s="57"/>
      <c r="T497" s="57"/>
      <c r="U497" s="59">
        <f>_xlfn.RRI(5.5,H497,B497)</f>
        <v>-0.11840874500397891</v>
      </c>
      <c r="V497" s="59">
        <f>_xlfn.RRI(5,H497,C497)</f>
        <v>-0.14007835008706104</v>
      </c>
      <c r="W497" s="59">
        <f>AVERAGE(X497:AC497)</f>
        <v>-9.6522061909707427E-2</v>
      </c>
      <c r="X497" s="59">
        <f t="shared" si="372"/>
        <v>6.3348416289592369E-2</v>
      </c>
      <c r="Y497" s="59">
        <f t="shared" si="372"/>
        <v>6.2500000000000028E-2</v>
      </c>
      <c r="Z497" s="59">
        <f t="shared" si="372"/>
        <v>-9.3681917211328916E-2</v>
      </c>
      <c r="AA497" s="59">
        <f t="shared" si="372"/>
        <v>-0.36338418862690702</v>
      </c>
      <c r="AB497" s="59">
        <f t="shared" si="372"/>
        <v>-0.10323383084577128</v>
      </c>
      <c r="AC497" s="59">
        <f t="shared" si="372"/>
        <v>-0.14468085106382972</v>
      </c>
      <c r="AD497" s="80"/>
      <c r="AE497" s="57"/>
      <c r="AF497" s="73"/>
      <c r="AG497" s="23">
        <v>43</v>
      </c>
      <c r="AH497" s="146">
        <v>45</v>
      </c>
      <c r="AI497" s="136"/>
      <c r="AJ497" s="23">
        <v>42.6</v>
      </c>
      <c r="AK497" s="23">
        <v>42.6</v>
      </c>
    </row>
    <row r="498" spans="1:37" ht="15.75" thickBot="1" x14ac:dyDescent="0.3">
      <c r="A498" s="195" t="s">
        <v>317</v>
      </c>
      <c r="B498" s="215">
        <f>SUM(B495:B497)</f>
        <v>87.199999999999989</v>
      </c>
      <c r="C498" s="215">
        <f t="shared" ref="C498:H498" si="373">SUM(C495:C497)</f>
        <v>100.4</v>
      </c>
      <c r="D498" s="215">
        <f t="shared" si="373"/>
        <v>113.6</v>
      </c>
      <c r="E498" s="215">
        <f t="shared" si="373"/>
        <v>113.4</v>
      </c>
      <c r="F498" s="215">
        <f t="shared" si="373"/>
        <v>126.1</v>
      </c>
      <c r="G498" s="215">
        <f t="shared" si="373"/>
        <v>135.4</v>
      </c>
      <c r="H498" s="215">
        <f t="shared" si="373"/>
        <v>147.6</v>
      </c>
      <c r="I498" s="215">
        <f>SUM(I495:I497)</f>
        <v>140</v>
      </c>
      <c r="K498" s="220"/>
      <c r="L498" s="220"/>
      <c r="M498" s="220"/>
      <c r="N498" s="220"/>
      <c r="O498" s="220"/>
      <c r="P498" s="220"/>
      <c r="Q498" s="220"/>
      <c r="U498" s="220"/>
      <c r="V498" s="220"/>
      <c r="W498" s="220"/>
      <c r="X498" s="220"/>
      <c r="Y498" s="220"/>
      <c r="Z498" s="220"/>
      <c r="AA498" s="220"/>
      <c r="AB498" s="220"/>
      <c r="AC498" s="220"/>
      <c r="AF498" s="220"/>
      <c r="AG498" s="215">
        <f>SUM(AG495:AG497)</f>
        <v>100.3</v>
      </c>
      <c r="AH498" s="216">
        <f t="shared" ref="AH498:AK498" si="374">SUM(AH495:AH497)</f>
        <v>103.3</v>
      </c>
      <c r="AI498" s="215"/>
      <c r="AJ498" s="215">
        <f t="shared" si="374"/>
        <v>104.1</v>
      </c>
      <c r="AK498" s="215">
        <f t="shared" si="374"/>
        <v>112.69999999999999</v>
      </c>
    </row>
    <row r="499" spans="1:37" ht="15.75" thickTop="1" x14ac:dyDescent="0.25">
      <c r="B499" s="61"/>
      <c r="C499" s="61"/>
      <c r="D499" s="61"/>
      <c r="E499" s="61"/>
      <c r="F499" s="61"/>
      <c r="G499" s="61"/>
      <c r="H499" s="61"/>
      <c r="I499" s="61"/>
      <c r="J499" s="57"/>
      <c r="K499" s="80"/>
      <c r="L499" s="80"/>
      <c r="M499" s="80"/>
      <c r="N499" s="80"/>
      <c r="O499" s="80"/>
      <c r="P499" s="80"/>
      <c r="Q499" s="80"/>
      <c r="R499" s="80"/>
      <c r="S499" s="57"/>
      <c r="T499" s="57"/>
      <c r="U499" s="58"/>
      <c r="V499" s="58"/>
      <c r="W499" s="58"/>
      <c r="X499" s="58"/>
      <c r="Y499" s="58"/>
      <c r="Z499" s="58"/>
      <c r="AA499" s="58"/>
      <c r="AB499" s="58"/>
      <c r="AC499" s="58"/>
      <c r="AD499" s="58"/>
      <c r="AE499" s="57"/>
      <c r="AF499" s="132"/>
      <c r="AG499" s="132"/>
      <c r="AH499" s="168"/>
      <c r="AI499" s="132"/>
      <c r="AJ499" s="132"/>
      <c r="AK499" s="132"/>
    </row>
    <row r="500" spans="1:37" ht="15" customHeight="1" x14ac:dyDescent="0.25">
      <c r="A500" s="14" t="s">
        <v>109</v>
      </c>
      <c r="B500" s="61">
        <f>C500+AG500-AJ500</f>
        <v>142.6</v>
      </c>
      <c r="C500" s="9">
        <v>140.1</v>
      </c>
      <c r="D500" s="9">
        <v>135.9</v>
      </c>
      <c r="E500" s="9">
        <v>131.80000000000001</v>
      </c>
      <c r="F500" s="9">
        <v>136.19999999999999</v>
      </c>
      <c r="G500" s="9">
        <v>145.69999999999999</v>
      </c>
      <c r="H500" s="224">
        <v>121.9</v>
      </c>
      <c r="I500" s="337">
        <v>116.8</v>
      </c>
      <c r="J500" s="57"/>
      <c r="K500" s="80">
        <f>B500/$B$23</f>
        <v>7.4714450382479314E-2</v>
      </c>
      <c r="L500" s="80">
        <f>C500/$C$23</f>
        <v>8.1862802384013084E-2</v>
      </c>
      <c r="M500" s="80">
        <f>D500/$D$23</f>
        <v>8.1773873277573864E-2</v>
      </c>
      <c r="N500" s="80">
        <f>E500/$E$23</f>
        <v>8.2447141248592523E-2</v>
      </c>
      <c r="O500" s="80">
        <f>F500/$F$23</f>
        <v>8.7051003451361353E-2</v>
      </c>
      <c r="P500" s="80">
        <f>G500/$G$23</f>
        <v>9.8452598148523529E-2</v>
      </c>
      <c r="Q500" s="80">
        <f>H500/$H$23</f>
        <v>0.10156640559906682</v>
      </c>
      <c r="R500" s="80"/>
      <c r="S500" s="57"/>
      <c r="T500" s="57"/>
      <c r="U500" s="58">
        <f>_xlfn.RRI(5.5,H500,B500)</f>
        <v>2.8927310042646148E-2</v>
      </c>
      <c r="V500" s="58">
        <f>_xlfn.RRI(5,H500,C500)</f>
        <v>2.8221985959977935E-2</v>
      </c>
      <c r="W500" s="58">
        <f t="shared" si="345"/>
        <v>-2.9598551790714467E-2</v>
      </c>
      <c r="X500" s="58">
        <f t="shared" ref="X500:AC502" si="375">(C500-B500)/C500</f>
        <v>-1.7844396859386154E-2</v>
      </c>
      <c r="Y500" s="58">
        <f t="shared" si="375"/>
        <v>-3.0905077262693072E-2</v>
      </c>
      <c r="Z500" s="58">
        <f t="shared" si="375"/>
        <v>-3.1107738998482504E-2</v>
      </c>
      <c r="AA500" s="58">
        <f t="shared" si="375"/>
        <v>3.230543318649029E-2</v>
      </c>
      <c r="AB500" s="58">
        <f t="shared" si="375"/>
        <v>6.5202470830473577E-2</v>
      </c>
      <c r="AC500" s="58">
        <f t="shared" si="375"/>
        <v>-0.19524200164068894</v>
      </c>
      <c r="AD500" s="58"/>
      <c r="AE500" s="57"/>
      <c r="AF500" s="132"/>
      <c r="AG500" s="9">
        <v>39.9</v>
      </c>
      <c r="AH500" s="148">
        <v>37.6</v>
      </c>
      <c r="AI500" s="53"/>
      <c r="AJ500" s="9">
        <v>37.4</v>
      </c>
      <c r="AK500" s="9">
        <v>35.6</v>
      </c>
    </row>
    <row r="501" spans="1:37" ht="15" customHeight="1" x14ac:dyDescent="0.25">
      <c r="A501" s="14" t="s">
        <v>86</v>
      </c>
      <c r="B501" s="68">
        <f>C501+AG501-AJ501</f>
        <v>13.8</v>
      </c>
      <c r="C501" s="10">
        <v>13.2</v>
      </c>
      <c r="D501" s="10">
        <v>13</v>
      </c>
      <c r="E501" s="10">
        <v>11.3</v>
      </c>
      <c r="F501" s="10">
        <v>12.1</v>
      </c>
      <c r="G501" s="10">
        <v>12.5</v>
      </c>
      <c r="H501" s="226">
        <v>10.6</v>
      </c>
      <c r="I501" s="337">
        <v>8.9</v>
      </c>
      <c r="J501" s="57"/>
      <c r="K501" s="59">
        <f>B501/$B$23</f>
        <v>7.2304306821754181E-3</v>
      </c>
      <c r="L501" s="59">
        <f>C501/$C$23</f>
        <v>7.7129835222624742E-3</v>
      </c>
      <c r="M501" s="59">
        <f>D501/$D$23</f>
        <v>7.822371983873878E-3</v>
      </c>
      <c r="N501" s="59">
        <f>E501/$E$23</f>
        <v>7.0686850994620288E-3</v>
      </c>
      <c r="O501" s="59">
        <f>F501/$F$23</f>
        <v>7.7336060334909874E-3</v>
      </c>
      <c r="P501" s="59">
        <f>G501/$G$23</f>
        <v>8.4465166565308464E-3</v>
      </c>
      <c r="Q501" s="59">
        <f>H501/$H$23</f>
        <v>8.8318613564405922E-3</v>
      </c>
      <c r="R501" s="80"/>
      <c r="S501" s="57"/>
      <c r="T501" s="57"/>
      <c r="U501" s="59">
        <f>_xlfn.RRI(5.5,H501,B501)</f>
        <v>4.9135287623395474E-2</v>
      </c>
      <c r="V501" s="59">
        <f>_xlfn.RRI(5,H501,C501)</f>
        <v>4.4849196772801969E-2</v>
      </c>
      <c r="W501" s="59">
        <f t="shared" si="345"/>
        <v>-4.8735203209132695E-2</v>
      </c>
      <c r="X501" s="59">
        <f t="shared" si="375"/>
        <v>-4.5454545454545567E-2</v>
      </c>
      <c r="Y501" s="59">
        <f t="shared" si="375"/>
        <v>-1.538461538461533E-2</v>
      </c>
      <c r="Z501" s="59">
        <f t="shared" si="375"/>
        <v>-0.15044247787610612</v>
      </c>
      <c r="AA501" s="59">
        <f t="shared" si="375"/>
        <v>6.6115702479338762E-2</v>
      </c>
      <c r="AB501" s="59">
        <f t="shared" si="375"/>
        <v>3.2000000000000028E-2</v>
      </c>
      <c r="AC501" s="59">
        <f t="shared" si="375"/>
        <v>-0.17924528301886797</v>
      </c>
      <c r="AD501" s="80"/>
      <c r="AE501" s="57"/>
      <c r="AF501" s="173"/>
      <c r="AG501" s="10">
        <v>3.8</v>
      </c>
      <c r="AH501" s="149">
        <v>4</v>
      </c>
      <c r="AI501" s="54"/>
      <c r="AJ501" s="10">
        <v>3.2</v>
      </c>
      <c r="AK501" s="10">
        <v>3.5</v>
      </c>
    </row>
    <row r="502" spans="1:37" ht="15.75" thickBot="1" x14ac:dyDescent="0.3">
      <c r="A502" s="6" t="s">
        <v>110</v>
      </c>
      <c r="B502" s="103">
        <f>SUM(B500:B501)</f>
        <v>156.4</v>
      </c>
      <c r="C502" s="103">
        <f>SUM(C500:C501)</f>
        <v>153.29999999999998</v>
      </c>
      <c r="D502" s="103">
        <f t="shared" ref="D502:H502" si="376">SUM(D500:D501)</f>
        <v>148.9</v>
      </c>
      <c r="E502" s="103">
        <f t="shared" si="376"/>
        <v>143.10000000000002</v>
      </c>
      <c r="F502" s="103">
        <f t="shared" si="376"/>
        <v>148.29999999999998</v>
      </c>
      <c r="G502" s="103">
        <f t="shared" si="376"/>
        <v>158.19999999999999</v>
      </c>
      <c r="H502" s="103">
        <f t="shared" si="376"/>
        <v>132.5</v>
      </c>
      <c r="I502" s="103">
        <f>SUM(I500:I501)</f>
        <v>125.7</v>
      </c>
      <c r="J502" s="57"/>
      <c r="K502" s="19">
        <f>B502/$B$23</f>
        <v>8.1944881064654737E-2</v>
      </c>
      <c r="L502" s="19">
        <f>C502/$C$23</f>
        <v>8.9575785906275546E-2</v>
      </c>
      <c r="M502" s="19">
        <f>D502/$D$23</f>
        <v>8.9596245261447743E-2</v>
      </c>
      <c r="N502" s="19">
        <f>E502/$E$23</f>
        <v>8.951582634805455E-2</v>
      </c>
      <c r="O502" s="19">
        <f>F502/$F$23</f>
        <v>9.4784609484852345E-2</v>
      </c>
      <c r="P502" s="19">
        <f>G502/$G$23</f>
        <v>0.10689911480505439</v>
      </c>
      <c r="Q502" s="19">
        <f>H502/$H$23</f>
        <v>0.11039826695550742</v>
      </c>
      <c r="R502" s="32"/>
      <c r="S502" s="57"/>
      <c r="T502" s="57"/>
      <c r="U502" s="211">
        <f>_xlfn.RRI(5.5,H502,B502)</f>
        <v>3.0610834411654242E-2</v>
      </c>
      <c r="V502" s="211">
        <f>_xlfn.RRI(5,H502,C502)</f>
        <v>2.9592227363256507E-2</v>
      </c>
      <c r="W502" s="211">
        <f t="shared" si="345"/>
        <v>-3.1103684827474647E-2</v>
      </c>
      <c r="X502" s="211">
        <f t="shared" si="375"/>
        <v>-2.0221787345075168E-2</v>
      </c>
      <c r="Y502" s="211">
        <f t="shared" si="375"/>
        <v>-2.9550033579583461E-2</v>
      </c>
      <c r="Z502" s="211">
        <f t="shared" si="375"/>
        <v>-4.0531097134870596E-2</v>
      </c>
      <c r="AA502" s="211">
        <f t="shared" si="375"/>
        <v>3.5064059339177077E-2</v>
      </c>
      <c r="AB502" s="211">
        <f t="shared" si="375"/>
        <v>6.2579013906447573E-2</v>
      </c>
      <c r="AC502" s="211">
        <f t="shared" si="375"/>
        <v>-0.19396226415094331</v>
      </c>
      <c r="AD502" s="80"/>
      <c r="AE502" s="57"/>
      <c r="AF502" s="212"/>
      <c r="AG502" s="212">
        <f>SUM(AG500:AG501)</f>
        <v>43.699999999999996</v>
      </c>
      <c r="AH502" s="213">
        <f t="shared" ref="AH502" si="377">SUM(AH500:AH501)</f>
        <v>41.6</v>
      </c>
      <c r="AI502" s="212"/>
      <c r="AJ502" s="212">
        <f>SUM(AJ500:AJ501)</f>
        <v>40.6</v>
      </c>
      <c r="AK502" s="212">
        <f>SUM(AK500:AK501)</f>
        <v>39.1</v>
      </c>
    </row>
    <row r="503" spans="1:37" ht="15.75" thickTop="1" x14ac:dyDescent="0.25">
      <c r="B503" s="61"/>
      <c r="C503" s="61"/>
      <c r="D503" s="61"/>
      <c r="E503" s="61"/>
      <c r="F503" s="61"/>
      <c r="G503" s="61"/>
      <c r="H503" s="61"/>
      <c r="I503" s="61"/>
      <c r="J503" s="57"/>
      <c r="K503" s="57"/>
      <c r="L503" s="57"/>
      <c r="M503" s="57"/>
      <c r="N503" s="57"/>
      <c r="O503" s="57"/>
      <c r="P503" s="57"/>
      <c r="Q503" s="57"/>
      <c r="R503" s="57"/>
      <c r="S503" s="57"/>
      <c r="T503" s="57"/>
      <c r="U503" s="58"/>
      <c r="V503" s="58"/>
      <c r="W503" s="58"/>
      <c r="X503" s="58"/>
      <c r="Y503" s="58"/>
      <c r="Z503" s="58"/>
      <c r="AA503" s="58"/>
      <c r="AB503" s="58"/>
      <c r="AC503" s="58"/>
      <c r="AD503" s="58"/>
      <c r="AE503" s="57"/>
      <c r="AF503" s="132"/>
      <c r="AG503" s="132"/>
      <c r="AH503" s="168"/>
      <c r="AI503" s="132"/>
      <c r="AJ503" s="132"/>
      <c r="AK503" s="132"/>
    </row>
    <row r="504" spans="1:37" s="35" customFormat="1" ht="15" customHeight="1" x14ac:dyDescent="0.25">
      <c r="A504" s="37" t="s">
        <v>95</v>
      </c>
      <c r="B504" s="38"/>
      <c r="C504" s="9">
        <v>3</v>
      </c>
      <c r="D504" s="9">
        <v>5.2</v>
      </c>
      <c r="E504" s="9">
        <v>0.7</v>
      </c>
      <c r="F504" s="9">
        <v>-14.9</v>
      </c>
      <c r="G504" s="9">
        <v>-0.5</v>
      </c>
      <c r="H504" s="224">
        <v>0.2</v>
      </c>
      <c r="I504" s="337">
        <v>-0.2</v>
      </c>
      <c r="U504" s="58">
        <f t="shared" ref="U504:U510" si="378">_xlfn.RRI(5.5,H504,B504)</f>
        <v>-1</v>
      </c>
      <c r="V504" s="58">
        <f t="shared" ref="V504:V510" si="379">_xlfn.RRI(5,H504,C504)</f>
        <v>0.71877192758747888</v>
      </c>
      <c r="W504" s="58">
        <f t="shared" si="345"/>
        <v>-4.8764191066204488</v>
      </c>
      <c r="X504" s="58">
        <f t="shared" ref="X504:AC510" si="380">(C504-B504)/C504</f>
        <v>1</v>
      </c>
      <c r="Y504" s="58">
        <f t="shared" si="380"/>
        <v>0.42307692307692307</v>
      </c>
      <c r="Z504" s="58">
        <f t="shared" si="380"/>
        <v>-6.4285714285714288</v>
      </c>
      <c r="AA504" s="58">
        <f t="shared" si="380"/>
        <v>1.0469798657718121</v>
      </c>
      <c r="AB504" s="58">
        <f t="shared" si="380"/>
        <v>-28.8</v>
      </c>
      <c r="AC504" s="58">
        <f t="shared" si="380"/>
        <v>3.4999999999999996</v>
      </c>
      <c r="AD504" s="58"/>
      <c r="AF504" s="38"/>
      <c r="AG504" s="38"/>
      <c r="AH504" s="158"/>
      <c r="AI504" s="38"/>
      <c r="AJ504" s="38"/>
      <c r="AK504" s="38"/>
    </row>
    <row r="505" spans="1:37" s="35" customFormat="1" ht="15" customHeight="1" x14ac:dyDescent="0.25">
      <c r="A505" s="37" t="s">
        <v>96</v>
      </c>
      <c r="B505" s="38"/>
      <c r="C505" s="9">
        <v>-0.6</v>
      </c>
      <c r="D505" s="9">
        <v>1.1000000000000001</v>
      </c>
      <c r="E505" s="9">
        <v>1.6</v>
      </c>
      <c r="F505" s="9">
        <v>0.4</v>
      </c>
      <c r="G505" s="9">
        <v>-0.2</v>
      </c>
      <c r="H505" s="224">
        <v>-1.2</v>
      </c>
      <c r="I505" s="337">
        <v>0.5</v>
      </c>
      <c r="U505" s="58">
        <f t="shared" si="378"/>
        <v>-1</v>
      </c>
      <c r="V505" s="58">
        <f t="shared" si="379"/>
        <v>-0.12944943670387588</v>
      </c>
      <c r="W505" s="58">
        <f t="shared" si="345"/>
        <v>0.61521464646464652</v>
      </c>
      <c r="X505" s="58">
        <f t="shared" si="380"/>
        <v>1</v>
      </c>
      <c r="Y505" s="58">
        <f t="shared" si="380"/>
        <v>1.5454545454545454</v>
      </c>
      <c r="Z505" s="58">
        <f t="shared" si="380"/>
        <v>0.3125</v>
      </c>
      <c r="AA505" s="58">
        <f t="shared" si="380"/>
        <v>-3.0000000000000004</v>
      </c>
      <c r="AB505" s="58">
        <f t="shared" si="380"/>
        <v>3.0000000000000004</v>
      </c>
      <c r="AC505" s="58">
        <f t="shared" si="380"/>
        <v>0.83333333333333337</v>
      </c>
      <c r="AD505" s="58"/>
      <c r="AF505" s="38"/>
      <c r="AG505" s="38"/>
      <c r="AH505" s="158"/>
      <c r="AI505" s="38"/>
      <c r="AJ505" s="38"/>
      <c r="AK505" s="38"/>
    </row>
    <row r="506" spans="1:37" s="35" customFormat="1" ht="15" customHeight="1" x14ac:dyDescent="0.25">
      <c r="A506" s="37" t="s">
        <v>97</v>
      </c>
      <c r="B506" s="38"/>
      <c r="C506" s="9">
        <v>0.2</v>
      </c>
      <c r="D506" s="9">
        <v>10.6</v>
      </c>
      <c r="E506" s="9">
        <v>6.1</v>
      </c>
      <c r="F506" s="9">
        <v>3.1</v>
      </c>
      <c r="G506" s="9">
        <v>9.6</v>
      </c>
      <c r="H506" s="224">
        <v>2.6</v>
      </c>
      <c r="I506" s="337">
        <v>-1.6</v>
      </c>
      <c r="U506" s="58">
        <f t="shared" si="378"/>
        <v>-1</v>
      </c>
      <c r="V506" s="58">
        <f t="shared" si="379"/>
        <v>-0.40129714445850229</v>
      </c>
      <c r="W506" s="58">
        <f t="shared" si="345"/>
        <v>-0.28992318950321971</v>
      </c>
      <c r="X506" s="58">
        <f t="shared" si="380"/>
        <v>1</v>
      </c>
      <c r="Y506" s="58">
        <f t="shared" si="380"/>
        <v>0.98113207547169823</v>
      </c>
      <c r="Z506" s="58">
        <f t="shared" si="380"/>
        <v>-0.73770491803278693</v>
      </c>
      <c r="AA506" s="58">
        <f t="shared" si="380"/>
        <v>-0.96774193548387077</v>
      </c>
      <c r="AB506" s="58">
        <f t="shared" si="380"/>
        <v>0.67708333333333337</v>
      </c>
      <c r="AC506" s="58">
        <f t="shared" si="380"/>
        <v>-2.6923076923076921</v>
      </c>
      <c r="AD506" s="58"/>
      <c r="AF506" s="38"/>
      <c r="AG506" s="38"/>
      <c r="AH506" s="158"/>
      <c r="AI506" s="38"/>
      <c r="AJ506" s="38"/>
      <c r="AK506" s="38"/>
    </row>
    <row r="507" spans="1:37" s="35" customFormat="1" ht="15" customHeight="1" x14ac:dyDescent="0.25">
      <c r="A507" s="37" t="s">
        <v>98</v>
      </c>
      <c r="B507" s="38"/>
      <c r="C507" s="9">
        <v>28.4</v>
      </c>
      <c r="D507" s="9">
        <v>18.2</v>
      </c>
      <c r="E507" s="9">
        <v>11.1</v>
      </c>
      <c r="F507" s="9">
        <v>14.4</v>
      </c>
      <c r="G507" s="9">
        <v>17.899999999999999</v>
      </c>
      <c r="H507" s="224">
        <v>15.7</v>
      </c>
      <c r="I507" s="337">
        <v>13.3</v>
      </c>
      <c r="U507" s="58">
        <f t="shared" si="378"/>
        <v>-1</v>
      </c>
      <c r="V507" s="58">
        <f t="shared" si="379"/>
        <v>0.12585830952313648</v>
      </c>
      <c r="W507" s="58">
        <f t="shared" si="345"/>
        <v>1.4081800718236323E-2</v>
      </c>
      <c r="X507" s="58">
        <f t="shared" si="380"/>
        <v>1</v>
      </c>
      <c r="Y507" s="58">
        <f t="shared" si="380"/>
        <v>-0.56043956043956045</v>
      </c>
      <c r="Z507" s="58">
        <f t="shared" si="380"/>
        <v>-0.63963963963963966</v>
      </c>
      <c r="AA507" s="58">
        <f t="shared" si="380"/>
        <v>0.22916666666666671</v>
      </c>
      <c r="AB507" s="58">
        <f t="shared" si="380"/>
        <v>0.19553072625698315</v>
      </c>
      <c r="AC507" s="58">
        <f t="shared" si="380"/>
        <v>-0.14012738853503182</v>
      </c>
      <c r="AD507" s="58"/>
      <c r="AF507" s="38"/>
      <c r="AG507" s="38"/>
      <c r="AH507" s="158"/>
      <c r="AI507" s="38"/>
      <c r="AJ507" s="38"/>
      <c r="AK507" s="38"/>
    </row>
    <row r="508" spans="1:37" s="35" customFormat="1" ht="15" customHeight="1" x14ac:dyDescent="0.25">
      <c r="A508" s="196" t="s">
        <v>99</v>
      </c>
      <c r="B508" s="38"/>
      <c r="C508" s="53">
        <v>0.6</v>
      </c>
      <c r="D508" s="9">
        <v>0.9</v>
      </c>
      <c r="E508" s="9">
        <v>0.7</v>
      </c>
      <c r="F508" s="9">
        <v>0.5</v>
      </c>
      <c r="G508" s="9">
        <v>0.1</v>
      </c>
      <c r="H508" s="9">
        <v>0.6</v>
      </c>
      <c r="I508" s="337">
        <v>1.3</v>
      </c>
      <c r="U508" s="58">
        <f t="shared" si="378"/>
        <v>-1</v>
      </c>
      <c r="V508" s="58">
        <f t="shared" si="379"/>
        <v>0</v>
      </c>
      <c r="W508" s="58">
        <f t="shared" si="345"/>
        <v>-0.41984126984126974</v>
      </c>
      <c r="X508" s="58">
        <f t="shared" si="380"/>
        <v>1</v>
      </c>
      <c r="Y508" s="58">
        <f t="shared" si="380"/>
        <v>0.33333333333333337</v>
      </c>
      <c r="Z508" s="58">
        <f t="shared" si="380"/>
        <v>-0.28571428571428581</v>
      </c>
      <c r="AA508" s="58">
        <f t="shared" si="380"/>
        <v>-0.39999999999999991</v>
      </c>
      <c r="AB508" s="58">
        <f t="shared" si="380"/>
        <v>-4</v>
      </c>
      <c r="AC508" s="58">
        <f t="shared" si="380"/>
        <v>0.83333333333333337</v>
      </c>
      <c r="AD508" s="58"/>
      <c r="AF508" s="38"/>
      <c r="AG508" s="38"/>
      <c r="AH508" s="158"/>
      <c r="AI508" s="38"/>
      <c r="AJ508" s="38"/>
      <c r="AK508" s="38"/>
    </row>
    <row r="509" spans="1:37" s="35" customFormat="1" ht="15" customHeight="1" x14ac:dyDescent="0.25">
      <c r="A509" s="196" t="s">
        <v>100</v>
      </c>
      <c r="B509" s="48"/>
      <c r="C509" s="54">
        <v>0</v>
      </c>
      <c r="D509" s="10">
        <v>-1.5</v>
      </c>
      <c r="E509" s="10">
        <v>0.8</v>
      </c>
      <c r="F509" s="10">
        <v>-3.5</v>
      </c>
      <c r="G509" s="10">
        <v>-1.2</v>
      </c>
      <c r="H509" s="10">
        <v>11.1</v>
      </c>
      <c r="I509" s="337">
        <v>-1.9</v>
      </c>
      <c r="K509" s="169"/>
      <c r="L509" s="169"/>
      <c r="M509" s="169"/>
      <c r="N509" s="169"/>
      <c r="O509" s="169"/>
      <c r="P509" s="169"/>
      <c r="Q509" s="169"/>
      <c r="U509" s="59">
        <f t="shared" si="378"/>
        <v>-1</v>
      </c>
      <c r="V509" s="59">
        <f t="shared" si="379"/>
        <v>-1</v>
      </c>
      <c r="W509" s="59" t="e">
        <f t="shared" si="345"/>
        <v>#DIV/0!</v>
      </c>
      <c r="X509" s="59" t="e">
        <f t="shared" si="380"/>
        <v>#DIV/0!</v>
      </c>
      <c r="Y509" s="59">
        <f t="shared" si="380"/>
        <v>1</v>
      </c>
      <c r="Z509" s="59">
        <f t="shared" si="380"/>
        <v>2.8749999999999996</v>
      </c>
      <c r="AA509" s="59">
        <f t="shared" si="380"/>
        <v>1.2285714285714284</v>
      </c>
      <c r="AB509" s="59">
        <f t="shared" si="380"/>
        <v>-1.9166666666666665</v>
      </c>
      <c r="AC509" s="59">
        <f t="shared" si="380"/>
        <v>1.1081081081081081</v>
      </c>
      <c r="AD509" s="80"/>
      <c r="AF509" s="48"/>
      <c r="AG509" s="48"/>
      <c r="AH509" s="227"/>
      <c r="AI509" s="48"/>
      <c r="AJ509" s="48"/>
      <c r="AK509" s="48"/>
    </row>
    <row r="510" spans="1:37" ht="15.75" thickBot="1" x14ac:dyDescent="0.3">
      <c r="A510" s="105" t="s">
        <v>113</v>
      </c>
      <c r="B510" s="106"/>
      <c r="C510" s="103">
        <f>SUM(C504:C509)</f>
        <v>31.6</v>
      </c>
      <c r="D510" s="103">
        <f t="shared" ref="D510:H510" si="381">SUM(D504:D509)</f>
        <v>34.499999999999993</v>
      </c>
      <c r="E510" s="103">
        <f t="shared" si="381"/>
        <v>21</v>
      </c>
      <c r="F510" s="103">
        <f t="shared" si="381"/>
        <v>0</v>
      </c>
      <c r="G510" s="103">
        <f t="shared" si="381"/>
        <v>25.7</v>
      </c>
      <c r="H510" s="103">
        <f t="shared" si="381"/>
        <v>29</v>
      </c>
      <c r="I510" s="103">
        <f>SUM(I504:I509)</f>
        <v>11.4</v>
      </c>
      <c r="J510" s="57"/>
      <c r="K510" s="221"/>
      <c r="L510" s="221"/>
      <c r="M510" s="221"/>
      <c r="N510" s="221"/>
      <c r="O510" s="221"/>
      <c r="P510" s="221"/>
      <c r="Q510" s="221"/>
      <c r="R510" s="57"/>
      <c r="S510" s="57"/>
      <c r="T510" s="57"/>
      <c r="U510" s="214">
        <f t="shared" si="378"/>
        <v>-1</v>
      </c>
      <c r="V510" s="214">
        <f t="shared" si="379"/>
        <v>1.7320548959203874E-2</v>
      </c>
      <c r="W510" s="214" t="e">
        <f t="shared" si="345"/>
        <v>#DIV/0!</v>
      </c>
      <c r="X510" s="214">
        <f t="shared" si="380"/>
        <v>1</v>
      </c>
      <c r="Y510" s="214">
        <f t="shared" si="380"/>
        <v>8.4057971014492527E-2</v>
      </c>
      <c r="Z510" s="214">
        <f t="shared" si="380"/>
        <v>-0.64285714285714257</v>
      </c>
      <c r="AA510" s="214" t="e">
        <f t="shared" si="380"/>
        <v>#DIV/0!</v>
      </c>
      <c r="AB510" s="214">
        <f t="shared" si="380"/>
        <v>1</v>
      </c>
      <c r="AC510" s="214">
        <f t="shared" si="380"/>
        <v>0.11379310344827588</v>
      </c>
      <c r="AD510" s="80"/>
      <c r="AE510" s="57"/>
      <c r="AF510" s="215"/>
      <c r="AG510" s="215"/>
      <c r="AH510" s="216"/>
      <c r="AI510" s="215"/>
      <c r="AJ510" s="215"/>
      <c r="AK510" s="215"/>
    </row>
    <row r="511" spans="1:37" ht="15.75" thickTop="1" x14ac:dyDescent="0.25"/>
  </sheetData>
  <mergeCells count="1">
    <mergeCell ref="K94:R99"/>
  </mergeCells>
  <conditionalFormatting sqref="B75">
    <cfRule type="cellIs" dxfId="0" priority="1" operator="equal">
      <formula>" - "</formula>
    </cfRule>
  </conditionalFormatting>
  <hyperlinks>
    <hyperlink ref="G183" location="'10K Info'!A1" display="'10K Info'!A1" xr:uid="{2698FD1A-9A25-4457-BCEC-B9A49EC342CB}"/>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881B-F7D2-4A2C-8784-BB09358DF84F}">
  <dimension ref="A1:AG13"/>
  <sheetViews>
    <sheetView workbookViewId="0">
      <selection activeCell="J17" sqref="J17"/>
    </sheetView>
  </sheetViews>
  <sheetFormatPr defaultRowHeight="15" x14ac:dyDescent="0.25"/>
  <cols>
    <col min="1" max="1" width="31.85546875" bestFit="1" customWidth="1"/>
  </cols>
  <sheetData>
    <row r="1" spans="1:33" s="1" customFormat="1" x14ac:dyDescent="0.25">
      <c r="A1" s="1" t="s">
        <v>111</v>
      </c>
      <c r="B1" s="1" t="s">
        <v>318</v>
      </c>
      <c r="J1" s="1" t="s">
        <v>318</v>
      </c>
      <c r="R1" s="1" t="s">
        <v>318</v>
      </c>
      <c r="AB1" s="1" t="s">
        <v>318</v>
      </c>
    </row>
    <row r="2" spans="1:33" s="1" customFormat="1" x14ac:dyDescent="0.25">
      <c r="A2" s="1" t="s">
        <v>446</v>
      </c>
      <c r="J2" s="1" t="s">
        <v>2</v>
      </c>
      <c r="R2" s="1" t="s">
        <v>74</v>
      </c>
      <c r="AB2" s="1" t="s">
        <v>73</v>
      </c>
    </row>
    <row r="3" spans="1:33" s="1" customFormat="1" x14ac:dyDescent="0.25">
      <c r="A3" s="1" t="s">
        <v>3</v>
      </c>
      <c r="H3" s="2"/>
      <c r="P3" s="2"/>
      <c r="R3" s="1" t="s">
        <v>263</v>
      </c>
      <c r="S3" s="1" t="s">
        <v>4</v>
      </c>
      <c r="T3" s="1" t="s">
        <v>5</v>
      </c>
      <c r="U3" s="22" t="s">
        <v>75</v>
      </c>
      <c r="V3" s="1" t="s">
        <v>6</v>
      </c>
      <c r="W3" s="1" t="s">
        <v>7</v>
      </c>
      <c r="X3" s="1" t="s">
        <v>8</v>
      </c>
      <c r="Y3" s="1" t="s">
        <v>9</v>
      </c>
      <c r="Z3" s="1" t="s">
        <v>10</v>
      </c>
      <c r="AB3" s="109" t="s">
        <v>262</v>
      </c>
      <c r="AC3" s="109" t="s">
        <v>260</v>
      </c>
      <c r="AD3" s="111" t="s">
        <v>261</v>
      </c>
      <c r="AE3" s="109" t="s">
        <v>262</v>
      </c>
      <c r="AF3" s="109" t="s">
        <v>260</v>
      </c>
      <c r="AG3" s="109" t="s">
        <v>261</v>
      </c>
    </row>
    <row r="4" spans="1:33" s="1" customFormat="1" ht="15.75" thickBot="1" x14ac:dyDescent="0.3">
      <c r="A4" s="2" t="s">
        <v>11</v>
      </c>
      <c r="B4" s="17" t="s">
        <v>72</v>
      </c>
      <c r="C4" s="3">
        <v>2022</v>
      </c>
      <c r="D4" s="3">
        <v>2021</v>
      </c>
      <c r="E4" s="3">
        <v>2020</v>
      </c>
      <c r="F4" s="3">
        <v>2019</v>
      </c>
      <c r="G4" s="3">
        <v>2018</v>
      </c>
      <c r="H4" s="3">
        <v>2017</v>
      </c>
      <c r="J4" s="17" t="s">
        <v>72</v>
      </c>
      <c r="K4" s="3">
        <v>2022</v>
      </c>
      <c r="L4" s="3">
        <v>2021</v>
      </c>
      <c r="M4" s="3">
        <v>2020</v>
      </c>
      <c r="N4" s="3">
        <v>2019</v>
      </c>
      <c r="O4" s="3">
        <v>2018</v>
      </c>
      <c r="P4" s="3">
        <v>2017</v>
      </c>
      <c r="R4" s="4" t="s">
        <v>12</v>
      </c>
      <c r="S4" s="4" t="s">
        <v>12</v>
      </c>
      <c r="T4" s="4" t="s">
        <v>13</v>
      </c>
      <c r="U4" s="21" t="s">
        <v>72</v>
      </c>
      <c r="V4" s="3">
        <v>2022</v>
      </c>
      <c r="W4" s="3">
        <v>2021</v>
      </c>
      <c r="X4" s="3">
        <v>2020</v>
      </c>
      <c r="Y4" s="3">
        <v>2019</v>
      </c>
      <c r="Z4" s="3">
        <v>2018</v>
      </c>
      <c r="AA4" s="7"/>
      <c r="AB4" s="110">
        <v>2023</v>
      </c>
      <c r="AC4" s="110">
        <v>2023</v>
      </c>
      <c r="AD4" s="112">
        <v>2023</v>
      </c>
      <c r="AE4" s="110">
        <v>2022</v>
      </c>
      <c r="AF4" s="110">
        <v>2022</v>
      </c>
      <c r="AG4" s="110">
        <v>2022</v>
      </c>
    </row>
    <row r="5" spans="1:33" x14ac:dyDescent="0.25">
      <c r="A5" s="287"/>
    </row>
    <row r="6" spans="1:33" x14ac:dyDescent="0.25">
      <c r="A6" s="14"/>
    </row>
    <row r="7" spans="1:33" x14ac:dyDescent="0.25">
      <c r="A7" s="14"/>
    </row>
    <row r="8" spans="1:33" x14ac:dyDescent="0.25">
      <c r="A8" s="14"/>
    </row>
    <row r="9" spans="1:33" x14ac:dyDescent="0.25">
      <c r="A9" s="288"/>
    </row>
    <row r="10" spans="1:33" x14ac:dyDescent="0.25">
      <c r="A10" s="14"/>
    </row>
    <row r="11" spans="1:33" x14ac:dyDescent="0.25">
      <c r="A11" s="14"/>
    </row>
    <row r="12" spans="1:33" x14ac:dyDescent="0.25">
      <c r="A12" s="14"/>
    </row>
    <row r="13" spans="1:33" x14ac:dyDescent="0.25">
      <c r="A13" s="288"/>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Rules</vt:lpstr>
      <vt:lpstr>Grading</vt:lpstr>
      <vt:lpstr>Important Dates</vt:lpstr>
      <vt:lpstr>Investor Relations</vt:lpstr>
      <vt:lpstr>10K Info</vt:lpstr>
      <vt:lpstr>As Reported</vt:lpstr>
      <vt:lpstr>Reclassified</vt:lpstr>
      <vt:lpstr>Recurring</vt:lpstr>
      <vt:lpstr>Segments</vt:lpstr>
      <vt:lpstr>Acquisitions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Curtis</dc:creator>
  <cp:lastModifiedBy>Eric Curtis</cp:lastModifiedBy>
  <dcterms:created xsi:type="dcterms:W3CDTF">2023-09-28T23:48:28Z</dcterms:created>
  <dcterms:modified xsi:type="dcterms:W3CDTF">2023-11-03T17:23:54Z</dcterms:modified>
</cp:coreProperties>
</file>