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6068227-90FD-464B-A37C-6C5D973B9B9E}" xr6:coauthVersionLast="47" xr6:coauthVersionMax="47" xr10:uidLastSave="{00000000-0000-0000-0000-000000000000}"/>
  <bookViews>
    <workbookView xWindow="-120" yWindow="-120" windowWidth="20730" windowHeight="11040" firstSheet="4" activeTab="7" xr2:uid="{00000000-000D-0000-FFFF-FFFF00000000}"/>
  </bookViews>
  <sheets>
    <sheet name="Menu" sheetId="19" r:id="rId1"/>
    <sheet name="Loan Constant Calc" sheetId="10" r:id="rId2"/>
    <sheet name="Raising Money Calc" sheetId="12" r:id="rId3"/>
    <sheet name="DCR &amp; BER Calc" sheetId="17" r:id="rId4"/>
    <sheet name="Risk Simulator" sheetId="20" r:id="rId5"/>
    <sheet name="Combined Loan Constant" sheetId="14" r:id="rId6"/>
    <sheet name="Quick Analysis" sheetId="15" r:id="rId7"/>
    <sheet name="Quick Analysis PL" sheetId="18" r:id="rId8"/>
  </sheets>
  <definedNames>
    <definedName name="annual_PI" localSheetId="1">#REF!</definedName>
    <definedName name="annual_PI" localSheetId="2">#REF!</definedName>
    <definedName name="annual_PI">#REF!</definedName>
    <definedName name="interest_rate" localSheetId="1">#REF!</definedName>
    <definedName name="interest_rate" localSheetId="2">#REF!</definedName>
    <definedName name="interest_rate">#REF!</definedName>
    <definedName name="mgmt_rate" localSheetId="1">#REF!</definedName>
    <definedName name="mgmt_rate" localSheetId="2">#REF!</definedName>
    <definedName name="mgmt_rate">#REF!</definedName>
    <definedName name="monthly_PI" localSheetId="1">#REF!</definedName>
    <definedName name="monthly_PI" localSheetId="2">#REF!</definedName>
    <definedName name="monthly_PI">#REF!</definedName>
    <definedName name="OE_Ratio" localSheetId="4">'Risk Simulator'!$E$14</definedName>
    <definedName name="OE_Ratio">#REF!</definedName>
    <definedName name="OperExpRatio">#REF!</definedName>
    <definedName name="_xlnm.Print_Area" localSheetId="6">'Quick Analysis'!$A$1:$AG$30</definedName>
    <definedName name="_xlnm.Print_Area" localSheetId="7">'Quick Analysis PL'!$A$1:$AC$29</definedName>
    <definedName name="rent_increase" localSheetId="1">#REF!</definedName>
    <definedName name="rent_increase" localSheetId="2">#REF!</definedName>
    <definedName name="rent_increase">#REF!</definedName>
    <definedName name="repair_rate" localSheetId="1">#REF!</definedName>
    <definedName name="repair_rate" localSheetId="2">#REF!</definedName>
    <definedName name="repair_rate">#REF!</definedName>
    <definedName name="starting_monthly_rent" localSheetId="1">#REF!</definedName>
    <definedName name="starting_monthly_rent" localSheetId="2">#REF!</definedName>
    <definedName name="starting_monthly_rent">#REF!</definedName>
    <definedName name="TI_rate" localSheetId="1">#REF!</definedName>
    <definedName name="TI_rate" localSheetId="2">#REF!</definedName>
    <definedName name="TI_rate">#REF!</definedName>
    <definedName name="value_increase" localSheetId="1">#REF!</definedName>
    <definedName name="value_increase" localSheetId="2">#REF!</definedName>
    <definedName name="value_incre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5" l="1"/>
  <c r="R24" i="15"/>
  <c r="N12" i="15"/>
  <c r="N20" i="15"/>
  <c r="Z10" i="15"/>
  <c r="Z18" i="15"/>
  <c r="Z20" i="15"/>
  <c r="J14" i="15"/>
  <c r="J16" i="15"/>
  <c r="V14" i="15"/>
  <c r="V20" i="15"/>
  <c r="AD16" i="15"/>
  <c r="V18" i="15"/>
  <c r="E8" i="15"/>
  <c r="Q14" i="20"/>
  <c r="L14" i="20"/>
  <c r="L20" i="20"/>
  <c r="J14" i="20"/>
  <c r="J20" i="20"/>
  <c r="AB14" i="20"/>
  <c r="Z14" i="20"/>
  <c r="Z20" i="20"/>
  <c r="W14" i="20"/>
  <c r="W20" i="20"/>
  <c r="U20" i="20"/>
  <c r="H20" i="20"/>
  <c r="F7" i="14"/>
  <c r="F15" i="14"/>
  <c r="J14" i="18"/>
  <c r="J16" i="18" s="1"/>
  <c r="Z14" i="18"/>
  <c r="V13" i="18"/>
  <c r="R22" i="18"/>
  <c r="R18" i="18"/>
  <c r="R24" i="18"/>
  <c r="D10" i="17"/>
  <c r="D6" i="17"/>
  <c r="D9" i="17"/>
  <c r="D18" i="12"/>
  <c r="C15" i="14"/>
  <c r="C16" i="14"/>
  <c r="F20" i="14"/>
  <c r="J18" i="12"/>
  <c r="H18" i="12"/>
  <c r="F18" i="12"/>
  <c r="J16" i="12"/>
  <c r="J17" i="12"/>
  <c r="H16" i="12"/>
  <c r="H17" i="12"/>
  <c r="F16" i="12"/>
  <c r="F17" i="12"/>
  <c r="D16" i="12"/>
  <c r="D17" i="12"/>
  <c r="J16" i="10"/>
  <c r="J17" i="10"/>
  <c r="H16" i="10"/>
  <c r="H17" i="10"/>
  <c r="F16" i="10"/>
  <c r="F17" i="10"/>
  <c r="D16" i="10"/>
  <c r="D17" i="10"/>
  <c r="J18" i="10"/>
  <c r="N18" i="18"/>
  <c r="N24" i="18" s="1"/>
  <c r="N22" i="18"/>
  <c r="V17" i="18"/>
  <c r="R20" i="18"/>
  <c r="E10" i="18"/>
  <c r="C18" i="14"/>
  <c r="N24" i="15"/>
  <c r="E21" i="15"/>
  <c r="E24" i="15"/>
  <c r="Z24" i="15"/>
  <c r="E10" i="15"/>
  <c r="R20" i="15"/>
  <c r="R22" i="15"/>
  <c r="AD14" i="15"/>
  <c r="F18" i="14"/>
  <c r="F16" i="14"/>
  <c r="W22" i="20"/>
  <c r="Z22" i="20"/>
  <c r="Z22" i="15"/>
  <c r="F18" i="10"/>
  <c r="V16" i="15"/>
  <c r="E17" i="15"/>
  <c r="AD20" i="20"/>
  <c r="AB20" i="20"/>
  <c r="N22" i="15"/>
  <c r="N26" i="15"/>
  <c r="Q20" i="20"/>
  <c r="S20" i="20"/>
  <c r="AB22" i="20"/>
  <c r="J22" i="20"/>
  <c r="L22" i="20"/>
  <c r="Q22" i="20"/>
  <c r="L8" i="20"/>
  <c r="R20" i="20"/>
  <c r="M33" i="20"/>
  <c r="R26" i="15"/>
  <c r="D18" i="10"/>
  <c r="H18" i="10"/>
  <c r="Q8" i="20"/>
  <c r="M35" i="20"/>
  <c r="AB8" i="20"/>
  <c r="Z35" i="20"/>
  <c r="AD12" i="15"/>
  <c r="AD10" i="15"/>
  <c r="E12" i="15"/>
  <c r="D33" i="20"/>
  <c r="J8" i="20"/>
  <c r="Z8" i="20"/>
  <c r="AC20" i="20"/>
  <c r="Q33" i="20"/>
  <c r="Z33" i="20"/>
  <c r="W8" i="20"/>
  <c r="V15" i="18" l="1"/>
  <c r="E17" i="18" s="1"/>
  <c r="E21" i="18"/>
  <c r="E24" i="18" s="1"/>
  <c r="N20" i="18"/>
  <c r="Z10" i="18" l="1"/>
  <c r="E12" i="18"/>
  <c r="E8" i="18" s="1"/>
  <c r="Z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Q6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The Break Even Ratio is an indicator used by lenders when underwriting real estate investment properties, its purpose is to estimate how vulnerable a real estate investment property is to defaulting on its debt should rental income decline. 
The lower the Break Even Ratio the better for the real estate investment property; the Break Even Ratio typically ranges between 70% and 100%. Most lenders look for a Break Even Ratio of 85% or less. 
</t>
        </r>
      </text>
    </comment>
    <comment ref="AB6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The Break Even Ratio is an indicator used by lenders when underwriting real estate investment properties, its purpose is to estimate how vulnerable a real estate investment property is to defaulting on its debt should rental income decline. 
The lower the Break Even Ratio the better for the real estate investment property; the Break Even Ratio typically ranges between 70% and 100%. Most lenders look for a Break Even Ratio of 85% or less. 
</t>
        </r>
      </text>
    </comment>
  </commentList>
</comments>
</file>

<file path=xl/sharedStrings.xml><?xml version="1.0" encoding="utf-8"?>
<sst xmlns="http://schemas.openxmlformats.org/spreadsheetml/2006/main" count="269" uniqueCount="114">
  <si>
    <t>Amortized or Interest-Only</t>
  </si>
  <si>
    <t>Interest-Only</t>
  </si>
  <si>
    <t>Loan Amount</t>
  </si>
  <si>
    <t>Num Payments per year</t>
  </si>
  <si>
    <t>Years</t>
  </si>
  <si>
    <t>Monthly Payment (P&amp;I)</t>
  </si>
  <si>
    <t>Basic "Annual Loan Constant" Calculator</t>
  </si>
  <si>
    <t>Option 1</t>
  </si>
  <si>
    <t>Option 2</t>
  </si>
  <si>
    <t>Option 3</t>
  </si>
  <si>
    <t>Fully Amortizing</t>
  </si>
  <si>
    <t>Annual Payments (P&amp;I)</t>
  </si>
  <si>
    <t>Annual Loan Constant</t>
  </si>
  <si>
    <t>Option 4</t>
  </si>
  <si>
    <t>My Portion of the Deal</t>
  </si>
  <si>
    <t>Cash-on-Cash Investment</t>
  </si>
  <si>
    <t>My Monthly Passive Income Goal</t>
  </si>
  <si>
    <t>Money Needed to Raise/Have</t>
  </si>
  <si>
    <t>Risk/Return Simulator for Income Assets</t>
  </si>
  <si>
    <t>Baseline</t>
  </si>
  <si>
    <t>What If…</t>
  </si>
  <si>
    <t>Risk/Return Metrics</t>
  </si>
  <si>
    <t>ROI</t>
  </si>
  <si>
    <t>DCR</t>
  </si>
  <si>
    <t>Cap Rate</t>
  </si>
  <si>
    <t>Leverage %</t>
  </si>
  <si>
    <t>Loan Constant</t>
  </si>
  <si>
    <t>Hidden</t>
  </si>
  <si>
    <t>NOI</t>
  </si>
  <si>
    <t>Loan</t>
  </si>
  <si>
    <t>Annual mortgage Payments</t>
  </si>
  <si>
    <t>Annual C/F</t>
  </si>
  <si>
    <t>Down</t>
  </si>
  <si>
    <t>Type</t>
  </si>
  <si>
    <t>Amount</t>
  </si>
  <si>
    <t>Interest</t>
  </si>
  <si>
    <t>Combined Annual Loan Constant Calculator</t>
  </si>
  <si>
    <t>Payment Freq Per Year</t>
  </si>
  <si>
    <t>Combined Loan Constant</t>
  </si>
  <si>
    <t>Payments</t>
  </si>
  <si>
    <t>Value</t>
  </si>
  <si>
    <t>Down Payment</t>
  </si>
  <si>
    <t>Reserve</t>
  </si>
  <si>
    <t>BER</t>
  </si>
  <si>
    <t>Total Debt - CLTV</t>
  </si>
  <si>
    <t>My Money</t>
  </si>
  <si>
    <t>Equity</t>
  </si>
  <si>
    <t>Total</t>
  </si>
  <si>
    <t>Debt Service</t>
  </si>
  <si>
    <t>LTV</t>
  </si>
  <si>
    <t>DP to Value</t>
  </si>
  <si>
    <t>Down Payment (Debt)</t>
  </si>
  <si>
    <t>Cash Flow</t>
  </si>
  <si>
    <t>Oper Expenses</t>
  </si>
  <si>
    <t>Quick Analysis Worksheet</t>
  </si>
  <si>
    <t>Amount (from above)</t>
  </si>
  <si>
    <t>Income</t>
  </si>
  <si>
    <t>Financing Stack</t>
  </si>
  <si>
    <t>Asset (1)</t>
  </si>
  <si>
    <t>Leverage (2)</t>
  </si>
  <si>
    <t>Down Payment (3)</t>
  </si>
  <si>
    <t>Risk (4)</t>
  </si>
  <si>
    <t>Total Funding</t>
  </si>
  <si>
    <t>(you &amp; equity partner)</t>
  </si>
  <si>
    <t>OperExp</t>
  </si>
  <si>
    <t>EGI</t>
  </si>
  <si>
    <t>Oper Exp</t>
  </si>
  <si>
    <t>Break Even $</t>
  </si>
  <si>
    <t>This spreadsheet should be used for education purposes to simulate real data - do not use on actual deals.</t>
  </si>
  <si>
    <t>Input &gt;&gt;&gt;</t>
  </si>
  <si>
    <t>Enter your "input data" on your financing and see how these affect return &amp; risk (v1.3)</t>
  </si>
  <si>
    <t>Deal Name:</t>
  </si>
  <si>
    <t>Copyright 2014 © George Antone - All rights reserved (Visit www.MPactWealth.com)</t>
  </si>
  <si>
    <t>Total Needed</t>
  </si>
  <si>
    <t>Add name of deal here</t>
  </si>
  <si>
    <t>Annual Debt Service</t>
  </si>
  <si>
    <t>DCR &amp; BER Calculator</t>
  </si>
  <si>
    <t>Loan Value</t>
  </si>
  <si>
    <t>Return (5)</t>
  </si>
  <si>
    <t>Equity Partner</t>
  </si>
  <si>
    <t>Equity/My Cash (3)</t>
  </si>
  <si>
    <t>Equity to Value</t>
  </si>
  <si>
    <t>Debt</t>
  </si>
  <si>
    <t>Loan Constant Calculator</t>
  </si>
  <si>
    <t>Raising Money Calculator</t>
  </si>
  <si>
    <t>Combined Loan Constant Calculator</t>
  </si>
  <si>
    <t>Quick Analysis for Private Lending Worksheet</t>
  </si>
  <si>
    <t>Main Menu</t>
  </si>
  <si>
    <t>&gt;</t>
  </si>
  <si>
    <t>Copyright 2015 © George Antone - All rights reserved (www.MPactWealth.com)</t>
  </si>
  <si>
    <t>Copyright 2004 - 2015 © George Antone - All rights reserved (Visit www.MPactWealth.com)</t>
  </si>
  <si>
    <t>Enter Loan Information</t>
  </si>
  <si>
    <t>Loan Interest</t>
  </si>
  <si>
    <t>Copyright 2015 © George Antone - All rights reserved (Visit www.MPactWealth.com)</t>
  </si>
  <si>
    <t>Money Needed to Raise/Have To Reach Passive Income Goal</t>
  </si>
  <si>
    <t>Private Lending Deal (#2)</t>
  </si>
  <si>
    <t>Debt (right side)</t>
  </si>
  <si>
    <t>Return on Equity</t>
  </si>
  <si>
    <t>My ROI (on my money)</t>
  </si>
  <si>
    <t>My ROI (on your money)</t>
  </si>
  <si>
    <t>Equity Total</t>
  </si>
  <si>
    <t>Debt to Value</t>
  </si>
  <si>
    <t>Return</t>
  </si>
  <si>
    <t>Risk</t>
  </si>
  <si>
    <t>Asset</t>
  </si>
  <si>
    <t>`</t>
  </si>
  <si>
    <t>LTV (Loan to Value)</t>
  </si>
  <si>
    <t>Risk/Return Simulator</t>
  </si>
  <si>
    <t>Red - Higher Risk</t>
  </si>
  <si>
    <t>Green - Lower Risk</t>
  </si>
  <si>
    <t>Orange - No Change in Risk</t>
  </si>
  <si>
    <t>Enter your core data and see how these affect return &amp; risk (v1.4)</t>
  </si>
  <si>
    <t>Additional Leverage</t>
  </si>
  <si>
    <t>version 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</si>
</sst>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3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sz val="16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24"/>
      <color indexed="9"/>
      <name val="Arial"/>
      <family val="2"/>
    </font>
    <font>
      <i/>
      <sz val="12"/>
      <name val="Arial"/>
      <family val="2"/>
    </font>
    <font>
      <sz val="10"/>
      <name val="Arial"/>
    </font>
    <font>
      <b/>
      <sz val="16"/>
      <name val="Arial"/>
      <family val="2"/>
    </font>
    <font>
      <b/>
      <sz val="20"/>
      <color indexed="9"/>
      <name val="Arial"/>
      <family val="2"/>
    </font>
    <font>
      <sz val="20"/>
      <name val="Arial"/>
      <family val="2"/>
    </font>
    <font>
      <b/>
      <sz val="22"/>
      <color indexed="9"/>
      <name val="Arial"/>
      <family val="2"/>
    </font>
    <font>
      <sz val="22"/>
      <name val="Arial"/>
      <family val="2"/>
    </font>
    <font>
      <b/>
      <u/>
      <sz val="12"/>
      <name val="Arial"/>
      <family val="2"/>
    </font>
    <font>
      <i/>
      <sz val="14"/>
      <name val="Arial"/>
      <family val="2"/>
    </font>
    <font>
      <u/>
      <sz val="10"/>
      <color theme="10"/>
      <name val="Arial"/>
      <family val="2"/>
    </font>
    <font>
      <sz val="14"/>
      <color theme="4"/>
      <name val="Arial"/>
      <family val="2"/>
    </font>
    <font>
      <b/>
      <u/>
      <sz val="12"/>
      <color theme="10"/>
      <name val="Arial"/>
      <family val="2"/>
    </font>
    <font>
      <sz val="22"/>
      <color theme="4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sz val="24"/>
      <color theme="0"/>
      <name val="Arial"/>
      <family val="2"/>
    </font>
    <font>
      <b/>
      <sz val="16"/>
      <color theme="4"/>
      <name val="Arial"/>
      <family val="2"/>
    </font>
    <font>
      <b/>
      <sz val="16"/>
      <color theme="0"/>
      <name val="Arial"/>
      <family val="2"/>
    </font>
    <font>
      <b/>
      <sz val="28"/>
      <color theme="0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0" fillId="2" borderId="0" xfId="0" applyFill="1"/>
    <xf numFmtId="0" fontId="0" fillId="0" borderId="1" xfId="0" applyBorder="1"/>
    <xf numFmtId="0" fontId="3" fillId="0" borderId="0" xfId="0" applyFont="1"/>
    <xf numFmtId="3" fontId="4" fillId="3" borderId="2" xfId="0" applyNumberFormat="1" applyFont="1" applyFill="1" applyBorder="1" applyAlignment="1" applyProtection="1">
      <alignment horizontal="center"/>
      <protection locked="0"/>
    </xf>
    <xf numFmtId="6" fontId="4" fillId="3" borderId="2" xfId="0" applyNumberFormat="1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10" fontId="4" fillId="3" borderId="2" xfId="0" applyNumberFormat="1" applyFont="1" applyFill="1" applyBorder="1" applyProtection="1">
      <protection locked="0"/>
    </xf>
    <xf numFmtId="8" fontId="3" fillId="0" borderId="3" xfId="0" applyNumberFormat="1" applyFont="1" applyBorder="1" applyProtection="1">
      <protection hidden="1"/>
    </xf>
    <xf numFmtId="0" fontId="0" fillId="0" borderId="3" xfId="0" applyBorder="1"/>
    <xf numFmtId="0" fontId="5" fillId="2" borderId="0" xfId="0" applyFont="1" applyFill="1"/>
    <xf numFmtId="0" fontId="3" fillId="0" borderId="0" xfId="0" applyFont="1" applyProtection="1">
      <protection hidden="1"/>
    </xf>
    <xf numFmtId="0" fontId="2" fillId="0" borderId="0" xfId="0" applyFont="1" applyAlignment="1">
      <alignment horizontal="center"/>
    </xf>
    <xf numFmtId="0" fontId="3" fillId="0" borderId="0" xfId="0" applyFont="1" applyProtection="1">
      <protection locked="0"/>
    </xf>
    <xf numFmtId="10" fontId="3" fillId="0" borderId="3" xfId="0" applyNumberFormat="1" applyFont="1" applyBorder="1" applyProtection="1">
      <protection hidden="1"/>
    </xf>
    <xf numFmtId="44" fontId="4" fillId="3" borderId="2" xfId="1" applyFont="1" applyFill="1" applyBorder="1" applyProtection="1">
      <protection locked="0"/>
    </xf>
    <xf numFmtId="44" fontId="3" fillId="0" borderId="3" xfId="1" applyFont="1" applyBorder="1" applyProtection="1">
      <protection hidden="1"/>
    </xf>
    <xf numFmtId="0" fontId="2" fillId="4" borderId="2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/>
    <xf numFmtId="0" fontId="2" fillId="4" borderId="2" xfId="0" applyFont="1" applyFill="1" applyBorder="1" applyAlignment="1">
      <alignment horizontal="center"/>
    </xf>
    <xf numFmtId="0" fontId="0" fillId="0" borderId="4" xfId="0" applyBorder="1"/>
    <xf numFmtId="10" fontId="0" fillId="0" borderId="5" xfId="3" applyNumberFormat="1" applyFont="1" applyBorder="1"/>
    <xf numFmtId="10" fontId="0" fillId="0" borderId="5" xfId="0" applyNumberFormat="1" applyBorder="1"/>
    <xf numFmtId="0" fontId="9" fillId="0" borderId="0" xfId="0" applyFont="1"/>
    <xf numFmtId="0" fontId="9" fillId="2" borderId="0" xfId="0" applyFont="1" applyFill="1"/>
    <xf numFmtId="3" fontId="10" fillId="3" borderId="2" xfId="0" applyNumberFormat="1" applyFont="1" applyFill="1" applyBorder="1" applyAlignment="1" applyProtection="1">
      <alignment horizontal="center"/>
      <protection locked="0"/>
    </xf>
    <xf numFmtId="6" fontId="10" fillId="3" borderId="2" xfId="0" applyNumberFormat="1" applyFont="1" applyFill="1" applyBorder="1" applyProtection="1">
      <protection locked="0"/>
    </xf>
    <xf numFmtId="0" fontId="10" fillId="3" borderId="2" xfId="0" applyFont="1" applyFill="1" applyBorder="1" applyProtection="1">
      <protection locked="0"/>
    </xf>
    <xf numFmtId="10" fontId="10" fillId="3" borderId="2" xfId="0" applyNumberFormat="1" applyFont="1" applyFill="1" applyBorder="1" applyProtection="1">
      <protection locked="0"/>
    </xf>
    <xf numFmtId="8" fontId="9" fillId="0" borderId="3" xfId="0" applyNumberFormat="1" applyFont="1" applyBorder="1" applyProtection="1">
      <protection hidden="1"/>
    </xf>
    <xf numFmtId="10" fontId="9" fillId="6" borderId="2" xfId="0" applyNumberFormat="1" applyFont="1" applyFill="1" applyBorder="1" applyProtection="1">
      <protection hidden="1"/>
    </xf>
    <xf numFmtId="0" fontId="9" fillId="7" borderId="0" xfId="0" applyFont="1" applyFill="1"/>
    <xf numFmtId="8" fontId="9" fillId="7" borderId="0" xfId="0" applyNumberFormat="1" applyFont="1" applyFill="1" applyProtection="1">
      <protection hidden="1"/>
    </xf>
    <xf numFmtId="10" fontId="9" fillId="7" borderId="0" xfId="3" applyNumberFormat="1" applyFont="1" applyFill="1" applyBorder="1" applyProtection="1">
      <protection hidden="1"/>
    </xf>
    <xf numFmtId="8" fontId="9" fillId="0" borderId="2" xfId="0" applyNumberFormat="1" applyFont="1" applyBorder="1" applyProtection="1">
      <protection hidden="1"/>
    </xf>
    <xf numFmtId="10" fontId="9" fillId="0" borderId="2" xfId="3" applyNumberFormat="1" applyFont="1" applyBorder="1" applyProtection="1">
      <protection hidden="1"/>
    </xf>
    <xf numFmtId="0" fontId="11" fillId="7" borderId="0" xfId="0" applyFont="1" applyFill="1"/>
    <xf numFmtId="0" fontId="11" fillId="8" borderId="0" xfId="0" applyFont="1" applyFill="1"/>
    <xf numFmtId="2" fontId="9" fillId="6" borderId="2" xfId="0" applyNumberFormat="1" applyFont="1" applyFill="1" applyBorder="1" applyProtection="1">
      <protection hidden="1"/>
    </xf>
    <xf numFmtId="10" fontId="9" fillId="0" borderId="2" xfId="3" applyNumberFormat="1" applyFont="1" applyBorder="1" applyAlignment="1" applyProtection="1">
      <alignment horizontal="center"/>
      <protection hidden="1"/>
    </xf>
    <xf numFmtId="44" fontId="10" fillId="3" borderId="2" xfId="0" applyNumberFormat="1" applyFont="1" applyFill="1" applyBorder="1" applyProtection="1">
      <protection locked="0"/>
    </xf>
    <xf numFmtId="44" fontId="9" fillId="0" borderId="2" xfId="3" applyNumberFormat="1" applyFont="1" applyBorder="1" applyAlignment="1" applyProtection="1">
      <alignment horizontal="center"/>
      <protection hidden="1"/>
    </xf>
    <xf numFmtId="0" fontId="11" fillId="4" borderId="0" xfId="0" applyFont="1" applyFill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0" fillId="9" borderId="0" xfId="0" applyFill="1"/>
    <xf numFmtId="0" fontId="0" fillId="10" borderId="0" xfId="0" applyFill="1"/>
    <xf numFmtId="0" fontId="0" fillId="7" borderId="0" xfId="0" applyFill="1"/>
    <xf numFmtId="0" fontId="0" fillId="8" borderId="0" xfId="0" applyFill="1"/>
    <xf numFmtId="0" fontId="0" fillId="4" borderId="0" xfId="0" applyFill="1"/>
    <xf numFmtId="0" fontId="11" fillId="9" borderId="0" xfId="0" applyFont="1" applyFill="1"/>
    <xf numFmtId="0" fontId="11" fillId="10" borderId="0" xfId="0" applyFont="1" applyFill="1"/>
    <xf numFmtId="0" fontId="7" fillId="7" borderId="0" xfId="0" applyFont="1" applyFill="1"/>
    <xf numFmtId="10" fontId="0" fillId="0" borderId="0" xfId="3" applyNumberFormat="1" applyFont="1" applyBorder="1"/>
    <xf numFmtId="0" fontId="16" fillId="9" borderId="0" xfId="0" applyFont="1" applyFill="1" applyAlignment="1">
      <alignment horizontal="center"/>
    </xf>
    <xf numFmtId="10" fontId="15" fillId="10" borderId="0" xfId="3" applyNumberFormat="1" applyFont="1" applyFill="1" applyBorder="1"/>
    <xf numFmtId="0" fontId="11" fillId="10" borderId="0" xfId="0" applyFon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7" borderId="0" xfId="0" applyFont="1" applyFill="1" applyProtection="1">
      <protection hidden="1"/>
    </xf>
    <xf numFmtId="10" fontId="9" fillId="6" borderId="2" xfId="3" applyNumberFormat="1" applyFont="1" applyFill="1" applyBorder="1" applyProtection="1">
      <protection hidden="1"/>
    </xf>
    <xf numFmtId="44" fontId="9" fillId="6" borderId="2" xfId="1" applyFont="1" applyFill="1" applyBorder="1" applyProtection="1">
      <protection hidden="1"/>
    </xf>
    <xf numFmtId="0" fontId="0" fillId="11" borderId="0" xfId="0" applyFill="1"/>
    <xf numFmtId="0" fontId="7" fillId="0" borderId="0" xfId="0" applyFont="1"/>
    <xf numFmtId="9" fontId="0" fillId="0" borderId="0" xfId="0" applyNumberFormat="1"/>
    <xf numFmtId="0" fontId="0" fillId="11" borderId="0" xfId="0" applyFill="1" applyProtection="1">
      <protection hidden="1"/>
    </xf>
    <xf numFmtId="44" fontId="19" fillId="11" borderId="0" xfId="1" applyFont="1" applyFill="1" applyProtection="1">
      <protection hidden="1"/>
    </xf>
    <xf numFmtId="44" fontId="0" fillId="11" borderId="0" xfId="0" applyNumberFormat="1" applyFill="1" applyProtection="1">
      <protection hidden="1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0" xfId="0" applyFill="1"/>
    <xf numFmtId="0" fontId="0" fillId="6" borderId="14" xfId="0" applyFill="1" applyBorder="1"/>
    <xf numFmtId="0" fontId="0" fillId="6" borderId="3" xfId="0" applyFill="1" applyBorder="1"/>
    <xf numFmtId="0" fontId="0" fillId="6" borderId="15" xfId="0" applyFill="1" applyBorder="1"/>
    <xf numFmtId="0" fontId="0" fillId="6" borderId="1" xfId="0" applyFill="1" applyBorder="1"/>
    <xf numFmtId="10" fontId="6" fillId="6" borderId="3" xfId="3" applyNumberFormat="1" applyFont="1" applyFill="1" applyBorder="1"/>
    <xf numFmtId="10" fontId="0" fillId="6" borderId="3" xfId="0" applyNumberFormat="1" applyFill="1" applyBorder="1"/>
    <xf numFmtId="0" fontId="0" fillId="6" borderId="16" xfId="0" applyFill="1" applyBorder="1"/>
    <xf numFmtId="0" fontId="5" fillId="11" borderId="0" xfId="0" applyFont="1" applyFill="1"/>
    <xf numFmtId="10" fontId="11" fillId="5" borderId="4" xfId="0" applyNumberFormat="1" applyFont="1" applyFill="1" applyBorder="1" applyAlignment="1" applyProtection="1">
      <alignment horizontal="center" vertical="center"/>
      <protection hidden="1"/>
    </xf>
    <xf numFmtId="2" fontId="11" fillId="5" borderId="4" xfId="0" applyNumberFormat="1" applyFont="1" applyFill="1" applyBorder="1" applyAlignment="1" applyProtection="1">
      <alignment horizontal="center" vertical="center"/>
      <protection hidden="1"/>
    </xf>
    <xf numFmtId="10" fontId="11" fillId="5" borderId="4" xfId="3" applyNumberFormat="1" applyFont="1" applyFill="1" applyBorder="1" applyAlignment="1" applyProtection="1">
      <alignment horizontal="center" vertical="center"/>
      <protection hidden="1"/>
    </xf>
    <xf numFmtId="44" fontId="28" fillId="12" borderId="2" xfId="1" applyFont="1" applyFill="1" applyBorder="1" applyProtection="1">
      <protection locked="0"/>
    </xf>
    <xf numFmtId="0" fontId="20" fillId="0" borderId="0" xfId="0" applyFont="1"/>
    <xf numFmtId="0" fontId="6" fillId="0" borderId="0" xfId="0" applyFont="1"/>
    <xf numFmtId="0" fontId="0" fillId="5" borderId="6" xfId="0" applyFill="1" applyBorder="1"/>
    <xf numFmtId="0" fontId="0" fillId="5" borderId="0" xfId="0" applyFill="1"/>
    <xf numFmtId="0" fontId="0" fillId="5" borderId="7" xfId="0" applyFill="1" applyBorder="1"/>
    <xf numFmtId="0" fontId="11" fillId="5" borderId="0" xfId="0" applyFont="1" applyFill="1" applyAlignment="1">
      <alignment vertical="center"/>
    </xf>
    <xf numFmtId="44" fontId="9" fillId="5" borderId="0" xfId="1" applyFont="1" applyFill="1" applyBorder="1" applyProtection="1">
      <protection hidden="1"/>
    </xf>
    <xf numFmtId="0" fontId="9" fillId="5" borderId="0" xfId="0" applyFont="1" applyFill="1"/>
    <xf numFmtId="39" fontId="9" fillId="5" borderId="0" xfId="1" applyNumberFormat="1" applyFont="1" applyFill="1" applyBorder="1" applyProtection="1">
      <protection hidden="1"/>
    </xf>
    <xf numFmtId="10" fontId="9" fillId="5" borderId="0" xfId="3" applyNumberFormat="1" applyFont="1" applyFill="1" applyBorder="1" applyProtection="1">
      <protection hidden="1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44" fontId="9" fillId="12" borderId="2" xfId="1" applyFont="1" applyFill="1" applyBorder="1" applyProtection="1">
      <protection locked="0"/>
    </xf>
    <xf numFmtId="6" fontId="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3" fontId="10" fillId="0" borderId="0" xfId="0" applyNumberFormat="1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9" fillId="6" borderId="2" xfId="0" applyNumberFormat="1" applyFont="1" applyFill="1" applyBorder="1" applyProtection="1">
      <protection hidden="1"/>
    </xf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11" fillId="5" borderId="0" xfId="0" applyFont="1" applyFill="1"/>
    <xf numFmtId="0" fontId="29" fillId="5" borderId="0" xfId="2" applyFont="1" applyFill="1" applyBorder="1" applyAlignment="1" applyProtection="1"/>
    <xf numFmtId="0" fontId="11" fillId="5" borderId="6" xfId="0" applyFont="1" applyFill="1" applyBorder="1" applyAlignment="1">
      <alignment horizontal="right"/>
    </xf>
    <xf numFmtId="0" fontId="6" fillId="4" borderId="0" xfId="0" applyFont="1" applyFill="1"/>
    <xf numFmtId="0" fontId="7" fillId="0" borderId="7" xfId="0" applyFont="1" applyBorder="1"/>
    <xf numFmtId="9" fontId="0" fillId="0" borderId="7" xfId="0" applyNumberFormat="1" applyBorder="1"/>
    <xf numFmtId="0" fontId="0" fillId="5" borderId="8" xfId="0" applyFill="1" applyBorder="1" applyProtection="1">
      <protection hidden="1"/>
    </xf>
    <xf numFmtId="0" fontId="0" fillId="0" borderId="9" xfId="0" applyBorder="1" applyProtection="1">
      <protection hidden="1"/>
    </xf>
    <xf numFmtId="0" fontId="9" fillId="0" borderId="6" xfId="0" applyFont="1" applyBorder="1"/>
    <xf numFmtId="0" fontId="9" fillId="0" borderId="7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1" fillId="0" borderId="23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10" fontId="12" fillId="6" borderId="25" xfId="3" applyNumberFormat="1" applyFont="1" applyFill="1" applyBorder="1" applyAlignment="1" applyProtection="1">
      <alignment horizontal="center" vertical="center"/>
      <protection hidden="1"/>
    </xf>
    <xf numFmtId="0" fontId="0" fillId="0" borderId="26" xfId="0" applyBorder="1"/>
    <xf numFmtId="44" fontId="9" fillId="0" borderId="2" xfId="0" applyNumberFormat="1" applyFont="1" applyBorder="1" applyProtection="1">
      <protection hidden="1"/>
    </xf>
    <xf numFmtId="10" fontId="9" fillId="0" borderId="2" xfId="0" applyNumberFormat="1" applyFont="1" applyBorder="1" applyProtection="1">
      <protection hidden="1"/>
    </xf>
    <xf numFmtId="10" fontId="9" fillId="0" borderId="2" xfId="3" applyNumberFormat="1" applyFont="1" applyFill="1" applyBorder="1" applyProtection="1">
      <protection hidden="1"/>
    </xf>
    <xf numFmtId="44" fontId="9" fillId="0" borderId="2" xfId="1" applyFont="1" applyFill="1" applyBorder="1" applyProtection="1">
      <protection hidden="1"/>
    </xf>
    <xf numFmtId="2" fontId="9" fillId="0" borderId="2" xfId="0" applyNumberFormat="1" applyFont="1" applyBorder="1" applyProtection="1">
      <protection hidden="1"/>
    </xf>
    <xf numFmtId="10" fontId="9" fillId="0" borderId="2" xfId="3" applyNumberFormat="1" applyFont="1" applyFill="1" applyBorder="1" applyAlignment="1" applyProtection="1">
      <alignment horizontal="center"/>
      <protection hidden="1"/>
    </xf>
    <xf numFmtId="44" fontId="9" fillId="0" borderId="2" xfId="3" applyNumberFormat="1" applyFont="1" applyFill="1" applyBorder="1" applyAlignment="1" applyProtection="1">
      <alignment horizontal="center"/>
      <protection hidden="1"/>
    </xf>
    <xf numFmtId="44" fontId="9" fillId="0" borderId="0" xfId="1" applyFont="1" applyFill="1" applyBorder="1" applyProtection="1">
      <protection hidden="1"/>
    </xf>
    <xf numFmtId="10" fontId="30" fillId="12" borderId="2" xfId="3" applyNumberFormat="1" applyFont="1" applyFill="1" applyBorder="1" applyAlignment="1" applyProtection="1">
      <alignment horizontal="center" vertical="center"/>
      <protection locked="0"/>
    </xf>
    <xf numFmtId="0" fontId="0" fillId="9" borderId="4" xfId="0" applyFill="1" applyBorder="1"/>
    <xf numFmtId="0" fontId="25" fillId="9" borderId="4" xfId="0" applyFont="1" applyFill="1" applyBorder="1" applyAlignment="1">
      <alignment horizontal="center"/>
    </xf>
    <xf numFmtId="10" fontId="22" fillId="9" borderId="4" xfId="0" applyNumberFormat="1" applyFont="1" applyFill="1" applyBorder="1" applyAlignment="1">
      <alignment horizontal="center"/>
    </xf>
    <xf numFmtId="0" fontId="0" fillId="9" borderId="5" xfId="0" applyFill="1" applyBorder="1"/>
    <xf numFmtId="0" fontId="0" fillId="13" borderId="0" xfId="0" applyFill="1"/>
    <xf numFmtId="0" fontId="0" fillId="4" borderId="4" xfId="0" applyFill="1" applyBorder="1"/>
    <xf numFmtId="0" fontId="25" fillId="4" borderId="4" xfId="0" applyFon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10" fontId="22" fillId="4" borderId="4" xfId="0" applyNumberFormat="1" applyFont="1" applyFill="1" applyBorder="1" applyAlignment="1">
      <alignment horizontal="center"/>
    </xf>
    <xf numFmtId="0" fontId="0" fillId="4" borderId="5" xfId="0" applyFill="1" applyBorder="1"/>
    <xf numFmtId="10" fontId="9" fillId="0" borderId="4" xfId="3" applyNumberFormat="1" applyFont="1" applyFill="1" applyBorder="1" applyAlignment="1" applyProtection="1">
      <alignment horizontal="center" vertical="center"/>
      <protection hidden="1"/>
    </xf>
    <xf numFmtId="10" fontId="9" fillId="0" borderId="4" xfId="0" applyNumberFormat="1" applyFont="1" applyBorder="1" applyAlignment="1" applyProtection="1">
      <alignment horizontal="center" vertical="center"/>
      <protection hidden="1"/>
    </xf>
    <xf numFmtId="10" fontId="31" fillId="0" borderId="4" xfId="3" applyNumberFormat="1" applyFont="1" applyFill="1" applyBorder="1" applyAlignment="1" applyProtection="1">
      <alignment horizontal="center" vertical="center"/>
      <protection hidden="1"/>
    </xf>
    <xf numFmtId="10" fontId="31" fillId="0" borderId="4" xfId="0" applyNumberFormat="1" applyFont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2" fontId="11" fillId="5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/>
    </xf>
    <xf numFmtId="10" fontId="0" fillId="0" borderId="0" xfId="0" applyNumberFormat="1"/>
    <xf numFmtId="0" fontId="12" fillId="9" borderId="27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32" fillId="7" borderId="0" xfId="0" applyFont="1" applyFill="1" applyAlignment="1">
      <alignment horizontal="center"/>
    </xf>
    <xf numFmtId="10" fontId="9" fillId="0" borderId="0" xfId="0" applyNumberFormat="1" applyFont="1" applyAlignment="1" applyProtection="1">
      <alignment horizontal="center" vertical="center"/>
      <protection hidden="1"/>
    </xf>
    <xf numFmtId="0" fontId="20" fillId="4" borderId="2" xfId="0" applyFont="1" applyFill="1" applyBorder="1" applyAlignment="1">
      <alignment horizontal="center" vertical="center"/>
    </xf>
    <xf numFmtId="0" fontId="6" fillId="6" borderId="12" xfId="0" applyFont="1" applyFill="1" applyBorder="1"/>
    <xf numFmtId="10" fontId="5" fillId="0" borderId="4" xfId="3" applyNumberFormat="1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/>
    <xf numFmtId="0" fontId="0" fillId="5" borderId="9" xfId="0" applyFill="1" applyBorder="1" applyProtection="1">
      <protection hidden="1"/>
    </xf>
    <xf numFmtId="44" fontId="0" fillId="5" borderId="7" xfId="0" applyNumberFormat="1" applyFill="1" applyBorder="1"/>
    <xf numFmtId="0" fontId="32" fillId="8" borderId="0" xfId="0" applyFont="1" applyFill="1" applyAlignment="1">
      <alignment horizontal="center"/>
    </xf>
    <xf numFmtId="0" fontId="9" fillId="11" borderId="0" xfId="0" applyFont="1" applyFill="1"/>
    <xf numFmtId="0" fontId="0" fillId="13" borderId="6" xfId="0" applyFill="1" applyBorder="1"/>
    <xf numFmtId="0" fontId="0" fillId="8" borderId="7" xfId="0" applyFill="1" applyBorder="1"/>
    <xf numFmtId="0" fontId="0" fillId="7" borderId="7" xfId="0" applyFill="1" applyBorder="1"/>
    <xf numFmtId="0" fontId="0" fillId="13" borderId="8" xfId="0" applyFill="1" applyBorder="1"/>
    <xf numFmtId="0" fontId="0" fillId="13" borderId="9" xfId="0" applyFill="1" applyBorder="1"/>
    <xf numFmtId="0" fontId="0" fillId="7" borderId="9" xfId="0" applyFill="1" applyBorder="1"/>
    <xf numFmtId="0" fontId="0" fillId="7" borderId="10" xfId="0" applyFill="1" applyBorder="1"/>
    <xf numFmtId="0" fontId="0" fillId="8" borderId="6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0" fillId="7" borderId="17" xfId="0" applyFill="1" applyBorder="1"/>
    <xf numFmtId="0" fontId="33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6" xfId="0" applyFill="1" applyBorder="1"/>
    <xf numFmtId="0" fontId="0" fillId="7" borderId="8" xfId="0" applyFill="1" applyBorder="1"/>
    <xf numFmtId="0" fontId="0" fillId="13" borderId="7" xfId="0" applyFill="1" applyBorder="1"/>
    <xf numFmtId="0" fontId="0" fillId="13" borderId="10" xfId="0" applyFill="1" applyBorder="1"/>
    <xf numFmtId="0" fontId="6" fillId="5" borderId="8" xfId="0" applyFont="1" applyFill="1" applyBorder="1"/>
    <xf numFmtId="0" fontId="26" fillId="11" borderId="0" xfId="0" applyFont="1" applyFill="1"/>
    <xf numFmtId="0" fontId="2" fillId="7" borderId="0" xfId="0" applyFont="1" applyFill="1" applyAlignment="1">
      <alignment horizontal="center" vertical="center"/>
    </xf>
    <xf numFmtId="0" fontId="34" fillId="10" borderId="28" xfId="0" applyFont="1" applyFill="1" applyBorder="1" applyAlignment="1">
      <alignment horizontal="center"/>
    </xf>
    <xf numFmtId="0" fontId="34" fillId="10" borderId="29" xfId="0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21" fillId="10" borderId="28" xfId="0" applyFont="1" applyFill="1" applyBorder="1" applyAlignment="1">
      <alignment horizontal="center" vertical="center"/>
    </xf>
    <xf numFmtId="0" fontId="21" fillId="10" borderId="29" xfId="0" applyFont="1" applyFill="1" applyBorder="1" applyAlignment="1">
      <alignment horizontal="center" vertical="center"/>
    </xf>
    <xf numFmtId="0" fontId="22" fillId="10" borderId="29" xfId="0" applyFont="1" applyFill="1" applyBorder="1"/>
    <xf numFmtId="0" fontId="22" fillId="10" borderId="30" xfId="0" applyFont="1" applyFill="1" applyBorder="1"/>
    <xf numFmtId="0" fontId="27" fillId="2" borderId="0" xfId="2" applyFill="1" applyAlignment="1" applyProtection="1"/>
    <xf numFmtId="0" fontId="23" fillId="10" borderId="28" xfId="0" applyFont="1" applyFill="1" applyBorder="1" applyAlignment="1">
      <alignment horizontal="center" vertical="center"/>
    </xf>
    <xf numFmtId="0" fontId="23" fillId="10" borderId="29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4" fillId="10" borderId="30" xfId="0" applyFont="1" applyFill="1" applyBorder="1"/>
    <xf numFmtId="0" fontId="33" fillId="10" borderId="28" xfId="0" applyFont="1" applyFill="1" applyBorder="1" applyAlignment="1">
      <alignment horizontal="center"/>
    </xf>
    <xf numFmtId="0" fontId="33" fillId="10" borderId="29" xfId="0" applyFont="1" applyFill="1" applyBorder="1" applyAlignment="1">
      <alignment horizontal="center"/>
    </xf>
    <xf numFmtId="0" fontId="33" fillId="10" borderId="30" xfId="0" applyFont="1" applyFill="1" applyBorder="1" applyAlignment="1">
      <alignment horizontal="center"/>
    </xf>
    <xf numFmtId="0" fontId="17" fillId="10" borderId="28" xfId="0" applyFont="1" applyFill="1" applyBorder="1" applyAlignment="1">
      <alignment horizontal="center" vertical="center"/>
    </xf>
    <xf numFmtId="0" fontId="17" fillId="10" borderId="29" xfId="0" applyFont="1" applyFill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32" fillId="10" borderId="31" xfId="0" applyFont="1" applyFill="1" applyBorder="1" applyAlignment="1">
      <alignment horizontal="center"/>
    </xf>
    <xf numFmtId="0" fontId="32" fillId="10" borderId="32" xfId="0" applyFont="1" applyFill="1" applyBorder="1" applyAlignment="1">
      <alignment horizontal="center"/>
    </xf>
    <xf numFmtId="0" fontId="32" fillId="10" borderId="33" xfId="0" applyFont="1" applyFill="1" applyBorder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33" fillId="13" borderId="17" xfId="0" applyFont="1" applyFill="1" applyBorder="1" applyAlignment="1">
      <alignment horizontal="center"/>
    </xf>
    <xf numFmtId="0" fontId="33" fillId="13" borderId="18" xfId="0" applyFont="1" applyFill="1" applyBorder="1" applyAlignment="1">
      <alignment horizontal="center"/>
    </xf>
    <xf numFmtId="0" fontId="33" fillId="13" borderId="19" xfId="0" applyFont="1" applyFill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32" fillId="13" borderId="6" xfId="0" applyFont="1" applyFill="1" applyBorder="1" applyAlignment="1">
      <alignment horizontal="center"/>
    </xf>
    <xf numFmtId="0" fontId="32" fillId="13" borderId="0" xfId="0" applyFont="1" applyFill="1" applyAlignment="1">
      <alignment horizontal="center"/>
    </xf>
    <xf numFmtId="0" fontId="32" fillId="13" borderId="7" xfId="0" applyFont="1" applyFill="1" applyBorder="1" applyAlignment="1">
      <alignment horizontal="center"/>
    </xf>
    <xf numFmtId="0" fontId="33" fillId="8" borderId="17" xfId="0" applyFont="1" applyFill="1" applyBorder="1" applyAlignment="1">
      <alignment horizontal="center"/>
    </xf>
    <xf numFmtId="0" fontId="33" fillId="8" borderId="18" xfId="0" applyFont="1" applyFill="1" applyBorder="1" applyAlignment="1">
      <alignment horizontal="center"/>
    </xf>
    <xf numFmtId="0" fontId="33" fillId="8" borderId="19" xfId="0" applyFont="1" applyFill="1" applyBorder="1" applyAlignment="1">
      <alignment horizontal="center"/>
    </xf>
    <xf numFmtId="10" fontId="35" fillId="12" borderId="31" xfId="3" applyNumberFormat="1" applyFont="1" applyFill="1" applyBorder="1" applyAlignment="1" applyProtection="1">
      <alignment horizontal="center" vertical="center"/>
      <protection locked="0"/>
    </xf>
    <xf numFmtId="10" fontId="35" fillId="12" borderId="32" xfId="3" applyNumberFormat="1" applyFont="1" applyFill="1" applyBorder="1" applyAlignment="1" applyProtection="1">
      <alignment horizontal="center" vertical="center"/>
      <protection locked="0"/>
    </xf>
    <xf numFmtId="10" fontId="35" fillId="12" borderId="33" xfId="3" applyNumberFormat="1" applyFont="1" applyFill="1" applyBorder="1" applyAlignment="1" applyProtection="1">
      <alignment horizontal="center" vertical="center"/>
      <protection locked="0"/>
    </xf>
    <xf numFmtId="0" fontId="36" fillId="10" borderId="31" xfId="0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/>
    </xf>
    <xf numFmtId="0" fontId="36" fillId="10" borderId="33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 wrapText="1"/>
    </xf>
    <xf numFmtId="0" fontId="13" fillId="10" borderId="29" xfId="0" applyFont="1" applyFill="1" applyBorder="1" applyAlignment="1">
      <alignment horizontal="center" vertical="center" wrapText="1"/>
    </xf>
    <xf numFmtId="0" fontId="13" fillId="10" borderId="3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37" fillId="14" borderId="28" xfId="0" applyFont="1" applyFill="1" applyBorder="1" applyAlignment="1">
      <alignment horizontal="center"/>
    </xf>
    <xf numFmtId="0" fontId="37" fillId="14" borderId="29" xfId="0" applyFont="1" applyFill="1" applyBorder="1" applyAlignment="1">
      <alignment horizontal="center"/>
    </xf>
    <xf numFmtId="0" fontId="37" fillId="14" borderId="30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10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12" borderId="3" xfId="0" applyFont="1" applyFill="1" applyBorder="1" applyAlignment="1" applyProtection="1">
      <alignment horizontal="center"/>
      <protection locked="0"/>
    </xf>
    <xf numFmtId="0" fontId="0" fillId="12" borderId="3" xfId="0" applyFill="1" applyBorder="1" applyAlignment="1" applyProtection="1">
      <alignment horizontal="center"/>
      <protection locked="0"/>
    </xf>
    <xf numFmtId="0" fontId="6" fillId="12" borderId="32" xfId="0" applyFont="1" applyFill="1" applyBorder="1" applyAlignment="1" applyProtection="1">
      <alignment horizontal="center"/>
      <protection locked="0"/>
    </xf>
    <xf numFmtId="0" fontId="0" fillId="12" borderId="32" xfId="0" applyFill="1" applyBorder="1" applyAlignment="1" applyProtection="1">
      <alignment horizontal="center"/>
      <protection locked="0"/>
    </xf>
    <xf numFmtId="0" fontId="11" fillId="7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4" fillId="8" borderId="0" xfId="0" applyFont="1" applyFill="1" applyAlignment="1" applyProtection="1">
      <alignment horizontal="center"/>
      <protection hidden="1"/>
    </xf>
    <xf numFmtId="0" fontId="37" fillId="10" borderId="28" xfId="0" applyFont="1" applyFill="1" applyBorder="1" applyAlignment="1">
      <alignment horizontal="center"/>
    </xf>
    <xf numFmtId="0" fontId="37" fillId="10" borderId="29" xfId="0" applyFont="1" applyFill="1" applyBorder="1" applyAlignment="1">
      <alignment horizontal="center"/>
    </xf>
    <xf numFmtId="0" fontId="37" fillId="10" borderId="30" xfId="0" applyFont="1" applyFill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1660071</xdr:colOff>
      <xdr:row>42</xdr:row>
      <xdr:rowOff>0</xdr:rowOff>
    </xdr:from>
    <xdr:to>
      <xdr:col>9</xdr:col>
      <xdr:colOff>81643</xdr:colOff>
      <xdr:row>43</xdr:row>
      <xdr:rowOff>0</xdr:rowOff>
    </xdr:to>
    <xdr:sp macro="" textlink="">
      <xdr:nvSpPr>
        <xdr:cNvPr id="9" name="Left-Right Arrow 8">
          <a:extLst>
            <a:ext uri="{FF2B5EF4-FFF2-40B4-BE49-F238E27FC236}">
              <a16:creationId xmlns:a16="http://schemas.microsoft.com/office/drawing/2014/main" id="{29DF85F4-C9B8-40D2-AFB7-B525761C5C63}"/>
            </a:ext>
          </a:extLst>
        </xdr:cNvPr>
        <xdr:cNvSpPr/>
      </xdr:nvSpPr>
      <xdr:spPr>
        <a:xfrm>
          <a:off x="4286250" y="4871357"/>
          <a:ext cx="721179" cy="340179"/>
        </a:xfrm>
        <a:prstGeom prst="leftRightArrow">
          <a:avLst/>
        </a:prstGeom>
        <a:solidFill>
          <a:srgbClr val="FFC00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1662793</xdr:colOff>
      <xdr:row>42</xdr:row>
      <xdr:rowOff>2721</xdr:rowOff>
    </xdr:from>
    <xdr:to>
      <xdr:col>22</xdr:col>
      <xdr:colOff>84365</xdr:colOff>
      <xdr:row>43</xdr:row>
      <xdr:rowOff>2721</xdr:rowOff>
    </xdr:to>
    <xdr:sp macro="" textlink="">
      <xdr:nvSpPr>
        <xdr:cNvPr id="10" name="Left-Right Arrow 9">
          <a:extLst>
            <a:ext uri="{FF2B5EF4-FFF2-40B4-BE49-F238E27FC236}">
              <a16:creationId xmlns:a16="http://schemas.microsoft.com/office/drawing/2014/main" id="{09F394CA-250D-474D-B538-5293072AE5DC}"/>
            </a:ext>
          </a:extLst>
        </xdr:cNvPr>
        <xdr:cNvSpPr/>
      </xdr:nvSpPr>
      <xdr:spPr>
        <a:xfrm>
          <a:off x="13079186" y="4874078"/>
          <a:ext cx="721179" cy="340179"/>
        </a:xfrm>
        <a:prstGeom prst="leftRightArrow">
          <a:avLst/>
        </a:prstGeom>
        <a:solidFill>
          <a:srgbClr val="FFC00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1651907</xdr:colOff>
      <xdr:row>31</xdr:row>
      <xdr:rowOff>195942</xdr:rowOff>
    </xdr:from>
    <xdr:to>
      <xdr:col>11</xdr:col>
      <xdr:colOff>5443</xdr:colOff>
      <xdr:row>34</xdr:row>
      <xdr:rowOff>46264</xdr:rowOff>
    </xdr:to>
    <xdr:sp macro="" textlink="">
      <xdr:nvSpPr>
        <xdr:cNvPr id="11" name="Left-Right Arrow 10">
          <a:extLst>
            <a:ext uri="{FF2B5EF4-FFF2-40B4-BE49-F238E27FC236}">
              <a16:creationId xmlns:a16="http://schemas.microsoft.com/office/drawing/2014/main" id="{5DA290DC-542E-495C-8461-4464348B87DB}"/>
            </a:ext>
          </a:extLst>
        </xdr:cNvPr>
        <xdr:cNvSpPr/>
      </xdr:nvSpPr>
      <xdr:spPr>
        <a:xfrm rot="16200000">
          <a:off x="6387193" y="2835728"/>
          <a:ext cx="721179" cy="340179"/>
        </a:xfrm>
        <a:prstGeom prst="leftRightArrow">
          <a:avLst/>
        </a:prstGeom>
        <a:solidFill>
          <a:srgbClr val="FFC00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1641021</xdr:colOff>
      <xdr:row>31</xdr:row>
      <xdr:rowOff>144235</xdr:rowOff>
    </xdr:from>
    <xdr:to>
      <xdr:col>23</xdr:col>
      <xdr:colOff>266700</xdr:colOff>
      <xdr:row>33</xdr:row>
      <xdr:rowOff>334736</xdr:rowOff>
    </xdr:to>
    <xdr:sp macro="" textlink="">
      <xdr:nvSpPr>
        <xdr:cNvPr id="12" name="Left-Right Arrow 11">
          <a:extLst>
            <a:ext uri="{FF2B5EF4-FFF2-40B4-BE49-F238E27FC236}">
              <a16:creationId xmlns:a16="http://schemas.microsoft.com/office/drawing/2014/main" id="{B6018C6F-D95C-4E68-9170-BDC6D17F3CC3}"/>
            </a:ext>
          </a:extLst>
        </xdr:cNvPr>
        <xdr:cNvSpPr/>
      </xdr:nvSpPr>
      <xdr:spPr>
        <a:xfrm rot="16200000">
          <a:off x="15166521" y="2784021"/>
          <a:ext cx="721179" cy="340179"/>
        </a:xfrm>
        <a:prstGeom prst="leftRightArrow">
          <a:avLst/>
        </a:prstGeom>
        <a:solidFill>
          <a:srgbClr val="FFC00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</xdr:colOff>
      <xdr:row>3</xdr:row>
      <xdr:rowOff>51287</xdr:rowOff>
    </xdr:from>
    <xdr:to>
      <xdr:col>24</xdr:col>
      <xdr:colOff>7331</xdr:colOff>
      <xdr:row>18</xdr:row>
      <xdr:rowOff>197824</xdr:rowOff>
    </xdr:to>
    <xdr:sp macro="" textlink="">
      <xdr:nvSpPr>
        <xdr:cNvPr id="9" name="Trapezoid 8">
          <a:extLst>
            <a:ext uri="{FF2B5EF4-FFF2-40B4-BE49-F238E27FC236}">
              <a16:creationId xmlns:a16="http://schemas.microsoft.com/office/drawing/2014/main" id="{379F1D97-7B33-4CD0-90EC-4B0EEE497666}"/>
            </a:ext>
          </a:extLst>
        </xdr:cNvPr>
        <xdr:cNvSpPr/>
      </xdr:nvSpPr>
      <xdr:spPr>
        <a:xfrm rot="16200000">
          <a:off x="7369424" y="2168768"/>
          <a:ext cx="3365987" cy="502626"/>
        </a:xfrm>
        <a:prstGeom prst="trapezoid">
          <a:avLst>
            <a:gd name="adj" fmla="val 312853"/>
          </a:avLst>
        </a:prstGeom>
        <a:solidFill>
          <a:srgbClr val="000000">
            <a:alpha val="38824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9"/>
  <sheetViews>
    <sheetView workbookViewId="0">
      <selection activeCell="C4" sqref="C4"/>
    </sheetView>
  </sheetViews>
  <sheetFormatPr defaultRowHeight="12.75" x14ac:dyDescent="0.2"/>
  <cols>
    <col min="1" max="1" width="2.85546875" style="51" customWidth="1"/>
    <col min="2" max="2" width="9.140625" style="51"/>
    <col min="3" max="3" width="51" style="51" customWidth="1"/>
    <col min="4" max="16384" width="9.140625" style="51"/>
  </cols>
  <sheetData>
    <row r="1" spans="2:5" ht="15" customHeight="1" thickBot="1" x14ac:dyDescent="0.25"/>
    <row r="2" spans="2:5" ht="30.75" thickBot="1" x14ac:dyDescent="0.45">
      <c r="B2" s="189" t="s">
        <v>87</v>
      </c>
      <c r="C2" s="190"/>
      <c r="D2" s="190"/>
      <c r="E2" s="191"/>
    </row>
    <row r="3" spans="2:5" x14ac:dyDescent="0.2">
      <c r="B3" s="107"/>
      <c r="C3" s="108"/>
      <c r="D3" s="108"/>
      <c r="E3" s="109"/>
    </row>
    <row r="4" spans="2:5" ht="15.75" x14ac:dyDescent="0.25">
      <c r="B4" s="112" t="s">
        <v>88</v>
      </c>
      <c r="C4" s="111" t="s">
        <v>83</v>
      </c>
      <c r="D4" s="90"/>
      <c r="E4" s="91"/>
    </row>
    <row r="5" spans="2:5" ht="15.75" x14ac:dyDescent="0.25">
      <c r="B5" s="89"/>
      <c r="C5" s="110"/>
      <c r="D5" s="90"/>
      <c r="E5" s="91"/>
    </row>
    <row r="6" spans="2:5" ht="15.75" x14ac:dyDescent="0.25">
      <c r="B6" s="112" t="s">
        <v>88</v>
      </c>
      <c r="C6" s="111" t="s">
        <v>84</v>
      </c>
      <c r="D6" s="90"/>
      <c r="E6" s="91"/>
    </row>
    <row r="7" spans="2:5" ht="15.75" x14ac:dyDescent="0.25">
      <c r="B7" s="89"/>
      <c r="C7" s="110"/>
      <c r="D7" s="90"/>
      <c r="E7" s="91"/>
    </row>
    <row r="8" spans="2:5" ht="15.75" x14ac:dyDescent="0.25">
      <c r="B8" s="112" t="s">
        <v>88</v>
      </c>
      <c r="C8" s="111" t="s">
        <v>76</v>
      </c>
      <c r="D8" s="111"/>
      <c r="E8" s="91"/>
    </row>
    <row r="9" spans="2:5" ht="15.75" x14ac:dyDescent="0.25">
      <c r="B9" s="89"/>
      <c r="C9" s="110"/>
      <c r="D9" s="90"/>
      <c r="E9" s="91"/>
    </row>
    <row r="10" spans="2:5" ht="15.75" x14ac:dyDescent="0.25">
      <c r="B10" s="112" t="s">
        <v>88</v>
      </c>
      <c r="C10" s="111" t="s">
        <v>107</v>
      </c>
      <c r="D10" s="90"/>
      <c r="E10" s="91"/>
    </row>
    <row r="11" spans="2:5" ht="15.75" x14ac:dyDescent="0.25">
      <c r="B11" s="89"/>
      <c r="C11" s="110"/>
      <c r="D11" s="90"/>
      <c r="E11" s="91"/>
    </row>
    <row r="12" spans="2:5" ht="15.75" x14ac:dyDescent="0.25">
      <c r="B12" s="112" t="s">
        <v>88</v>
      </c>
      <c r="C12" s="111" t="s">
        <v>85</v>
      </c>
      <c r="D12" s="90"/>
      <c r="E12" s="91"/>
    </row>
    <row r="13" spans="2:5" ht="15.75" x14ac:dyDescent="0.25">
      <c r="B13" s="89"/>
      <c r="C13" s="110"/>
      <c r="D13" s="90"/>
      <c r="E13" s="91"/>
    </row>
    <row r="14" spans="2:5" ht="15.75" x14ac:dyDescent="0.25">
      <c r="B14" s="112" t="s">
        <v>88</v>
      </c>
      <c r="C14" s="111" t="s">
        <v>54</v>
      </c>
      <c r="D14" s="90"/>
      <c r="E14" s="91"/>
    </row>
    <row r="15" spans="2:5" ht="15.75" x14ac:dyDescent="0.25">
      <c r="B15" s="89"/>
      <c r="C15" s="110"/>
      <c r="D15" s="90"/>
      <c r="E15" s="91"/>
    </row>
    <row r="16" spans="2:5" ht="15.75" x14ac:dyDescent="0.25">
      <c r="B16" s="112" t="s">
        <v>88</v>
      </c>
      <c r="C16" s="111" t="s">
        <v>86</v>
      </c>
      <c r="D16" s="90"/>
      <c r="E16" s="91"/>
    </row>
    <row r="17" spans="2:5" x14ac:dyDescent="0.2">
      <c r="B17" s="89"/>
      <c r="C17" s="90"/>
      <c r="D17" s="90"/>
      <c r="E17" s="91"/>
    </row>
    <row r="18" spans="2:5" ht="13.5" thickBot="1" x14ac:dyDescent="0.25">
      <c r="B18" s="186" t="s">
        <v>113</v>
      </c>
      <c r="C18" s="98"/>
      <c r="D18" s="98"/>
      <c r="E18" s="99"/>
    </row>
    <row r="19" spans="2:5" x14ac:dyDescent="0.2">
      <c r="B19" s="113" t="s">
        <v>89</v>
      </c>
    </row>
  </sheetData>
  <sheetProtection password="E4AD" sheet="1"/>
  <mergeCells count="1">
    <mergeCell ref="B2:E2"/>
  </mergeCells>
  <hyperlinks>
    <hyperlink ref="C4" location="'Loan Constant Calc'!A1" display="Loan Constant Calculator" xr:uid="{00000000-0004-0000-0000-000000000000}"/>
    <hyperlink ref="C10" location="'Risk Simulator'!A1" display="Risk Simulator" xr:uid="{00000000-0004-0000-0000-000001000000}"/>
    <hyperlink ref="C12" location="'Combined Loan Constant'!A1" display="Combined Loan Constant Calculator" xr:uid="{00000000-0004-0000-0000-000002000000}"/>
    <hyperlink ref="C14" location="'Quick Analysis'!A1" display="Quick Analysis Worksheet" xr:uid="{00000000-0004-0000-0000-000003000000}"/>
    <hyperlink ref="C16" location="'Quick Analysis PL'!A1" display="Quick Analysis for Private Lending Worksheet" xr:uid="{00000000-0004-0000-0000-000004000000}"/>
    <hyperlink ref="C6" location="'Raising Money Calc'!A1" display="Raising Money Calculator" xr:uid="{00000000-0004-0000-0000-000005000000}"/>
    <hyperlink ref="C8" location="'DCR &amp; BER Calc'!A1" display="DCR &amp; BER Calculator" xr:uid="{00000000-0004-0000-0000-000006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workbookViewId="0">
      <selection activeCell="D6" sqref="D6"/>
    </sheetView>
  </sheetViews>
  <sheetFormatPr defaultRowHeight="12.75" x14ac:dyDescent="0.2"/>
  <cols>
    <col min="1" max="1" width="2.85546875" style="1" customWidth="1"/>
    <col min="2" max="2" width="4.28515625" style="1" customWidth="1"/>
    <col min="3" max="3" width="41" style="1" bestFit="1" customWidth="1"/>
    <col min="4" max="4" width="23.7109375" style="1" customWidth="1"/>
    <col min="5" max="5" width="4.42578125" style="1" customWidth="1"/>
    <col min="6" max="6" width="23.7109375" style="1" customWidth="1"/>
    <col min="7" max="7" width="4.42578125" style="1" customWidth="1"/>
    <col min="8" max="8" width="23.7109375" style="1" customWidth="1"/>
    <col min="9" max="9" width="4.42578125" style="1" customWidth="1"/>
    <col min="10" max="10" width="23.7109375" style="1" customWidth="1"/>
    <col min="11" max="11" width="4.42578125" style="1" customWidth="1"/>
    <col min="12" max="16384" width="9.140625" style="1"/>
  </cols>
  <sheetData>
    <row r="1" spans="1:11" ht="15" customHeight="1" thickBot="1" x14ac:dyDescent="0.25">
      <c r="A1" s="196"/>
      <c r="B1" s="196"/>
      <c r="C1" s="196"/>
    </row>
    <row r="2" spans="1:11" ht="27" thickBot="1" x14ac:dyDescent="0.4">
      <c r="B2" s="192" t="s">
        <v>6</v>
      </c>
      <c r="C2" s="193"/>
      <c r="D2" s="193"/>
      <c r="E2" s="193"/>
      <c r="F2" s="194"/>
      <c r="G2" s="194"/>
      <c r="H2" s="194"/>
      <c r="I2" s="194"/>
      <c r="J2" s="194"/>
      <c r="K2" s="195"/>
    </row>
    <row r="3" spans="1:11" x14ac:dyDescent="0.2">
      <c r="B3" s="44"/>
      <c r="C3"/>
      <c r="D3"/>
      <c r="E3"/>
      <c r="F3"/>
      <c r="G3"/>
      <c r="H3"/>
      <c r="I3"/>
      <c r="J3"/>
      <c r="K3" s="45"/>
    </row>
    <row r="4" spans="1:11" x14ac:dyDescent="0.2">
      <c r="B4" s="44"/>
      <c r="C4" s="88" t="s">
        <v>91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13</v>
      </c>
      <c r="K4" s="45"/>
    </row>
    <row r="5" spans="1:11" x14ac:dyDescent="0.2">
      <c r="B5" s="44"/>
      <c r="C5"/>
      <c r="D5"/>
      <c r="E5"/>
      <c r="F5"/>
      <c r="G5"/>
      <c r="H5"/>
      <c r="I5"/>
      <c r="J5"/>
      <c r="K5" s="45"/>
    </row>
    <row r="6" spans="1:11" ht="20.25" x14ac:dyDescent="0.3">
      <c r="B6" s="44"/>
      <c r="C6" s="3" t="s">
        <v>0</v>
      </c>
      <c r="D6" s="4" t="s">
        <v>10</v>
      </c>
      <c r="E6" s="2"/>
      <c r="F6" s="4" t="s">
        <v>10</v>
      </c>
      <c r="G6" s="2"/>
      <c r="H6" s="4" t="s">
        <v>10</v>
      </c>
      <c r="I6" s="2"/>
      <c r="J6" s="4" t="s">
        <v>10</v>
      </c>
      <c r="K6" s="45"/>
    </row>
    <row r="7" spans="1:11" ht="3.75" customHeight="1" x14ac:dyDescent="0.3">
      <c r="B7" s="44"/>
      <c r="C7" s="3"/>
      <c r="D7" s="3"/>
      <c r="E7"/>
      <c r="F7" s="11"/>
      <c r="G7"/>
      <c r="H7" s="11"/>
      <c r="I7"/>
      <c r="J7" s="11"/>
      <c r="K7" s="45"/>
    </row>
    <row r="8" spans="1:11" ht="20.25" hidden="1" x14ac:dyDescent="0.3">
      <c r="B8" s="44"/>
      <c r="C8" s="3" t="s">
        <v>2</v>
      </c>
      <c r="D8" s="5">
        <v>100000</v>
      </c>
      <c r="E8" s="2"/>
      <c r="F8" s="5">
        <v>100000</v>
      </c>
      <c r="G8" s="2"/>
      <c r="H8" s="5">
        <v>100000</v>
      </c>
      <c r="I8" s="2"/>
      <c r="J8" s="5">
        <v>100000</v>
      </c>
      <c r="K8" s="45"/>
    </row>
    <row r="9" spans="1:11" ht="4.5" hidden="1" customHeight="1" x14ac:dyDescent="0.3">
      <c r="B9" s="44"/>
      <c r="C9" s="3"/>
      <c r="D9" s="3"/>
      <c r="E9"/>
      <c r="F9" s="13"/>
      <c r="G9"/>
      <c r="H9" s="13"/>
      <c r="I9"/>
      <c r="J9" s="13"/>
      <c r="K9" s="45"/>
    </row>
    <row r="10" spans="1:11" ht="20.25" hidden="1" x14ac:dyDescent="0.3">
      <c r="B10" s="44"/>
      <c r="C10" s="3" t="s">
        <v>3</v>
      </c>
      <c r="D10" s="6">
        <v>12</v>
      </c>
      <c r="E10" s="2"/>
      <c r="F10" s="6">
        <v>12</v>
      </c>
      <c r="G10" s="2"/>
      <c r="H10" s="6">
        <v>12</v>
      </c>
      <c r="I10" s="2"/>
      <c r="J10" s="6">
        <v>12</v>
      </c>
      <c r="K10" s="45"/>
    </row>
    <row r="11" spans="1:11" ht="4.5" hidden="1" customHeight="1" x14ac:dyDescent="0.3">
      <c r="B11" s="44"/>
      <c r="C11" s="3"/>
      <c r="D11" s="3"/>
      <c r="E11"/>
      <c r="F11" s="11"/>
      <c r="G11"/>
      <c r="H11" s="11"/>
      <c r="I11"/>
      <c r="J11" s="11"/>
      <c r="K11" s="45"/>
    </row>
    <row r="12" spans="1:11" ht="20.25" x14ac:dyDescent="0.3">
      <c r="B12" s="44"/>
      <c r="C12" s="3" t="s">
        <v>4</v>
      </c>
      <c r="D12" s="6">
        <v>30</v>
      </c>
      <c r="E12" s="2"/>
      <c r="F12" s="6">
        <v>30</v>
      </c>
      <c r="G12" s="2"/>
      <c r="H12" s="6">
        <v>25</v>
      </c>
      <c r="I12" s="2"/>
      <c r="J12" s="6">
        <v>30</v>
      </c>
      <c r="K12" s="45"/>
    </row>
    <row r="13" spans="1:11" ht="4.5" customHeight="1" x14ac:dyDescent="0.3">
      <c r="B13" s="44"/>
      <c r="C13" s="3"/>
      <c r="D13" s="3"/>
      <c r="E13"/>
      <c r="F13" s="11"/>
      <c r="G13"/>
      <c r="H13" s="11"/>
      <c r="I13"/>
      <c r="J13" s="11"/>
      <c r="K13" s="45"/>
    </row>
    <row r="14" spans="1:11" ht="20.25" x14ac:dyDescent="0.3">
      <c r="B14" s="44"/>
      <c r="C14" s="3" t="s">
        <v>92</v>
      </c>
      <c r="D14" s="7">
        <v>5.5E-2</v>
      </c>
      <c r="E14" s="2"/>
      <c r="F14" s="7">
        <v>4.4999999999999998E-2</v>
      </c>
      <c r="G14" s="2"/>
      <c r="H14" s="7">
        <v>5.2999999999999999E-2</v>
      </c>
      <c r="I14" s="2"/>
      <c r="J14" s="7">
        <v>5.2499999999999998E-2</v>
      </c>
      <c r="K14" s="45"/>
    </row>
    <row r="15" spans="1:11" ht="4.5" customHeight="1" x14ac:dyDescent="0.3">
      <c r="B15" s="44"/>
      <c r="C15" s="3"/>
      <c r="D15" s="3"/>
      <c r="E15"/>
      <c r="F15" s="11"/>
      <c r="G15"/>
      <c r="H15" s="11"/>
      <c r="I15"/>
      <c r="J15" s="11"/>
      <c r="K15" s="45"/>
    </row>
    <row r="16" spans="1:11" ht="20.25" hidden="1" x14ac:dyDescent="0.3">
      <c r="B16" s="44"/>
      <c r="C16" s="3" t="s">
        <v>5</v>
      </c>
      <c r="D16" s="8">
        <f>IF(D8&lt;&gt;"",IF(D6&lt;&gt;"Interest-Only",-1*PMT(D14/D10,D12*D10,D8,0,0),D8*D14/12),"")</f>
        <v>567.78900134700291</v>
      </c>
      <c r="E16"/>
      <c r="F16" s="8">
        <f>IF(F8&lt;&gt;"",IF(F6&lt;&gt;"Interest-Only",-1*PMT(F14/F10,F12*F10,F8,0,0),F8*F14/12),"")</f>
        <v>506.68530982588061</v>
      </c>
      <c r="G16"/>
      <c r="H16" s="8">
        <f>IF(H8&lt;&gt;"",IF(H6&lt;&gt;"Interest-Only",-1*PMT(H14/H10,H12*H10,H8,0,0),H8*H14/12),"")</f>
        <v>602.20119625611255</v>
      </c>
      <c r="I16"/>
      <c r="J16" s="8">
        <f>IF(J8&lt;&gt;"",IF(J6&lt;&gt;"Interest-Only",-1*PMT(J14/J10,J12*J10,J8,0,0),J8*J14/12),"")</f>
        <v>552.20370214189836</v>
      </c>
      <c r="K16" s="45"/>
    </row>
    <row r="17" spans="2:11" ht="20.25" hidden="1" x14ac:dyDescent="0.3">
      <c r="B17" s="44"/>
      <c r="C17" s="3" t="s">
        <v>11</v>
      </c>
      <c r="D17" s="8">
        <f>D16*12</f>
        <v>6813.4680161640354</v>
      </c>
      <c r="E17"/>
      <c r="F17" s="8">
        <f>F16*12</f>
        <v>6080.2237179105668</v>
      </c>
      <c r="G17"/>
      <c r="H17" s="8">
        <f>H16*12</f>
        <v>7226.4143550733506</v>
      </c>
      <c r="I17"/>
      <c r="J17" s="8">
        <f>J16*12</f>
        <v>6626.4444257027808</v>
      </c>
      <c r="K17" s="45"/>
    </row>
    <row r="18" spans="2:11" ht="20.25" x14ac:dyDescent="0.3">
      <c r="B18" s="44"/>
      <c r="C18" s="3" t="s">
        <v>12</v>
      </c>
      <c r="D18" s="14">
        <f>(D16*12)/D8</f>
        <v>6.8134680161640357E-2</v>
      </c>
      <c r="E18"/>
      <c r="F18" s="14">
        <f>(F16*12)/F8</f>
        <v>6.080223717910567E-2</v>
      </c>
      <c r="G18"/>
      <c r="H18" s="14">
        <f>(H16*12)/H8</f>
        <v>7.2264143550733503E-2</v>
      </c>
      <c r="I18"/>
      <c r="J18" s="14">
        <f>(J16*12)/J8</f>
        <v>6.6264444257027807E-2</v>
      </c>
      <c r="K18" s="45"/>
    </row>
    <row r="19" spans="2:11" ht="13.5" thickBot="1" x14ac:dyDescent="0.25">
      <c r="B19" s="59"/>
      <c r="C19" s="60"/>
      <c r="D19" s="60"/>
      <c r="E19" s="60"/>
      <c r="F19" s="60"/>
      <c r="G19" s="60"/>
      <c r="H19" s="60"/>
      <c r="I19" s="60"/>
      <c r="J19" s="60"/>
      <c r="K19" s="61"/>
    </row>
    <row r="20" spans="2:11" ht="15" x14ac:dyDescent="0.2">
      <c r="B20" s="10" t="s">
        <v>90</v>
      </c>
    </row>
  </sheetData>
  <sheetProtection password="E4AD" sheet="1" objects="1" scenarios="1" selectLockedCells="1"/>
  <mergeCells count="2">
    <mergeCell ref="B2:K2"/>
    <mergeCell ref="A1:C1"/>
  </mergeCells>
  <dataValidations count="1">
    <dataValidation type="list" allowBlank="1" showInputMessage="1" showErrorMessage="1" sqref="D6 F6 H6 J6" xr:uid="{00000000-0002-0000-0100-000000000000}">
      <formula1>"Fully Amortizing, Interest-Only"</formula1>
    </dataValidation>
  </dataValidations>
  <pageMargins left="0.75" right="0.75" top="1" bottom="1" header="0.5" footer="0.5"/>
  <pageSetup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0"/>
  <sheetViews>
    <sheetView showGridLines="0" workbookViewId="0">
      <selection activeCell="D6" sqref="D6"/>
    </sheetView>
  </sheetViews>
  <sheetFormatPr defaultRowHeight="12.75" x14ac:dyDescent="0.2"/>
  <cols>
    <col min="1" max="1" width="2.85546875" style="1" customWidth="1"/>
    <col min="2" max="2" width="4.28515625" style="1" customWidth="1"/>
    <col min="3" max="3" width="47.85546875" style="1" customWidth="1"/>
    <col min="4" max="4" width="27.5703125" style="1" customWidth="1"/>
    <col min="5" max="5" width="1.42578125" style="1" customWidth="1"/>
    <col min="6" max="6" width="27.5703125" style="1" customWidth="1"/>
    <col min="7" max="7" width="1.42578125" style="1" customWidth="1"/>
    <col min="8" max="8" width="27.5703125" style="1" customWidth="1"/>
    <col min="9" max="9" width="1.42578125" style="1" customWidth="1"/>
    <col min="10" max="10" width="27.5703125" style="1" customWidth="1"/>
    <col min="11" max="11" width="4.42578125" style="1" customWidth="1"/>
    <col min="12" max="16384" width="9.140625" style="1"/>
  </cols>
  <sheetData>
    <row r="1" spans="2:11" ht="15" customHeight="1" thickBot="1" x14ac:dyDescent="0.25"/>
    <row r="2" spans="2:11" ht="28.5" thickBot="1" x14ac:dyDescent="0.4">
      <c r="B2" s="197" t="s">
        <v>94</v>
      </c>
      <c r="C2" s="198"/>
      <c r="D2" s="198"/>
      <c r="E2" s="198"/>
      <c r="F2" s="199"/>
      <c r="G2" s="199"/>
      <c r="H2" s="199"/>
      <c r="I2" s="199"/>
      <c r="J2" s="199"/>
      <c r="K2" s="200"/>
    </row>
    <row r="3" spans="2:11" x14ac:dyDescent="0.2">
      <c r="B3" s="44"/>
      <c r="C3"/>
      <c r="D3"/>
      <c r="E3"/>
      <c r="F3"/>
      <c r="G3"/>
      <c r="H3"/>
      <c r="I3"/>
      <c r="J3"/>
      <c r="K3" s="45"/>
    </row>
    <row r="4" spans="2:11" x14ac:dyDescent="0.2">
      <c r="B4" s="44"/>
      <c r="C4"/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13</v>
      </c>
      <c r="K4" s="45"/>
    </row>
    <row r="5" spans="2:11" x14ac:dyDescent="0.2">
      <c r="B5" s="44"/>
      <c r="C5"/>
      <c r="D5"/>
      <c r="E5"/>
      <c r="F5"/>
      <c r="G5"/>
      <c r="H5"/>
      <c r="I5"/>
      <c r="J5"/>
      <c r="K5" s="45"/>
    </row>
    <row r="6" spans="2:11" ht="20.25" x14ac:dyDescent="0.3">
      <c r="B6" s="44"/>
      <c r="C6" s="3" t="s">
        <v>16</v>
      </c>
      <c r="D6" s="15">
        <v>10000</v>
      </c>
      <c r="E6" s="2"/>
      <c r="F6" s="15">
        <v>10000</v>
      </c>
      <c r="G6" s="2"/>
      <c r="H6" s="15">
        <v>10000</v>
      </c>
      <c r="I6" s="2"/>
      <c r="J6" s="15">
        <v>10000</v>
      </c>
      <c r="K6" s="45"/>
    </row>
    <row r="7" spans="2:11" ht="3.75" customHeight="1" x14ac:dyDescent="0.3">
      <c r="B7" s="44"/>
      <c r="C7" s="3"/>
      <c r="D7" s="3"/>
      <c r="E7"/>
      <c r="F7" s="11"/>
      <c r="G7"/>
      <c r="H7" s="3"/>
      <c r="I7"/>
      <c r="J7" s="3"/>
      <c r="K7" s="45"/>
    </row>
    <row r="8" spans="2:11" ht="20.25" hidden="1" x14ac:dyDescent="0.3">
      <c r="B8" s="44"/>
      <c r="C8" s="3" t="s">
        <v>2</v>
      </c>
      <c r="D8" s="5">
        <v>100000</v>
      </c>
      <c r="E8" s="2"/>
      <c r="F8" s="5">
        <v>100000</v>
      </c>
      <c r="G8" s="2"/>
      <c r="H8" s="7">
        <v>0.25</v>
      </c>
      <c r="I8" s="2"/>
      <c r="J8" s="7">
        <v>0.25</v>
      </c>
      <c r="K8" s="45"/>
    </row>
    <row r="9" spans="2:11" ht="4.5" hidden="1" customHeight="1" x14ac:dyDescent="0.3">
      <c r="B9" s="44"/>
      <c r="C9" s="3"/>
      <c r="D9" s="3"/>
      <c r="E9"/>
      <c r="F9" s="13"/>
      <c r="G9"/>
      <c r="H9" s="13"/>
      <c r="I9"/>
      <c r="J9" s="13"/>
      <c r="K9" s="45"/>
    </row>
    <row r="10" spans="2:11" ht="20.25" hidden="1" x14ac:dyDescent="0.3">
      <c r="B10" s="44"/>
      <c r="C10" s="3" t="s">
        <v>3</v>
      </c>
      <c r="D10" s="6">
        <v>12</v>
      </c>
      <c r="E10" s="2"/>
      <c r="F10" s="6">
        <v>12</v>
      </c>
      <c r="G10" s="2"/>
      <c r="H10" s="6">
        <v>12</v>
      </c>
      <c r="I10" s="2"/>
      <c r="J10" s="6">
        <v>12</v>
      </c>
      <c r="K10" s="45"/>
    </row>
    <row r="11" spans="2:11" ht="4.5" hidden="1" customHeight="1" x14ac:dyDescent="0.3">
      <c r="B11" s="44"/>
      <c r="C11" s="3"/>
      <c r="D11" s="3"/>
      <c r="E11"/>
      <c r="F11" s="11"/>
      <c r="G11"/>
      <c r="H11" s="11"/>
      <c r="I11"/>
      <c r="J11" s="11"/>
      <c r="K11" s="45"/>
    </row>
    <row r="12" spans="2:11" ht="20.25" x14ac:dyDescent="0.3">
      <c r="B12" s="44"/>
      <c r="C12" s="3" t="s">
        <v>15</v>
      </c>
      <c r="D12" s="7">
        <v>0.12</v>
      </c>
      <c r="E12" s="2"/>
      <c r="F12" s="7">
        <v>0.12</v>
      </c>
      <c r="G12" s="2"/>
      <c r="H12" s="7">
        <v>0.12</v>
      </c>
      <c r="I12" s="2"/>
      <c r="J12" s="7">
        <v>5.5E-2</v>
      </c>
      <c r="K12" s="45"/>
    </row>
    <row r="13" spans="2:11" ht="4.5" customHeight="1" x14ac:dyDescent="0.3">
      <c r="B13" s="44"/>
      <c r="C13" s="3"/>
      <c r="D13" s="3"/>
      <c r="E13"/>
      <c r="F13" s="11"/>
      <c r="G13"/>
      <c r="H13" s="11"/>
      <c r="I13"/>
      <c r="J13" s="11"/>
      <c r="K13" s="45"/>
    </row>
    <row r="14" spans="2:11" ht="20.25" x14ac:dyDescent="0.3">
      <c r="B14" s="44"/>
      <c r="C14" s="3" t="s">
        <v>14</v>
      </c>
      <c r="D14" s="7">
        <v>0.33</v>
      </c>
      <c r="E14" s="2"/>
      <c r="F14" s="7">
        <v>0.5</v>
      </c>
      <c r="G14" s="2"/>
      <c r="H14" s="7">
        <v>1</v>
      </c>
      <c r="I14" s="2"/>
      <c r="J14" s="7">
        <v>0.06</v>
      </c>
      <c r="K14" s="45"/>
    </row>
    <row r="15" spans="2:11" ht="4.5" customHeight="1" x14ac:dyDescent="0.3">
      <c r="B15" s="44"/>
      <c r="C15" s="3"/>
      <c r="D15" s="3"/>
      <c r="E15"/>
      <c r="F15" s="11"/>
      <c r="G15"/>
      <c r="H15" s="11"/>
      <c r="I15"/>
      <c r="J15" s="11"/>
      <c r="K15" s="45"/>
    </row>
    <row r="16" spans="2:11" ht="20.25" hidden="1" x14ac:dyDescent="0.3">
      <c r="B16" s="44"/>
      <c r="C16" s="3" t="s">
        <v>5</v>
      </c>
      <c r="D16" s="8">
        <f>IF(D8&lt;&gt;"",IF(D6&lt;&gt;"Interest-Only",-1*PMT(D14/D10,D12*D10,D8,0,0),D8*D14/12),"")</f>
        <v>71778.940489471846</v>
      </c>
      <c r="E16"/>
      <c r="F16" s="8">
        <f>IF(F8&lt;&gt;"",IF(F6&lt;&gt;"Interest-Only",-1*PMT(F14/F10,F12*F10,F8,0,0),F8*F14/12),"")</f>
        <v>72985.103865833313</v>
      </c>
      <c r="G16"/>
      <c r="H16" s="8">
        <f>IF(H8&lt;&gt;"",IF(H6&lt;&gt;"Interest-Only",-1*PMT(H14/H10,H12*H10,H8,0,0),H8*H14/12),"")</f>
        <v>0.19136514474551106</v>
      </c>
      <c r="I16"/>
      <c r="J16" s="8">
        <f>IF(J8&lt;&gt;"",IF(J6&lt;&gt;"Interest-Only",-1*PMT(J14/J10,J12*J10,J8,0,0),J8*J14/12),"")</f>
        <v>0.38035940420347947</v>
      </c>
      <c r="K16" s="45"/>
    </row>
    <row r="17" spans="2:11" ht="20.25" hidden="1" x14ac:dyDescent="0.3">
      <c r="B17" s="44"/>
      <c r="C17" s="3" t="s">
        <v>11</v>
      </c>
      <c r="D17" s="8">
        <f>D16*12</f>
        <v>861347.28587366221</v>
      </c>
      <c r="E17"/>
      <c r="F17" s="8">
        <f>F16*12</f>
        <v>875821.24638999975</v>
      </c>
      <c r="G17"/>
      <c r="H17" s="8">
        <f>H16*12</f>
        <v>2.2963817369461328</v>
      </c>
      <c r="I17"/>
      <c r="J17" s="8">
        <f>J16*12</f>
        <v>4.5643128504417536</v>
      </c>
      <c r="K17" s="45"/>
    </row>
    <row r="18" spans="2:11" ht="20.25" x14ac:dyDescent="0.3">
      <c r="B18" s="44"/>
      <c r="C18" s="3" t="s">
        <v>17</v>
      </c>
      <c r="D18" s="16">
        <f>(D6*12)/(D12*D14)</f>
        <v>3030303.0303030303</v>
      </c>
      <c r="E18"/>
      <c r="F18" s="16">
        <f>(F6*12)/(F12*F14)</f>
        <v>2000000</v>
      </c>
      <c r="G18"/>
      <c r="H18" s="16">
        <f>(H6*12)/(H12*H14)</f>
        <v>1000000</v>
      </c>
      <c r="I18"/>
      <c r="J18" s="16">
        <f>(J6*12)/(J12*J14)</f>
        <v>36363636.363636367</v>
      </c>
      <c r="K18" s="45"/>
    </row>
    <row r="19" spans="2:11" ht="13.5" thickBot="1" x14ac:dyDescent="0.25">
      <c r="B19" s="59"/>
      <c r="C19" s="60"/>
      <c r="D19" s="60"/>
      <c r="E19" s="60"/>
      <c r="F19" s="60"/>
      <c r="G19" s="60"/>
      <c r="H19" s="60"/>
      <c r="I19" s="60"/>
      <c r="J19" s="60"/>
      <c r="K19" s="61"/>
    </row>
    <row r="20" spans="2:11" ht="15" x14ac:dyDescent="0.2">
      <c r="B20" s="10" t="s">
        <v>90</v>
      </c>
    </row>
  </sheetData>
  <sheetProtection password="E4AD" sheet="1" selectLockedCells="1"/>
  <mergeCells count="1">
    <mergeCell ref="B2:K2"/>
  </mergeCells>
  <pageMargins left="0.75" right="0.75" top="1" bottom="1" header="0.5" footer="0.5"/>
  <pageSetup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2"/>
  <sheetViews>
    <sheetView workbookViewId="0">
      <selection activeCell="D8" sqref="D8"/>
    </sheetView>
  </sheetViews>
  <sheetFormatPr defaultRowHeight="12.75" x14ac:dyDescent="0.2"/>
  <cols>
    <col min="1" max="1" width="2.7109375" style="65" customWidth="1"/>
    <col min="2" max="2" width="5.42578125" style="65" customWidth="1"/>
    <col min="3" max="3" width="23.85546875" style="65" bestFit="1" customWidth="1"/>
    <col min="4" max="4" width="19.5703125" style="65" customWidth="1"/>
    <col min="5" max="5" width="5.42578125" style="65" customWidth="1"/>
    <col min="6" max="16384" width="9.140625" style="65"/>
  </cols>
  <sheetData>
    <row r="1" spans="2:5" ht="13.5" thickBot="1" x14ac:dyDescent="0.25"/>
    <row r="2" spans="2:5" ht="27" thickBot="1" x14ac:dyDescent="0.45">
      <c r="B2" s="201" t="s">
        <v>76</v>
      </c>
      <c r="C2" s="202"/>
      <c r="D2" s="202"/>
      <c r="E2" s="203"/>
    </row>
    <row r="3" spans="2:5" x14ac:dyDescent="0.2">
      <c r="B3" s="89"/>
      <c r="C3" s="90"/>
      <c r="D3" s="90"/>
      <c r="E3" s="91"/>
    </row>
    <row r="4" spans="2:5" ht="18" x14ac:dyDescent="0.25">
      <c r="B4" s="89"/>
      <c r="C4" s="92" t="s">
        <v>56</v>
      </c>
      <c r="D4" s="100">
        <v>80000</v>
      </c>
      <c r="E4" s="91"/>
    </row>
    <row r="5" spans="2:5" ht="18" x14ac:dyDescent="0.25">
      <c r="B5" s="89"/>
      <c r="C5" s="92" t="s">
        <v>53</v>
      </c>
      <c r="D5" s="100">
        <v>35000</v>
      </c>
      <c r="E5" s="91"/>
    </row>
    <row r="6" spans="2:5" ht="18" x14ac:dyDescent="0.25">
      <c r="B6" s="89"/>
      <c r="C6" s="92" t="s">
        <v>28</v>
      </c>
      <c r="D6" s="93">
        <f>D4-D5</f>
        <v>45000</v>
      </c>
      <c r="E6" s="91"/>
    </row>
    <row r="7" spans="2:5" ht="18" x14ac:dyDescent="0.25">
      <c r="B7" s="89"/>
      <c r="C7" s="92"/>
      <c r="D7" s="94"/>
      <c r="E7" s="91"/>
    </row>
    <row r="8" spans="2:5" ht="18" x14ac:dyDescent="0.25">
      <c r="B8" s="89"/>
      <c r="C8" s="92" t="s">
        <v>75</v>
      </c>
      <c r="D8" s="100">
        <v>30000</v>
      </c>
      <c r="E8" s="91"/>
    </row>
    <row r="9" spans="2:5" ht="18" x14ac:dyDescent="0.25">
      <c r="B9" s="89"/>
      <c r="C9" s="92" t="s">
        <v>23</v>
      </c>
      <c r="D9" s="95">
        <f>IF(D8&lt;&gt;0,D6/D8,"")</f>
        <v>1.5</v>
      </c>
      <c r="E9" s="91"/>
    </row>
    <row r="10" spans="2:5" ht="18" x14ac:dyDescent="0.25">
      <c r="B10" s="89"/>
      <c r="C10" s="92" t="s">
        <v>43</v>
      </c>
      <c r="D10" s="96">
        <f>(D5+D8)/D4</f>
        <v>0.8125</v>
      </c>
      <c r="E10" s="91"/>
    </row>
    <row r="11" spans="2:5" ht="13.5" thickBot="1" x14ac:dyDescent="0.25">
      <c r="B11" s="97"/>
      <c r="C11" s="98"/>
      <c r="D11" s="98"/>
      <c r="E11" s="99"/>
    </row>
    <row r="12" spans="2:5" ht="15" x14ac:dyDescent="0.2">
      <c r="B12" s="82" t="s">
        <v>72</v>
      </c>
    </row>
  </sheetData>
  <sheetProtection password="E4AD" sheet="1" objects="1" scenarios="1" selectLockedCells="1"/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7"/>
  <sheetViews>
    <sheetView showGridLines="0" zoomScale="70" zoomScaleNormal="70" workbookViewId="0">
      <selection activeCell="J35" sqref="J35"/>
    </sheetView>
  </sheetViews>
  <sheetFormatPr defaultRowHeight="12.75" x14ac:dyDescent="0.2"/>
  <cols>
    <col min="1" max="1" width="2" style="65" customWidth="1"/>
    <col min="2" max="2" width="2.85546875" style="65" customWidth="1"/>
    <col min="3" max="3" width="2.28515625" style="65" customWidth="1"/>
    <col min="4" max="4" width="24.28515625" style="65" customWidth="1"/>
    <col min="5" max="5" width="2" style="65" customWidth="1"/>
    <col min="6" max="6" width="4.42578125" style="65" customWidth="1"/>
    <col min="7" max="7" width="25.7109375" style="65" customWidth="1"/>
    <col min="8" max="8" width="4.42578125" style="65" customWidth="1"/>
    <col min="9" max="9" width="4.28515625" style="65" customWidth="1"/>
    <col min="10" max="10" width="25.7109375" style="65" customWidth="1"/>
    <col min="11" max="11" width="4.140625" style="65" customWidth="1"/>
    <col min="12" max="12" width="2" style="65" customWidth="1"/>
    <col min="13" max="13" width="24.28515625" style="65" customWidth="1"/>
    <col min="14" max="14" width="2.28515625" style="65" customWidth="1"/>
    <col min="15" max="15" width="3.140625" style="65" customWidth="1"/>
    <col min="16" max="16" width="2.28515625" style="65" customWidth="1"/>
    <col min="17" max="17" width="24.28515625" style="65" customWidth="1"/>
    <col min="18" max="18" width="2" style="65" customWidth="1"/>
    <col min="19" max="19" width="4.42578125" style="65" customWidth="1"/>
    <col min="20" max="20" width="25.7109375" style="65" customWidth="1"/>
    <col min="21" max="21" width="4.42578125" style="65" customWidth="1"/>
    <col min="22" max="22" width="4.28515625" style="65" customWidth="1"/>
    <col min="23" max="23" width="25.7109375" style="65" customWidth="1"/>
    <col min="24" max="24" width="4.140625" style="65" customWidth="1"/>
    <col min="25" max="25" width="2" style="65" customWidth="1"/>
    <col min="26" max="26" width="24.28515625" style="65" customWidth="1"/>
    <col min="27" max="27" width="2.28515625" style="65" customWidth="1"/>
    <col min="28" max="28" width="2.85546875" style="65" customWidth="1"/>
    <col min="29" max="29" width="5.28515625" style="65" customWidth="1"/>
    <col min="30" max="30" width="3.7109375" style="65" customWidth="1"/>
    <col min="31" max="16384" width="9.140625" style="65"/>
  </cols>
  <sheetData>
    <row r="1" spans="2:30" ht="15" customHeight="1" thickBot="1" x14ac:dyDescent="0.25"/>
    <row r="2" spans="2:30" ht="30.75" hidden="1" thickBot="1" x14ac:dyDescent="0.25">
      <c r="B2" s="204" t="s">
        <v>18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6"/>
    </row>
    <row r="3" spans="2:30" ht="24" hidden="1" customHeight="1" x14ac:dyDescent="0.2">
      <c r="B3" s="214" t="s">
        <v>70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6"/>
    </row>
    <row r="4" spans="2:30" ht="18" hidden="1" x14ac:dyDescent="0.25">
      <c r="D4" s="89"/>
      <c r="E4"/>
      <c r="F4"/>
      <c r="G4" s="207" t="s">
        <v>19</v>
      </c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/>
      <c r="T4" s="207" t="s">
        <v>20</v>
      </c>
      <c r="U4" s="208"/>
      <c r="V4" s="208"/>
      <c r="W4" s="208"/>
      <c r="X4" s="208"/>
      <c r="Y4" s="208"/>
      <c r="Z4" s="208"/>
      <c r="AA4" s="208"/>
      <c r="AB4" s="208"/>
      <c r="AC4" s="209"/>
      <c r="AD4" s="45"/>
    </row>
    <row r="5" spans="2:30" hidden="1" x14ac:dyDescent="0.2">
      <c r="D5" s="89"/>
      <c r="E5"/>
      <c r="F5"/>
      <c r="G5" s="71"/>
      <c r="H5" s="72"/>
      <c r="I5" s="72"/>
      <c r="J5" s="72"/>
      <c r="K5" s="72"/>
      <c r="L5" s="72"/>
      <c r="M5" s="72"/>
      <c r="N5" s="72"/>
      <c r="O5" s="72"/>
      <c r="P5" s="161" t="s">
        <v>105</v>
      </c>
      <c r="Q5" s="72"/>
      <c r="R5" s="77"/>
      <c r="S5"/>
      <c r="T5" s="71"/>
      <c r="U5" s="72"/>
      <c r="V5" s="72"/>
      <c r="W5" s="72"/>
      <c r="X5" s="72"/>
      <c r="Y5" s="72"/>
      <c r="Z5" s="72"/>
      <c r="AA5" s="72"/>
      <c r="AB5" s="72"/>
      <c r="AC5" s="77"/>
      <c r="AD5" s="45"/>
    </row>
    <row r="6" spans="2:30" hidden="1" x14ac:dyDescent="0.2">
      <c r="D6" s="89"/>
      <c r="E6"/>
      <c r="F6"/>
      <c r="G6" s="73"/>
      <c r="H6" s="210" t="s">
        <v>21</v>
      </c>
      <c r="I6" s="74"/>
      <c r="J6" s="17" t="s">
        <v>22</v>
      </c>
      <c r="K6" s="74"/>
      <c r="L6" s="17" t="s">
        <v>23</v>
      </c>
      <c r="M6" s="151"/>
      <c r="N6" s="151"/>
      <c r="O6" s="151"/>
      <c r="P6" s="74"/>
      <c r="Q6" s="17" t="s">
        <v>43</v>
      </c>
      <c r="R6" s="78"/>
      <c r="S6"/>
      <c r="T6" s="73"/>
      <c r="U6" s="210"/>
      <c r="V6" s="74"/>
      <c r="W6" s="17" t="s">
        <v>22</v>
      </c>
      <c r="X6" s="74"/>
      <c r="Y6" s="74"/>
      <c r="Z6" s="17" t="s">
        <v>23</v>
      </c>
      <c r="AA6" s="74"/>
      <c r="AB6" s="17" t="s">
        <v>43</v>
      </c>
      <c r="AC6" s="78"/>
      <c r="AD6" s="45"/>
    </row>
    <row r="7" spans="2:30" ht="3.75" hidden="1" customHeight="1" x14ac:dyDescent="0.2">
      <c r="D7" s="89"/>
      <c r="E7"/>
      <c r="F7"/>
      <c r="G7" s="73"/>
      <c r="H7" s="210"/>
      <c r="I7" s="74"/>
      <c r="J7" s="18"/>
      <c r="K7" s="74"/>
      <c r="L7" s="18"/>
      <c r="M7" s="152"/>
      <c r="N7" s="152"/>
      <c r="O7" s="152"/>
      <c r="P7" s="74"/>
      <c r="Q7" s="18"/>
      <c r="R7" s="78"/>
      <c r="S7"/>
      <c r="T7" s="73"/>
      <c r="U7" s="210"/>
      <c r="V7" s="74"/>
      <c r="W7" s="18"/>
      <c r="X7" s="74"/>
      <c r="Y7" s="74"/>
      <c r="Z7" s="18"/>
      <c r="AA7" s="74"/>
      <c r="AB7" s="18"/>
      <c r="AC7" s="78"/>
      <c r="AD7" s="45"/>
    </row>
    <row r="8" spans="2:30" ht="35.25" hidden="1" customHeight="1" x14ac:dyDescent="0.2">
      <c r="D8" s="89"/>
      <c r="E8"/>
      <c r="F8"/>
      <c r="G8" s="73"/>
      <c r="H8" s="210"/>
      <c r="I8" s="74"/>
      <c r="J8" s="83">
        <f>IF(S20&lt;&gt;0,R20/S20,"Infinite")</f>
        <v>0.1</v>
      </c>
      <c r="K8" s="74"/>
      <c r="L8" s="84" t="e">
        <f>J20/Q20</f>
        <v>#DIV/0!</v>
      </c>
      <c r="M8" s="153"/>
      <c r="N8" s="153"/>
      <c r="O8" s="153"/>
      <c r="P8" s="74"/>
      <c r="Q8" s="85">
        <f>Q22/J22</f>
        <v>0.45</v>
      </c>
      <c r="R8" s="78"/>
      <c r="S8"/>
      <c r="T8" s="73"/>
      <c r="U8" s="210"/>
      <c r="V8" s="74"/>
      <c r="W8" s="83">
        <f>IF(AD20&lt;&gt;0,AC20/AD20,"Infinite")</f>
        <v>0.18</v>
      </c>
      <c r="X8" s="74"/>
      <c r="Y8" s="74"/>
      <c r="Z8" s="84">
        <f>W20/AB20</f>
        <v>1.5625</v>
      </c>
      <c r="AA8" s="74"/>
      <c r="AB8" s="85">
        <f>AB22/W22</f>
        <v>0.80199999999999994</v>
      </c>
      <c r="AC8" s="78"/>
      <c r="AD8" s="45"/>
    </row>
    <row r="9" spans="2:30" ht="3.75" hidden="1" customHeight="1" x14ac:dyDescent="0.2">
      <c r="D9" s="89"/>
      <c r="E9"/>
      <c r="F9"/>
      <c r="G9" s="73"/>
      <c r="H9" s="210"/>
      <c r="I9" s="74"/>
      <c r="J9" s="19"/>
      <c r="K9" s="74"/>
      <c r="L9" s="19"/>
      <c r="M9" s="90"/>
      <c r="N9" s="90"/>
      <c r="O9" s="90"/>
      <c r="P9" s="74"/>
      <c r="Q9" s="19"/>
      <c r="R9" s="78"/>
      <c r="S9"/>
      <c r="T9" s="73"/>
      <c r="U9" s="210"/>
      <c r="V9" s="74"/>
      <c r="W9" s="19"/>
      <c r="X9" s="74"/>
      <c r="Y9" s="74"/>
      <c r="Z9" s="19"/>
      <c r="AA9" s="74"/>
      <c r="AB9" s="19"/>
      <c r="AC9" s="78"/>
      <c r="AD9" s="45"/>
    </row>
    <row r="10" spans="2:30" ht="8.25" hidden="1" customHeight="1" x14ac:dyDescent="0.2">
      <c r="D10" s="89"/>
      <c r="E10"/>
      <c r="F10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8"/>
      <c r="S10"/>
      <c r="T10" s="73"/>
      <c r="U10" s="74"/>
      <c r="V10" s="74"/>
      <c r="W10" s="74"/>
      <c r="X10" s="74"/>
      <c r="Y10" s="74"/>
      <c r="Z10" s="74"/>
      <c r="AA10" s="74"/>
      <c r="AB10" s="74"/>
      <c r="AC10" s="78"/>
      <c r="AD10" s="45"/>
    </row>
    <row r="11" spans="2:30" ht="8.25" hidden="1" customHeight="1" x14ac:dyDescent="0.2">
      <c r="D11" s="89"/>
      <c r="E11"/>
      <c r="F11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8"/>
      <c r="S11"/>
      <c r="T11" s="73"/>
      <c r="U11" s="74"/>
      <c r="V11" s="74"/>
      <c r="W11" s="74"/>
      <c r="X11" s="74"/>
      <c r="Y11" s="74"/>
      <c r="Z11" s="74"/>
      <c r="AA11" s="74"/>
      <c r="AB11" s="74"/>
      <c r="AC11" s="78"/>
      <c r="AD11" s="45"/>
    </row>
    <row r="12" spans="2:30" hidden="1" x14ac:dyDescent="0.2">
      <c r="D12" s="89"/>
      <c r="E12" s="20" t="s">
        <v>64</v>
      </c>
      <c r="F12"/>
      <c r="G12" s="73"/>
      <c r="H12" s="220" t="s">
        <v>69</v>
      </c>
      <c r="I12" s="74"/>
      <c r="J12" s="20" t="s">
        <v>24</v>
      </c>
      <c r="K12" s="74"/>
      <c r="L12" s="20" t="s">
        <v>25</v>
      </c>
      <c r="M12" s="154"/>
      <c r="N12" s="154"/>
      <c r="O12" s="154"/>
      <c r="P12" s="74"/>
      <c r="Q12" s="20" t="s">
        <v>26</v>
      </c>
      <c r="R12" s="78"/>
      <c r="S12" s="66"/>
      <c r="T12" s="73"/>
      <c r="U12" s="220"/>
      <c r="V12" s="74"/>
      <c r="W12" s="20" t="s">
        <v>24</v>
      </c>
      <c r="X12" s="74"/>
      <c r="Y12" s="74"/>
      <c r="Z12" s="20" t="s">
        <v>25</v>
      </c>
      <c r="AA12" s="74"/>
      <c r="AB12" s="20" t="s">
        <v>26</v>
      </c>
      <c r="AC12" s="78"/>
      <c r="AD12" s="114"/>
    </row>
    <row r="13" spans="2:30" ht="3.75" hidden="1" customHeight="1" x14ac:dyDescent="0.2">
      <c r="D13" s="89"/>
      <c r="E13" s="21"/>
      <c r="F13"/>
      <c r="G13" s="73"/>
      <c r="H13" s="220"/>
      <c r="I13" s="74"/>
      <c r="J13" s="21"/>
      <c r="K13" s="74"/>
      <c r="L13" s="21"/>
      <c r="M13"/>
      <c r="N13"/>
      <c r="O13"/>
      <c r="P13" s="74"/>
      <c r="Q13" s="21"/>
      <c r="R13" s="78"/>
      <c r="S13"/>
      <c r="T13" s="73"/>
      <c r="U13" s="220"/>
      <c r="V13" s="74"/>
      <c r="W13" s="21"/>
      <c r="X13" s="74"/>
      <c r="Y13" s="74"/>
      <c r="Z13" s="21"/>
      <c r="AA13" s="74"/>
      <c r="AB13" s="21"/>
      <c r="AC13" s="78"/>
      <c r="AD13" s="45"/>
    </row>
    <row r="14" spans="2:30" ht="35.25" hidden="1" customHeight="1" x14ac:dyDescent="0.2">
      <c r="D14" s="89"/>
      <c r="E14" s="162">
        <v>0.45</v>
      </c>
      <c r="F14"/>
      <c r="G14" s="73"/>
      <c r="H14" s="220"/>
      <c r="I14" s="74"/>
      <c r="J14" s="147">
        <f>G43</f>
        <v>0.1</v>
      </c>
      <c r="K14" s="74"/>
      <c r="L14" s="148">
        <f>J35</f>
        <v>0</v>
      </c>
      <c r="M14" s="159"/>
      <c r="N14" s="159"/>
      <c r="O14" s="159"/>
      <c r="P14" s="74"/>
      <c r="Q14" s="148">
        <f>J43</f>
        <v>0.08</v>
      </c>
      <c r="R14" s="78"/>
      <c r="S14" s="67"/>
      <c r="T14" s="73"/>
      <c r="U14" s="220"/>
      <c r="V14" s="74"/>
      <c r="W14" s="149">
        <f>T43</f>
        <v>0.1</v>
      </c>
      <c r="X14" s="74"/>
      <c r="Y14" s="74"/>
      <c r="Z14" s="150">
        <f>W35</f>
        <v>0.8</v>
      </c>
      <c r="AA14" s="74"/>
      <c r="AB14" s="150">
        <f>W43</f>
        <v>0.08</v>
      </c>
      <c r="AC14" s="78"/>
      <c r="AD14" s="115"/>
    </row>
    <row r="15" spans="2:30" ht="3.75" hidden="1" customHeight="1" x14ac:dyDescent="0.2">
      <c r="D15" s="89"/>
      <c r="E15" s="22"/>
      <c r="F15"/>
      <c r="G15" s="73"/>
      <c r="H15" s="220"/>
      <c r="I15" s="74"/>
      <c r="J15" s="22"/>
      <c r="K15" s="74"/>
      <c r="L15" s="23"/>
      <c r="M15" s="155"/>
      <c r="N15" s="155"/>
      <c r="O15" s="155"/>
      <c r="P15" s="74"/>
      <c r="Q15" s="23"/>
      <c r="R15" s="78"/>
      <c r="S15" s="67"/>
      <c r="T15" s="73"/>
      <c r="U15" s="220"/>
      <c r="V15" s="74"/>
      <c r="W15" s="22"/>
      <c r="X15" s="74"/>
      <c r="Y15" s="74"/>
      <c r="Z15" s="23"/>
      <c r="AA15" s="74"/>
      <c r="AB15" s="23"/>
      <c r="AC15" s="78"/>
      <c r="AD15" s="115"/>
    </row>
    <row r="16" spans="2:30" hidden="1" x14ac:dyDescent="0.2">
      <c r="D16" s="89"/>
      <c r="E16"/>
      <c r="F16"/>
      <c r="G16" s="75"/>
      <c r="H16" s="76"/>
      <c r="I16" s="76"/>
      <c r="J16" s="79"/>
      <c r="K16" s="76"/>
      <c r="L16" s="80"/>
      <c r="M16" s="80"/>
      <c r="N16" s="80"/>
      <c r="O16" s="80"/>
      <c r="P16" s="76"/>
      <c r="Q16" s="80"/>
      <c r="R16" s="81"/>
      <c r="S16" s="67"/>
      <c r="T16" s="75"/>
      <c r="U16" s="76"/>
      <c r="V16" s="76"/>
      <c r="W16" s="79"/>
      <c r="X16" s="76"/>
      <c r="Y16" s="76"/>
      <c r="Z16" s="80"/>
      <c r="AA16" s="76"/>
      <c r="AB16" s="80"/>
      <c r="AC16" s="81"/>
      <c r="AD16" s="115"/>
    </row>
    <row r="17" spans="2:30" s="68" customFormat="1" ht="20.25" hidden="1" customHeight="1" thickBot="1" x14ac:dyDescent="0.25">
      <c r="D17" s="116"/>
      <c r="E17" s="117"/>
      <c r="F17" s="221" t="s">
        <v>68</v>
      </c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2"/>
    </row>
    <row r="18" spans="2:30" s="68" customFormat="1" ht="12.75" hidden="1" customHeight="1" x14ac:dyDescent="0.2"/>
    <row r="19" spans="2:30" s="68" customFormat="1" ht="20.25" hidden="1" customHeight="1" x14ac:dyDescent="0.2">
      <c r="H19" s="68" t="s">
        <v>27</v>
      </c>
      <c r="J19" s="68" t="s">
        <v>28</v>
      </c>
      <c r="L19" s="68" t="s">
        <v>29</v>
      </c>
      <c r="Q19" s="68" t="s">
        <v>30</v>
      </c>
      <c r="R19" s="68" t="s">
        <v>31</v>
      </c>
      <c r="S19" s="68" t="s">
        <v>32</v>
      </c>
      <c r="U19" s="68" t="s">
        <v>27</v>
      </c>
      <c r="W19" s="68" t="s">
        <v>28</v>
      </c>
      <c r="Z19" s="68" t="s">
        <v>29</v>
      </c>
      <c r="AB19" s="68" t="s">
        <v>30</v>
      </c>
      <c r="AC19" s="68" t="s">
        <v>31</v>
      </c>
      <c r="AD19" s="68" t="s">
        <v>32</v>
      </c>
    </row>
    <row r="20" spans="2:30" s="68" customFormat="1" ht="15.75" hidden="1" customHeight="1" x14ac:dyDescent="0.2">
      <c r="H20" s="68">
        <f>(1-OE_Ratio)</f>
        <v>0.55000000000000004</v>
      </c>
      <c r="J20" s="69">
        <f>J14*100000</f>
        <v>10000</v>
      </c>
      <c r="L20" s="69">
        <f>L14*100000</f>
        <v>0</v>
      </c>
      <c r="M20" s="69"/>
      <c r="N20" s="69"/>
      <c r="O20" s="69"/>
      <c r="Q20" s="70">
        <f>Q14*L20</f>
        <v>0</v>
      </c>
      <c r="R20" s="70">
        <f>J20-Q20</f>
        <v>10000</v>
      </c>
      <c r="S20" s="70">
        <f>100000-L20</f>
        <v>100000</v>
      </c>
      <c r="U20" s="68">
        <f>(1-OE_Ratio)</f>
        <v>0.55000000000000004</v>
      </c>
      <c r="W20" s="69">
        <f>W14*100000</f>
        <v>10000</v>
      </c>
      <c r="Z20" s="69">
        <f>Z14*100000</f>
        <v>80000</v>
      </c>
      <c r="AB20" s="70">
        <f>AB14*Z20</f>
        <v>6400</v>
      </c>
      <c r="AC20" s="70">
        <f>W20-AB20</f>
        <v>3600</v>
      </c>
      <c r="AD20" s="70">
        <f>100000-Z20</f>
        <v>20000</v>
      </c>
    </row>
    <row r="21" spans="2:30" s="68" customFormat="1" ht="19.5" hidden="1" customHeight="1" x14ac:dyDescent="0.2">
      <c r="J21" s="69" t="s">
        <v>65</v>
      </c>
      <c r="L21" s="69" t="s">
        <v>66</v>
      </c>
      <c r="M21" s="69"/>
      <c r="N21" s="69"/>
      <c r="O21" s="69"/>
      <c r="Q21" s="70" t="s">
        <v>67</v>
      </c>
      <c r="R21" s="70"/>
      <c r="S21" s="70"/>
      <c r="W21" s="69" t="s">
        <v>65</v>
      </c>
      <c r="Z21" s="69" t="s">
        <v>66</v>
      </c>
      <c r="AB21" s="70" t="s">
        <v>67</v>
      </c>
      <c r="AC21" s="70"/>
      <c r="AD21" s="70"/>
    </row>
    <row r="22" spans="2:30" s="68" customFormat="1" ht="14.25" hidden="1" customHeight="1" thickBot="1" x14ac:dyDescent="0.25">
      <c r="J22" s="70">
        <f>J20/H20</f>
        <v>18181.81818181818</v>
      </c>
      <c r="L22" s="70">
        <f>J22*OE_Ratio</f>
        <v>8181.8181818181811</v>
      </c>
      <c r="M22" s="70"/>
      <c r="N22" s="70"/>
      <c r="O22" s="70"/>
      <c r="Q22" s="70">
        <f>L22+Q20</f>
        <v>8181.8181818181811</v>
      </c>
      <c r="W22" s="70">
        <f>W20/U20</f>
        <v>18181.81818181818</v>
      </c>
      <c r="Z22" s="70">
        <f>W22*OE_Ratio</f>
        <v>8181.8181818181811</v>
      </c>
      <c r="AB22" s="70">
        <f>Z22+AB20</f>
        <v>14581.81818181818</v>
      </c>
    </row>
    <row r="23" spans="2:30" s="68" customFormat="1" ht="39.75" customHeight="1" thickBot="1" x14ac:dyDescent="0.25">
      <c r="B23" s="204" t="s">
        <v>18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6"/>
    </row>
    <row r="24" spans="2:30" s="68" customFormat="1" ht="19.5" customHeight="1" x14ac:dyDescent="0.2">
      <c r="B24" s="217" t="s">
        <v>111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9"/>
    </row>
    <row r="25" spans="2:30" ht="3" customHeight="1" x14ac:dyDescent="0.2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165"/>
    </row>
    <row r="26" spans="2:30" ht="29.25" customHeight="1" x14ac:dyDescent="0.2">
      <c r="B26" s="89"/>
      <c r="C26" s="90"/>
      <c r="D26" s="160" t="s">
        <v>64</v>
      </c>
      <c r="E26" s="229">
        <v>0.45</v>
      </c>
      <c r="F26" s="230"/>
      <c r="G26" s="231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165"/>
    </row>
    <row r="27" spans="2:30" ht="12" customHeight="1" x14ac:dyDescent="0.2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165"/>
    </row>
    <row r="28" spans="2:30" ht="22.5" customHeight="1" x14ac:dyDescent="0.2">
      <c r="B28" s="89"/>
      <c r="C28" s="232" t="s">
        <v>19</v>
      </c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4"/>
      <c r="O28" s="90"/>
      <c r="P28" s="232" t="s">
        <v>20</v>
      </c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4"/>
      <c r="AB28" s="165"/>
    </row>
    <row r="29" spans="2:30" ht="13.5" thickBot="1" x14ac:dyDescent="0.25">
      <c r="B29" s="89"/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8"/>
      <c r="O29" s="90"/>
      <c r="P29" s="73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8"/>
      <c r="AB29" s="91"/>
    </row>
    <row r="30" spans="2:30" ht="26.25" x14ac:dyDescent="0.4">
      <c r="B30" s="89"/>
      <c r="C30" s="73"/>
      <c r="D30" s="156" t="s">
        <v>102</v>
      </c>
      <c r="E30" s="74"/>
      <c r="F30" s="211" t="s">
        <v>104</v>
      </c>
      <c r="G30" s="212"/>
      <c r="H30" s="212"/>
      <c r="I30" s="226" t="s">
        <v>41</v>
      </c>
      <c r="J30" s="227"/>
      <c r="K30" s="228"/>
      <c r="L30" s="74"/>
      <c r="M30" s="157" t="s">
        <v>103</v>
      </c>
      <c r="N30" s="78"/>
      <c r="O30" s="90"/>
      <c r="P30" s="73"/>
      <c r="Q30" s="156" t="s">
        <v>102</v>
      </c>
      <c r="R30" s="74"/>
      <c r="S30" s="211" t="s">
        <v>104</v>
      </c>
      <c r="T30" s="212"/>
      <c r="U30" s="213"/>
      <c r="V30" s="226" t="s">
        <v>41</v>
      </c>
      <c r="W30" s="227"/>
      <c r="X30" s="228"/>
      <c r="Y30" s="74"/>
      <c r="Z30" s="157" t="s">
        <v>103</v>
      </c>
      <c r="AA30" s="78"/>
      <c r="AB30" s="91"/>
    </row>
    <row r="31" spans="2:30" x14ac:dyDescent="0.2">
      <c r="B31" s="89"/>
      <c r="C31" s="73"/>
      <c r="D31" s="137"/>
      <c r="E31" s="74"/>
      <c r="F31" s="168"/>
      <c r="G31" s="141"/>
      <c r="H31" s="141"/>
      <c r="I31" s="175"/>
      <c r="J31" s="50"/>
      <c r="K31" s="169"/>
      <c r="L31" s="74"/>
      <c r="M31" s="142"/>
      <c r="N31" s="78"/>
      <c r="O31" s="90"/>
      <c r="P31" s="73"/>
      <c r="Q31" s="137"/>
      <c r="R31" s="74"/>
      <c r="S31" s="168"/>
      <c r="T31" s="141"/>
      <c r="U31" s="184"/>
      <c r="V31" s="175"/>
      <c r="W31" s="50"/>
      <c r="X31" s="169"/>
      <c r="Y31" s="74"/>
      <c r="Z31" s="142"/>
      <c r="AA31" s="78"/>
      <c r="AB31" s="91"/>
    </row>
    <row r="32" spans="2:30" ht="18" x14ac:dyDescent="0.25">
      <c r="B32" s="89"/>
      <c r="C32" s="73"/>
      <c r="D32" s="138" t="s">
        <v>22</v>
      </c>
      <c r="E32" s="74"/>
      <c r="F32" s="168"/>
      <c r="G32" s="141"/>
      <c r="H32" s="141"/>
      <c r="I32" s="175"/>
      <c r="J32" s="166" t="s">
        <v>46</v>
      </c>
      <c r="K32" s="169"/>
      <c r="L32" s="74"/>
      <c r="M32" s="143" t="s">
        <v>23</v>
      </c>
      <c r="N32" s="78"/>
      <c r="O32" s="90"/>
      <c r="P32" s="73"/>
      <c r="Q32" s="138" t="s">
        <v>22</v>
      </c>
      <c r="R32" s="74"/>
      <c r="S32" s="168"/>
      <c r="T32" s="141"/>
      <c r="U32" s="184"/>
      <c r="V32" s="175"/>
      <c r="W32" s="166" t="s">
        <v>46</v>
      </c>
      <c r="X32" s="169"/>
      <c r="Y32" s="74"/>
      <c r="Z32" s="143" t="s">
        <v>23</v>
      </c>
      <c r="AA32" s="78"/>
      <c r="AB32" s="91"/>
    </row>
    <row r="33" spans="2:28" ht="26.25" thickBot="1" x14ac:dyDescent="0.4">
      <c r="B33" s="89"/>
      <c r="C33" s="73"/>
      <c r="D33" s="139">
        <f>IF(S20&lt;&gt;0,R20/S20,"Infinite")</f>
        <v>0.1</v>
      </c>
      <c r="E33" s="74"/>
      <c r="F33" s="168"/>
      <c r="G33" s="141"/>
      <c r="H33" s="141"/>
      <c r="I33" s="176"/>
      <c r="J33" s="177"/>
      <c r="K33" s="178"/>
      <c r="L33" s="74"/>
      <c r="M33" s="144" t="e">
        <f>J20/Q20</f>
        <v>#DIV/0!</v>
      </c>
      <c r="N33" s="78"/>
      <c r="O33" s="90"/>
      <c r="P33" s="73"/>
      <c r="Q33" s="139">
        <f>IF(AD20&lt;&gt;0,AC20/AD20,"Infinite")</f>
        <v>0.18</v>
      </c>
      <c r="R33" s="74"/>
      <c r="S33" s="168"/>
      <c r="T33" s="141"/>
      <c r="U33" s="184"/>
      <c r="V33" s="176"/>
      <c r="W33" s="177"/>
      <c r="X33" s="178"/>
      <c r="Y33" s="74"/>
      <c r="Z33" s="144">
        <f>W20/AB20</f>
        <v>1.5625</v>
      </c>
      <c r="AA33" s="78"/>
      <c r="AB33" s="91"/>
    </row>
    <row r="34" spans="2:28" ht="26.25" x14ac:dyDescent="0.4">
      <c r="B34" s="89"/>
      <c r="C34" s="73"/>
      <c r="D34" s="137"/>
      <c r="E34" s="74"/>
      <c r="F34" s="168"/>
      <c r="G34" s="141"/>
      <c r="H34" s="141"/>
      <c r="I34" s="179"/>
      <c r="J34" s="180" t="s">
        <v>82</v>
      </c>
      <c r="K34" s="181"/>
      <c r="L34" s="74"/>
      <c r="M34" s="143" t="s">
        <v>43</v>
      </c>
      <c r="N34" s="78"/>
      <c r="O34" s="90"/>
      <c r="P34" s="73"/>
      <c r="Q34" s="137"/>
      <c r="R34" s="74"/>
      <c r="S34" s="168"/>
      <c r="T34" s="141"/>
      <c r="U34" s="184"/>
      <c r="V34" s="179"/>
      <c r="W34" s="180" t="s">
        <v>82</v>
      </c>
      <c r="X34" s="181"/>
      <c r="Y34" s="74"/>
      <c r="Z34" s="143" t="s">
        <v>43</v>
      </c>
      <c r="AA34" s="78"/>
      <c r="AB34" s="91"/>
    </row>
    <row r="35" spans="2:28" ht="27" x14ac:dyDescent="0.35">
      <c r="B35" s="89"/>
      <c r="C35" s="73"/>
      <c r="D35" s="137"/>
      <c r="E35" s="74"/>
      <c r="F35" s="168"/>
      <c r="G35" s="141"/>
      <c r="H35" s="141"/>
      <c r="I35" s="182"/>
      <c r="J35" s="136"/>
      <c r="K35" s="170"/>
      <c r="L35" s="74"/>
      <c r="M35" s="145">
        <f>Q22/J22</f>
        <v>0.45</v>
      </c>
      <c r="N35" s="78"/>
      <c r="O35" s="90"/>
      <c r="P35" s="73"/>
      <c r="Q35" s="137"/>
      <c r="R35" s="74"/>
      <c r="S35" s="168"/>
      <c r="T35" s="141"/>
      <c r="U35" s="184"/>
      <c r="V35" s="182"/>
      <c r="W35" s="136">
        <v>0.8</v>
      </c>
      <c r="X35" s="170"/>
      <c r="Y35" s="74"/>
      <c r="Z35" s="145">
        <f>AB22/W22</f>
        <v>0.80199999999999994</v>
      </c>
      <c r="AA35" s="78"/>
      <c r="AB35" s="91"/>
    </row>
    <row r="36" spans="2:28" x14ac:dyDescent="0.2">
      <c r="B36" s="89"/>
      <c r="C36" s="73"/>
      <c r="D36" s="140"/>
      <c r="E36" s="74"/>
      <c r="F36" s="168"/>
      <c r="G36" s="141"/>
      <c r="H36" s="141"/>
      <c r="I36" s="182"/>
      <c r="J36" s="49"/>
      <c r="K36" s="170"/>
      <c r="L36" s="74"/>
      <c r="M36" s="146"/>
      <c r="N36" s="78"/>
      <c r="O36" s="90"/>
      <c r="P36" s="73"/>
      <c r="Q36" s="140"/>
      <c r="R36" s="74"/>
      <c r="S36" s="168"/>
      <c r="T36" s="141"/>
      <c r="U36" s="184"/>
      <c r="V36" s="182"/>
      <c r="W36" s="49"/>
      <c r="X36" s="170"/>
      <c r="Y36" s="74"/>
      <c r="Z36" s="146"/>
      <c r="AA36" s="78"/>
      <c r="AB36" s="91"/>
    </row>
    <row r="37" spans="2:28" x14ac:dyDescent="0.2">
      <c r="B37" s="89"/>
      <c r="C37" s="73"/>
      <c r="D37" s="74"/>
      <c r="E37" s="74"/>
      <c r="F37" s="168"/>
      <c r="G37" s="141"/>
      <c r="H37" s="141"/>
      <c r="I37" s="182"/>
      <c r="J37" s="49"/>
      <c r="K37" s="170"/>
      <c r="L37" s="74"/>
      <c r="M37" s="74"/>
      <c r="N37" s="78"/>
      <c r="O37" s="90"/>
      <c r="P37" s="73"/>
      <c r="Q37" s="74"/>
      <c r="R37" s="74"/>
      <c r="S37" s="168"/>
      <c r="T37" s="141"/>
      <c r="U37" s="184"/>
      <c r="V37" s="182"/>
      <c r="W37" s="49"/>
      <c r="X37" s="170"/>
      <c r="Y37" s="74"/>
      <c r="Z37" s="74"/>
      <c r="AA37" s="78"/>
      <c r="AB37" s="91"/>
    </row>
    <row r="38" spans="2:28" x14ac:dyDescent="0.2">
      <c r="B38" s="89"/>
      <c r="C38" s="73"/>
      <c r="D38" s="74"/>
      <c r="E38" s="74"/>
      <c r="F38" s="168"/>
      <c r="G38" s="141"/>
      <c r="H38" s="141"/>
      <c r="I38" s="182"/>
      <c r="J38" s="49"/>
      <c r="K38" s="170"/>
      <c r="L38" s="74"/>
      <c r="M38" s="74"/>
      <c r="N38" s="78"/>
      <c r="O38" s="90"/>
      <c r="P38" s="73"/>
      <c r="Q38" s="74"/>
      <c r="R38" s="74"/>
      <c r="S38" s="168"/>
      <c r="T38" s="141"/>
      <c r="U38" s="184"/>
      <c r="V38" s="182"/>
      <c r="W38" s="49"/>
      <c r="X38" s="170"/>
      <c r="Y38" s="74"/>
      <c r="Z38" s="74"/>
      <c r="AA38" s="78"/>
      <c r="AB38" s="91"/>
    </row>
    <row r="39" spans="2:28" x14ac:dyDescent="0.2">
      <c r="B39" s="89"/>
      <c r="C39" s="73"/>
      <c r="D39" s="74"/>
      <c r="E39" s="74"/>
      <c r="F39" s="168"/>
      <c r="G39" s="141"/>
      <c r="H39" s="141"/>
      <c r="I39" s="182"/>
      <c r="J39" s="49"/>
      <c r="K39" s="170"/>
      <c r="L39" s="74"/>
      <c r="M39" s="74"/>
      <c r="N39" s="78"/>
      <c r="O39" s="90"/>
      <c r="P39" s="73"/>
      <c r="Q39" s="74"/>
      <c r="R39" s="74"/>
      <c r="S39" s="168"/>
      <c r="T39" s="141"/>
      <c r="U39" s="184"/>
      <c r="V39" s="182"/>
      <c r="W39" s="49"/>
      <c r="X39" s="170"/>
      <c r="Y39" s="74"/>
      <c r="Z39" s="74" t="s">
        <v>109</v>
      </c>
      <c r="AA39" s="78"/>
      <c r="AB39" s="91"/>
    </row>
    <row r="40" spans="2:28" x14ac:dyDescent="0.2">
      <c r="B40" s="89"/>
      <c r="C40" s="73"/>
      <c r="D40" s="74"/>
      <c r="E40" s="74"/>
      <c r="F40" s="168"/>
      <c r="G40" s="141"/>
      <c r="H40" s="141"/>
      <c r="I40" s="182"/>
      <c r="J40" s="49"/>
      <c r="K40" s="170"/>
      <c r="L40" s="74"/>
      <c r="M40" s="74"/>
      <c r="N40" s="78"/>
      <c r="O40" s="90"/>
      <c r="P40" s="73"/>
      <c r="Q40" s="74"/>
      <c r="R40" s="74"/>
      <c r="S40" s="168"/>
      <c r="T40" s="141"/>
      <c r="U40" s="184"/>
      <c r="V40" s="182"/>
      <c r="W40" s="49"/>
      <c r="X40" s="170"/>
      <c r="Y40" s="74"/>
      <c r="Z40" s="74" t="s">
        <v>108</v>
      </c>
      <c r="AA40" s="78"/>
      <c r="AB40" s="91"/>
    </row>
    <row r="41" spans="2:28" x14ac:dyDescent="0.2">
      <c r="B41" s="89"/>
      <c r="C41" s="73"/>
      <c r="D41" s="74"/>
      <c r="E41" s="74"/>
      <c r="F41" s="168"/>
      <c r="G41" s="141"/>
      <c r="H41" s="141"/>
      <c r="I41" s="182"/>
      <c r="J41" s="49"/>
      <c r="K41" s="170"/>
      <c r="L41" s="74"/>
      <c r="M41" s="74"/>
      <c r="N41" s="78"/>
      <c r="O41" s="90"/>
      <c r="P41" s="73"/>
      <c r="Q41" s="74"/>
      <c r="R41" s="74"/>
      <c r="S41" s="168"/>
      <c r="T41" s="141"/>
      <c r="U41" s="184"/>
      <c r="V41" s="182"/>
      <c r="W41" s="49"/>
      <c r="X41" s="170"/>
      <c r="Y41" s="74"/>
      <c r="Z41" s="74" t="s">
        <v>110</v>
      </c>
      <c r="AA41" s="78"/>
      <c r="AB41" s="91"/>
    </row>
    <row r="42" spans="2:28" ht="18" x14ac:dyDescent="0.25">
      <c r="B42" s="89"/>
      <c r="C42" s="73"/>
      <c r="D42" s="74"/>
      <c r="E42" s="74"/>
      <c r="F42" s="223" t="s">
        <v>24</v>
      </c>
      <c r="G42" s="224"/>
      <c r="H42" s="224"/>
      <c r="I42" s="182"/>
      <c r="J42" s="158" t="s">
        <v>26</v>
      </c>
      <c r="K42" s="170"/>
      <c r="L42" s="74"/>
      <c r="M42" s="74"/>
      <c r="N42" s="78"/>
      <c r="O42" s="90"/>
      <c r="P42" s="73"/>
      <c r="Q42" s="74"/>
      <c r="R42" s="74"/>
      <c r="S42" s="223" t="s">
        <v>24</v>
      </c>
      <c r="T42" s="224"/>
      <c r="U42" s="225"/>
      <c r="V42" s="182"/>
      <c r="W42" s="158" t="s">
        <v>26</v>
      </c>
      <c r="X42" s="170"/>
      <c r="Y42" s="74"/>
      <c r="Z42" s="74"/>
      <c r="AA42" s="78"/>
      <c r="AB42" s="91"/>
    </row>
    <row r="43" spans="2:28" ht="27" x14ac:dyDescent="0.2">
      <c r="B43" s="89"/>
      <c r="C43" s="73"/>
      <c r="D43" s="74"/>
      <c r="E43" s="74"/>
      <c r="F43" s="168"/>
      <c r="G43" s="136">
        <v>0.1</v>
      </c>
      <c r="H43" s="141"/>
      <c r="I43" s="182"/>
      <c r="J43" s="136">
        <v>0.08</v>
      </c>
      <c r="K43" s="170"/>
      <c r="L43" s="74"/>
      <c r="M43" s="74"/>
      <c r="N43" s="78"/>
      <c r="O43" s="90"/>
      <c r="P43" s="73"/>
      <c r="Q43" s="74"/>
      <c r="R43" s="74"/>
      <c r="S43" s="168"/>
      <c r="T43" s="136">
        <v>0.1</v>
      </c>
      <c r="U43" s="184"/>
      <c r="V43" s="182"/>
      <c r="W43" s="136">
        <v>0.08</v>
      </c>
      <c r="X43" s="170"/>
      <c r="Y43" s="74"/>
      <c r="Z43" s="74"/>
      <c r="AA43" s="78"/>
      <c r="AB43" s="91"/>
    </row>
    <row r="44" spans="2:28" ht="13.5" thickBot="1" x14ac:dyDescent="0.25">
      <c r="B44" s="89"/>
      <c r="C44" s="73"/>
      <c r="D44" s="74"/>
      <c r="E44" s="74"/>
      <c r="F44" s="171"/>
      <c r="G44" s="172"/>
      <c r="H44" s="172"/>
      <c r="I44" s="183"/>
      <c r="J44" s="173"/>
      <c r="K44" s="174"/>
      <c r="L44" s="74"/>
      <c r="M44" s="74"/>
      <c r="N44" s="78"/>
      <c r="O44" s="90"/>
      <c r="P44" s="73"/>
      <c r="Q44" s="74"/>
      <c r="R44" s="74"/>
      <c r="S44" s="171"/>
      <c r="T44" s="172"/>
      <c r="U44" s="185"/>
      <c r="V44" s="183"/>
      <c r="W44" s="173"/>
      <c r="X44" s="174"/>
      <c r="Y44" s="74"/>
      <c r="Z44" s="74"/>
      <c r="AA44" s="78"/>
      <c r="AB44" s="91"/>
    </row>
    <row r="45" spans="2:28" x14ac:dyDescent="0.2">
      <c r="B45" s="89"/>
      <c r="C45" s="75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81"/>
      <c r="O45" s="90"/>
      <c r="P45" s="75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81"/>
      <c r="AB45" s="91"/>
    </row>
    <row r="46" spans="2:28" ht="15.75" thickBot="1" x14ac:dyDescent="0.25">
      <c r="B46" s="97"/>
      <c r="C46" s="98"/>
      <c r="D46" s="163"/>
      <c r="E46" s="164"/>
      <c r="F46" s="164"/>
      <c r="G46" s="164"/>
      <c r="H46" s="164"/>
      <c r="I46" s="164"/>
      <c r="J46" s="164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</row>
    <row r="47" spans="2:28" ht="18.75" x14ac:dyDescent="0.3">
      <c r="D47" s="167" t="s">
        <v>90</v>
      </c>
      <c r="O47" s="187" t="s">
        <v>68</v>
      </c>
    </row>
  </sheetData>
  <sheetProtection password="E4AD" sheet="1" objects="1" scenarios="1" selectLockedCells="1"/>
  <mergeCells count="20">
    <mergeCell ref="S42:U42"/>
    <mergeCell ref="V30:X30"/>
    <mergeCell ref="F30:H30"/>
    <mergeCell ref="I30:K30"/>
    <mergeCell ref="F42:H42"/>
    <mergeCell ref="S30:U30"/>
    <mergeCell ref="B3:AB3"/>
    <mergeCell ref="B24:AB24"/>
    <mergeCell ref="B23:AB23"/>
    <mergeCell ref="H12:H15"/>
    <mergeCell ref="U12:U15"/>
    <mergeCell ref="F17:AD17"/>
    <mergeCell ref="E26:G26"/>
    <mergeCell ref="C28:N28"/>
    <mergeCell ref="P28:AA28"/>
    <mergeCell ref="B2:AB2"/>
    <mergeCell ref="G4:R4"/>
    <mergeCell ref="T4:AC4"/>
    <mergeCell ref="H6:H9"/>
    <mergeCell ref="U6:U9"/>
  </mergeCells>
  <conditionalFormatting sqref="Q33">
    <cfRule type="iconSet" priority="3">
      <iconSet iconSet="3Arrows">
        <cfvo type="percent" val="0"/>
        <cfvo type="formula" val="$D$33"/>
        <cfvo type="formula" val="$D$33" gte="0"/>
      </iconSet>
    </cfRule>
  </conditionalFormatting>
  <conditionalFormatting sqref="W8">
    <cfRule type="iconSet" priority="6">
      <iconSet iconSet="3Arrows">
        <cfvo type="percent" val="0"/>
        <cfvo type="formula" val="$J$8"/>
        <cfvo type="formula" val="$J$8" gte="0"/>
      </iconSet>
    </cfRule>
  </conditionalFormatting>
  <conditionalFormatting sqref="Z8">
    <cfRule type="iconSet" priority="5">
      <iconSet iconSet="3Arrows">
        <cfvo type="percent" val="0"/>
        <cfvo type="formula" val="$L$8"/>
        <cfvo type="formula" val="$L$8" gte="0"/>
      </iconSet>
    </cfRule>
  </conditionalFormatting>
  <conditionalFormatting sqref="Z33">
    <cfRule type="iconSet" priority="2">
      <iconSet>
        <cfvo type="percent" val="0"/>
        <cfvo type="formula" val="$M$33"/>
        <cfvo type="formula" val="$M$33" gte="0"/>
      </iconSet>
    </cfRule>
  </conditionalFormatting>
  <conditionalFormatting sqref="Z35">
    <cfRule type="iconSet" priority="1">
      <iconSet reverse="1">
        <cfvo type="percent" val="0"/>
        <cfvo type="formula" val="$M$35"/>
        <cfvo type="formula" val="$M$35" gte="0"/>
      </iconSet>
    </cfRule>
  </conditionalFormatting>
  <conditionalFormatting sqref="AB8">
    <cfRule type="iconSet" priority="4">
      <iconSet iconSet="3TrafficLights2" reverse="1">
        <cfvo type="percent" val="0"/>
        <cfvo type="formula" val="$Q$8"/>
        <cfvo type="formula" val="$Q$8" gte="0"/>
      </iconSet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21"/>
  <sheetViews>
    <sheetView showGridLines="0" topLeftCell="A7" zoomScaleNormal="100" workbookViewId="0"/>
  </sheetViews>
  <sheetFormatPr defaultRowHeight="12.75" x14ac:dyDescent="0.2"/>
  <cols>
    <col min="1" max="1" width="2.85546875" style="1" customWidth="1"/>
    <col min="2" max="2" width="4.5703125" style="1" customWidth="1"/>
    <col min="3" max="3" width="25.5703125" style="1" customWidth="1"/>
    <col min="4" max="4" width="4.5703125" style="1" customWidth="1"/>
    <col min="5" max="5" width="5.140625" style="1" customWidth="1"/>
    <col min="6" max="6" width="20.5703125" style="1" bestFit="1" customWidth="1"/>
    <col min="7" max="16384" width="9.140625" style="1"/>
  </cols>
  <sheetData>
    <row r="1" spans="2:7" ht="15" customHeight="1" thickBot="1" x14ac:dyDescent="0.25"/>
    <row r="2" spans="2:7" ht="33.75" customHeight="1" thickBot="1" x14ac:dyDescent="0.25">
      <c r="B2" s="235" t="s">
        <v>36</v>
      </c>
      <c r="C2" s="236"/>
      <c r="D2" s="236"/>
      <c r="E2" s="236"/>
      <c r="F2" s="236"/>
      <c r="G2" s="237"/>
    </row>
    <row r="3" spans="2:7" ht="6.75" customHeight="1" x14ac:dyDescent="0.2">
      <c r="B3" s="44"/>
      <c r="C3"/>
      <c r="D3"/>
      <c r="E3"/>
      <c r="F3"/>
      <c r="G3" s="45"/>
    </row>
    <row r="4" spans="2:7" s="25" customFormat="1" ht="20.25" customHeight="1" x14ac:dyDescent="0.25">
      <c r="B4" s="118"/>
      <c r="C4" s="24" t="s">
        <v>33</v>
      </c>
      <c r="D4" s="24"/>
      <c r="E4" s="24"/>
      <c r="F4" s="24" t="s">
        <v>33</v>
      </c>
      <c r="G4" s="119"/>
    </row>
    <row r="5" spans="2:7" s="25" customFormat="1" ht="18.75" customHeight="1" x14ac:dyDescent="0.25">
      <c r="B5" s="118"/>
      <c r="C5" s="26" t="s">
        <v>1</v>
      </c>
      <c r="D5" s="24"/>
      <c r="E5" s="24"/>
      <c r="F5" s="26" t="s">
        <v>1</v>
      </c>
      <c r="G5" s="119"/>
    </row>
    <row r="6" spans="2:7" s="25" customFormat="1" ht="20.25" customHeight="1" x14ac:dyDescent="0.25">
      <c r="B6" s="118"/>
      <c r="C6" s="24" t="s">
        <v>34</v>
      </c>
      <c r="D6" s="24"/>
      <c r="E6" s="24"/>
      <c r="F6" s="24" t="s">
        <v>34</v>
      </c>
      <c r="G6" s="119"/>
    </row>
    <row r="7" spans="2:7" s="25" customFormat="1" ht="18.75" customHeight="1" x14ac:dyDescent="0.25">
      <c r="B7" s="118"/>
      <c r="C7" s="27">
        <v>180000</v>
      </c>
      <c r="D7" s="24"/>
      <c r="E7" s="24"/>
      <c r="F7" s="27">
        <f>227500-C7</f>
        <v>47500</v>
      </c>
      <c r="G7" s="119"/>
    </row>
    <row r="8" spans="2:7" s="25" customFormat="1" ht="18.75" customHeight="1" x14ac:dyDescent="0.25">
      <c r="B8" s="118"/>
      <c r="C8" s="24" t="s">
        <v>37</v>
      </c>
      <c r="D8" s="24"/>
      <c r="E8" s="24"/>
      <c r="F8" s="24" t="s">
        <v>37</v>
      </c>
      <c r="G8" s="119"/>
    </row>
    <row r="9" spans="2:7" s="25" customFormat="1" ht="18.75" customHeight="1" x14ac:dyDescent="0.25">
      <c r="B9" s="118"/>
      <c r="C9" s="28">
        <v>12</v>
      </c>
      <c r="D9" s="24"/>
      <c r="E9" s="24"/>
      <c r="F9" s="28">
        <v>12</v>
      </c>
      <c r="G9" s="119"/>
    </row>
    <row r="10" spans="2:7" s="25" customFormat="1" ht="18" customHeight="1" x14ac:dyDescent="0.25">
      <c r="B10" s="118"/>
      <c r="C10" s="24" t="s">
        <v>4</v>
      </c>
      <c r="D10" s="24"/>
      <c r="E10" s="24"/>
      <c r="F10" s="24" t="s">
        <v>4</v>
      </c>
      <c r="G10" s="119"/>
    </row>
    <row r="11" spans="2:7" s="25" customFormat="1" ht="18.75" customHeight="1" x14ac:dyDescent="0.25">
      <c r="B11" s="118"/>
      <c r="C11" s="28">
        <v>6.5</v>
      </c>
      <c r="D11" s="24"/>
      <c r="E11" s="24"/>
      <c r="F11" s="28">
        <v>7.5</v>
      </c>
      <c r="G11" s="119"/>
    </row>
    <row r="12" spans="2:7" s="25" customFormat="1" ht="20.25" customHeight="1" x14ac:dyDescent="0.25">
      <c r="B12" s="118"/>
      <c r="C12" s="24" t="s">
        <v>35</v>
      </c>
      <c r="D12" s="24"/>
      <c r="E12" s="24"/>
      <c r="F12" s="24" t="s">
        <v>35</v>
      </c>
      <c r="G12" s="119"/>
    </row>
    <row r="13" spans="2:7" s="25" customFormat="1" ht="18.75" customHeight="1" x14ac:dyDescent="0.25">
      <c r="B13" s="118"/>
      <c r="C13" s="29">
        <v>0.06</v>
      </c>
      <c r="D13" s="24"/>
      <c r="E13" s="24"/>
      <c r="F13" s="29">
        <v>6.5000000000000002E-2</v>
      </c>
      <c r="G13" s="119"/>
    </row>
    <row r="14" spans="2:7" s="25" customFormat="1" ht="20.25" customHeight="1" x14ac:dyDescent="0.25">
      <c r="B14" s="118"/>
      <c r="C14" s="24" t="s">
        <v>39</v>
      </c>
      <c r="D14" s="24"/>
      <c r="E14" s="24"/>
      <c r="F14" s="24" t="s">
        <v>39</v>
      </c>
      <c r="G14" s="119"/>
    </row>
    <row r="15" spans="2:7" s="25" customFormat="1" ht="18" x14ac:dyDescent="0.25">
      <c r="B15" s="118"/>
      <c r="C15" s="30">
        <f>IF(C7&lt;&gt;"",IF(C5&lt;&gt;"Interest-Only",-1*PMT(C13/C9,C11*C9,C7,0,0),C7*C13/12),"")</f>
        <v>900</v>
      </c>
      <c r="D15" s="24"/>
      <c r="E15" s="24"/>
      <c r="F15" s="30">
        <f>IF(F7&lt;&gt;"",IF(F5&lt;&gt;"Interest-Only",-1*PMT(F13/F9,F11*F9,F7,0,0),F7*F13/12),"")</f>
        <v>257.29166666666669</v>
      </c>
      <c r="G15" s="119"/>
    </row>
    <row r="16" spans="2:7" s="25" customFormat="1" ht="18" x14ac:dyDescent="0.25">
      <c r="B16" s="118"/>
      <c r="C16" s="30">
        <f>C15*12</f>
        <v>10800</v>
      </c>
      <c r="D16" s="24"/>
      <c r="E16" s="24"/>
      <c r="F16" s="30">
        <f>F15*12</f>
        <v>3087.5</v>
      </c>
      <c r="G16" s="119"/>
    </row>
    <row r="17" spans="2:7" s="25" customFormat="1" ht="20.25" customHeight="1" x14ac:dyDescent="0.25">
      <c r="B17" s="118"/>
      <c r="C17" s="24" t="s">
        <v>26</v>
      </c>
      <c r="D17" s="24"/>
      <c r="E17" s="24"/>
      <c r="F17" s="24" t="s">
        <v>26</v>
      </c>
      <c r="G17" s="119"/>
    </row>
    <row r="18" spans="2:7" s="25" customFormat="1" ht="20.25" customHeight="1" x14ac:dyDescent="0.25">
      <c r="B18" s="118"/>
      <c r="C18" s="31">
        <f>(C15*12)/C7</f>
        <v>0.06</v>
      </c>
      <c r="D18" s="24"/>
      <c r="E18" s="24"/>
      <c r="F18" s="31">
        <f>(F15*12)/F7</f>
        <v>6.5000000000000002E-2</v>
      </c>
      <c r="G18" s="119"/>
    </row>
    <row r="19" spans="2:7" x14ac:dyDescent="0.2">
      <c r="B19" s="120"/>
      <c r="C19" s="9"/>
      <c r="D19" s="9"/>
      <c r="E19"/>
      <c r="F19" s="9"/>
      <c r="G19" s="121"/>
    </row>
    <row r="20" spans="2:7" ht="31.5" customHeight="1" thickBot="1" x14ac:dyDescent="0.25">
      <c r="B20" s="122"/>
      <c r="C20" s="123" t="s">
        <v>38</v>
      </c>
      <c r="D20" s="124"/>
      <c r="E20" s="125"/>
      <c r="F20" s="126">
        <f>(C16+F16)/(F7+C7)</f>
        <v>6.1043956043956044E-2</v>
      </c>
      <c r="G20" s="127"/>
    </row>
    <row r="21" spans="2:7" ht="39" customHeight="1" x14ac:dyDescent="0.2">
      <c r="B21" s="238" t="s">
        <v>89</v>
      </c>
      <c r="C21" s="239"/>
      <c r="D21" s="239"/>
      <c r="E21" s="239"/>
      <c r="F21" s="239"/>
      <c r="G21" s="239"/>
    </row>
  </sheetData>
  <sheetProtection password="E4AD" sheet="1"/>
  <mergeCells count="2">
    <mergeCell ref="B2:G2"/>
    <mergeCell ref="B21:G21"/>
  </mergeCells>
  <dataValidations count="1">
    <dataValidation type="list" allowBlank="1" showInputMessage="1" showErrorMessage="1" sqref="C5 F5" xr:uid="{00000000-0002-0000-0500-000000000000}">
      <formula1>"Fully Amortizing, Interest-Only"</formula1>
    </dataValidation>
  </dataValidation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F30"/>
  <sheetViews>
    <sheetView showGridLines="0" zoomScaleNormal="100" workbookViewId="0">
      <selection activeCell="N8" sqref="N8"/>
    </sheetView>
  </sheetViews>
  <sheetFormatPr defaultRowHeight="12.75" x14ac:dyDescent="0.2"/>
  <cols>
    <col min="1" max="1" width="1.140625" customWidth="1"/>
    <col min="2" max="2" width="1.42578125" customWidth="1"/>
    <col min="3" max="3" width="2.28515625" customWidth="1"/>
    <col min="4" max="4" width="4.42578125" customWidth="1"/>
    <col min="5" max="5" width="21.5703125" customWidth="1"/>
    <col min="6" max="6" width="4.42578125" customWidth="1"/>
    <col min="7" max="7" width="2.28515625" customWidth="1"/>
    <col min="8" max="8" width="1.42578125" customWidth="1"/>
    <col min="9" max="9" width="4.5703125" customWidth="1"/>
    <col min="10" max="10" width="22.85546875" customWidth="1"/>
    <col min="11" max="11" width="4.5703125" customWidth="1"/>
    <col min="12" max="12" width="1.42578125" customWidth="1"/>
    <col min="13" max="13" width="4.5703125" customWidth="1"/>
    <col min="14" max="14" width="24.42578125" customWidth="1"/>
    <col min="15" max="15" width="4.5703125" customWidth="1"/>
    <col min="16" max="16" width="1.42578125" customWidth="1"/>
    <col min="17" max="17" width="4.5703125" customWidth="1"/>
    <col min="18" max="18" width="24.42578125" customWidth="1"/>
    <col min="19" max="19" width="4.5703125" customWidth="1"/>
    <col min="20" max="20" width="1.42578125" customWidth="1"/>
    <col min="21" max="21" width="4.5703125" customWidth="1"/>
    <col min="22" max="22" width="20" customWidth="1"/>
    <col min="23" max="23" width="4.5703125" customWidth="1"/>
    <col min="24" max="24" width="2.85546875" customWidth="1"/>
    <col min="25" max="25" width="4.5703125" customWidth="1"/>
    <col min="26" max="26" width="22.85546875" customWidth="1"/>
    <col min="27" max="27" width="4.5703125" customWidth="1"/>
    <col min="28" max="28" width="1.42578125" customWidth="1"/>
    <col min="29" max="29" width="4.5703125" customWidth="1"/>
    <col min="30" max="30" width="23.140625" customWidth="1"/>
    <col min="31" max="31" width="4.5703125" customWidth="1"/>
    <col min="32" max="32" width="1.42578125" customWidth="1"/>
    <col min="33" max="33" width="1.7109375" customWidth="1"/>
  </cols>
  <sheetData>
    <row r="1" spans="2:32" ht="6" customHeight="1" thickBot="1" x14ac:dyDescent="0.25"/>
    <row r="2" spans="2:32" ht="43.5" thickBot="1" x14ac:dyDescent="0.85">
      <c r="B2" s="240" t="s">
        <v>54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2"/>
    </row>
    <row r="3" spans="2:32" ht="4.5" customHeight="1" x14ac:dyDescent="0.2">
      <c r="B3" s="44"/>
      <c r="AF3" s="45"/>
    </row>
    <row r="4" spans="2:32" ht="4.5" customHeight="1" x14ac:dyDescent="0.2">
      <c r="B4" s="44"/>
      <c r="AF4" s="45"/>
    </row>
    <row r="5" spans="2:32" ht="18" x14ac:dyDescent="0.25">
      <c r="B5" s="44"/>
      <c r="C5" s="253" t="s">
        <v>78</v>
      </c>
      <c r="D5" s="253"/>
      <c r="E5" s="253"/>
      <c r="F5" s="253"/>
      <c r="G5" s="253"/>
      <c r="I5" s="244" t="s">
        <v>58</v>
      </c>
      <c r="J5" s="244"/>
      <c r="K5" s="244"/>
      <c r="L5" s="46"/>
      <c r="M5" s="243" t="s">
        <v>59</v>
      </c>
      <c r="N5" s="243"/>
      <c r="O5" s="243"/>
      <c r="Q5" s="243" t="s">
        <v>59</v>
      </c>
      <c r="R5" s="243"/>
      <c r="S5" s="243"/>
      <c r="U5" s="245" t="s">
        <v>60</v>
      </c>
      <c r="V5" s="245"/>
      <c r="W5" s="245"/>
      <c r="Y5" s="245" t="s">
        <v>51</v>
      </c>
      <c r="Z5" s="245"/>
      <c r="AA5" s="245"/>
      <c r="AC5" s="246" t="s">
        <v>61</v>
      </c>
      <c r="AD5" s="246"/>
      <c r="AE5" s="246"/>
      <c r="AF5" s="45"/>
    </row>
    <row r="6" spans="2:32" x14ac:dyDescent="0.2">
      <c r="B6" s="44"/>
      <c r="C6" s="47"/>
      <c r="D6" s="47"/>
      <c r="E6" s="47"/>
      <c r="F6" s="47"/>
      <c r="G6" s="47"/>
      <c r="I6" s="48"/>
      <c r="J6" s="48"/>
      <c r="K6" s="48"/>
      <c r="M6" s="49"/>
      <c r="N6" s="49"/>
      <c r="O6" s="49"/>
      <c r="Q6" s="49"/>
      <c r="R6" s="188" t="s">
        <v>112</v>
      </c>
      <c r="S6" s="49"/>
      <c r="U6" s="50"/>
      <c r="V6" s="50"/>
      <c r="W6" s="50"/>
      <c r="Y6" s="50"/>
      <c r="Z6" s="50"/>
      <c r="AA6" s="50"/>
      <c r="AC6" s="51"/>
      <c r="AD6" s="51"/>
      <c r="AE6" s="51"/>
      <c r="AF6" s="45"/>
    </row>
    <row r="7" spans="2:32" ht="18" x14ac:dyDescent="0.25">
      <c r="B7" s="44"/>
      <c r="C7" s="47"/>
      <c r="D7" s="47"/>
      <c r="E7" s="52" t="s">
        <v>97</v>
      </c>
      <c r="F7" s="47"/>
      <c r="G7" s="47"/>
      <c r="I7" s="48"/>
      <c r="J7" s="53" t="s">
        <v>40</v>
      </c>
      <c r="K7" s="48"/>
      <c r="M7" s="49"/>
      <c r="N7" s="37" t="s">
        <v>33</v>
      </c>
      <c r="O7" s="32"/>
      <c r="Q7" s="49"/>
      <c r="R7" s="37" t="s">
        <v>33</v>
      </c>
      <c r="S7" s="32"/>
      <c r="U7" s="50"/>
      <c r="V7" s="38" t="s">
        <v>45</v>
      </c>
      <c r="W7" s="50"/>
      <c r="Y7" s="50"/>
      <c r="Z7" s="38" t="s">
        <v>33</v>
      </c>
      <c r="AA7" s="50"/>
      <c r="AC7" s="51"/>
      <c r="AD7" s="43" t="s">
        <v>42</v>
      </c>
      <c r="AE7" s="51"/>
      <c r="AF7" s="45"/>
    </row>
    <row r="8" spans="2:32" ht="18" x14ac:dyDescent="0.25">
      <c r="B8" s="44"/>
      <c r="C8" s="47"/>
      <c r="D8" s="47"/>
      <c r="E8" s="133" t="str">
        <f>IF(V18&lt;&gt;0,E12/(V8+V10),"Infinite")</f>
        <v>Infinite</v>
      </c>
      <c r="F8" s="47"/>
      <c r="G8" s="47"/>
      <c r="I8" s="48"/>
      <c r="J8" s="86">
        <v>20000000</v>
      </c>
      <c r="K8" s="48"/>
      <c r="M8" s="54"/>
      <c r="N8" s="26" t="s">
        <v>1</v>
      </c>
      <c r="O8" s="32"/>
      <c r="Q8" s="54"/>
      <c r="R8" s="26" t="s">
        <v>1</v>
      </c>
      <c r="S8" s="32"/>
      <c r="U8" s="50"/>
      <c r="V8" s="27"/>
      <c r="W8" s="50"/>
      <c r="Y8" s="50"/>
      <c r="Z8" s="26" t="s">
        <v>1</v>
      </c>
      <c r="AA8" s="50"/>
      <c r="AC8" s="51"/>
      <c r="AD8" s="27">
        <v>30000</v>
      </c>
      <c r="AE8" s="51"/>
      <c r="AF8" s="45"/>
    </row>
    <row r="9" spans="2:32" ht="18" x14ac:dyDescent="0.25">
      <c r="B9" s="44"/>
      <c r="C9" s="47"/>
      <c r="D9" s="47"/>
      <c r="E9" s="52" t="s">
        <v>98</v>
      </c>
      <c r="F9" s="47"/>
      <c r="G9" s="47"/>
      <c r="I9" s="48"/>
      <c r="J9" s="53" t="s">
        <v>56</v>
      </c>
      <c r="K9" s="48"/>
      <c r="M9" s="54"/>
      <c r="N9" s="37" t="s">
        <v>106</v>
      </c>
      <c r="O9" s="32"/>
      <c r="Q9" s="54"/>
      <c r="R9" s="37" t="s">
        <v>106</v>
      </c>
      <c r="S9" s="32"/>
      <c r="U9" s="50"/>
      <c r="V9" s="38" t="s">
        <v>46</v>
      </c>
      <c r="W9" s="50"/>
      <c r="Y9" s="50"/>
      <c r="Z9" s="38" t="s">
        <v>55</v>
      </c>
      <c r="AA9" s="50"/>
      <c r="AC9" s="51"/>
      <c r="AD9" s="43" t="s">
        <v>23</v>
      </c>
      <c r="AE9" s="51"/>
      <c r="AF9" s="45"/>
    </row>
    <row r="10" spans="2:32" ht="18" x14ac:dyDescent="0.25">
      <c r="B10" s="44"/>
      <c r="C10" s="47"/>
      <c r="D10" s="47"/>
      <c r="E10" s="133" t="str">
        <f>IF(V8&lt;&gt;0,E12/V8,"Infinite")</f>
        <v>Infinite</v>
      </c>
      <c r="F10" s="47"/>
      <c r="G10" s="47"/>
      <c r="I10" s="48"/>
      <c r="J10" s="86">
        <v>15000000</v>
      </c>
      <c r="K10" s="48"/>
      <c r="M10" s="54"/>
      <c r="N10" s="29">
        <v>0.5</v>
      </c>
      <c r="O10" s="32"/>
      <c r="Q10" s="54"/>
      <c r="R10" s="29">
        <v>0.5</v>
      </c>
      <c r="S10" s="32"/>
      <c r="U10" s="50"/>
      <c r="V10" s="41"/>
      <c r="W10" s="50"/>
      <c r="Y10" s="50"/>
      <c r="Z10" s="128">
        <f>V12</f>
        <v>0</v>
      </c>
      <c r="AA10" s="50"/>
      <c r="AC10" s="51"/>
      <c r="AD10" s="132">
        <f>IF(N22+Z20+R22&lt;&gt;0,J14/(N22+Z20+R22),"no debt")</f>
        <v>10</v>
      </c>
      <c r="AE10" s="51"/>
      <c r="AF10" s="45"/>
    </row>
    <row r="11" spans="2:32" ht="18" x14ac:dyDescent="0.25">
      <c r="B11" s="44"/>
      <c r="C11" s="47"/>
      <c r="D11" s="47"/>
      <c r="E11" s="52" t="s">
        <v>52</v>
      </c>
      <c r="F11" s="47"/>
      <c r="G11" s="47"/>
      <c r="I11" s="48"/>
      <c r="J11" s="53" t="s">
        <v>53</v>
      </c>
      <c r="K11" s="48"/>
      <c r="M11" s="49"/>
      <c r="N11" s="37" t="s">
        <v>34</v>
      </c>
      <c r="O11" s="32"/>
      <c r="Q11" s="49"/>
      <c r="R11" s="37" t="s">
        <v>34</v>
      </c>
      <c r="S11" s="32"/>
      <c r="U11" s="50"/>
      <c r="V11" s="38" t="s">
        <v>96</v>
      </c>
      <c r="W11" s="50"/>
      <c r="Y11" s="50"/>
      <c r="Z11" s="38" t="s">
        <v>37</v>
      </c>
      <c r="AA11" s="50"/>
      <c r="AC11" s="51"/>
      <c r="AD11" s="43" t="s">
        <v>43</v>
      </c>
      <c r="AE11" s="51"/>
      <c r="AF11" s="45"/>
    </row>
    <row r="12" spans="2:32" ht="18" x14ac:dyDescent="0.25">
      <c r="B12" s="44"/>
      <c r="C12" s="47"/>
      <c r="D12" s="47"/>
      <c r="E12" s="134">
        <f>J14-N22-Z20-R22</f>
        <v>11700000</v>
      </c>
      <c r="F12" s="47"/>
      <c r="G12" s="47"/>
      <c r="I12" s="48"/>
      <c r="J12" s="86">
        <v>2000000</v>
      </c>
      <c r="K12" s="48"/>
      <c r="L12" s="55"/>
      <c r="M12" s="54"/>
      <c r="N12" s="128">
        <f>N10*$J$8</f>
        <v>10000000</v>
      </c>
      <c r="O12" s="32"/>
      <c r="Q12" s="54"/>
      <c r="R12" s="128">
        <f>R10*$J$8</f>
        <v>10000000</v>
      </c>
      <c r="S12" s="32"/>
      <c r="U12" s="50"/>
      <c r="V12" s="41"/>
      <c r="W12" s="50"/>
      <c r="Y12" s="50"/>
      <c r="Z12" s="28"/>
      <c r="AA12" s="50"/>
      <c r="AC12" s="51"/>
      <c r="AD12" s="129">
        <f>IF(J14+J12&lt;&gt;0,(J12+N22+R22+Z20)/(J14+J12),"no debt or expenses")</f>
        <v>0.22</v>
      </c>
      <c r="AE12" s="51"/>
      <c r="AF12" s="45"/>
    </row>
    <row r="13" spans="2:32" ht="18" x14ac:dyDescent="0.25">
      <c r="B13" s="44"/>
      <c r="C13" s="47"/>
      <c r="D13" s="47"/>
      <c r="E13" s="56" t="s">
        <v>63</v>
      </c>
      <c r="F13" s="47"/>
      <c r="G13" s="47"/>
      <c r="I13" s="48"/>
      <c r="J13" s="53" t="s">
        <v>28</v>
      </c>
      <c r="K13" s="48"/>
      <c r="M13" s="49"/>
      <c r="N13" s="37" t="s">
        <v>37</v>
      </c>
      <c r="O13" s="32"/>
      <c r="Q13" s="49"/>
      <c r="R13" s="37" t="s">
        <v>37</v>
      </c>
      <c r="S13" s="32"/>
      <c r="U13" s="50"/>
      <c r="V13" s="38" t="s">
        <v>47</v>
      </c>
      <c r="W13" s="50"/>
      <c r="Y13" s="50"/>
      <c r="Z13" s="38" t="s">
        <v>4</v>
      </c>
      <c r="AA13" s="50"/>
      <c r="AC13" s="51"/>
      <c r="AD13" s="43" t="s">
        <v>101</v>
      </c>
      <c r="AE13" s="51"/>
      <c r="AF13" s="45"/>
    </row>
    <row r="14" spans="2:32" ht="18" x14ac:dyDescent="0.25">
      <c r="B14" s="44"/>
      <c r="I14" s="48"/>
      <c r="J14" s="128">
        <f>J10-J12</f>
        <v>13000000</v>
      </c>
      <c r="K14" s="48"/>
      <c r="M14" s="54"/>
      <c r="N14" s="28">
        <v>12</v>
      </c>
      <c r="O14" s="32"/>
      <c r="Q14" s="54"/>
      <c r="R14" s="28">
        <v>12</v>
      </c>
      <c r="S14" s="32"/>
      <c r="U14" s="50"/>
      <c r="V14" s="131">
        <f>V8+V10+V12</f>
        <v>0</v>
      </c>
      <c r="W14" s="50"/>
      <c r="Y14" s="50"/>
      <c r="Z14" s="28"/>
      <c r="AA14" s="50"/>
      <c r="AC14" s="51"/>
      <c r="AD14" s="129">
        <f>IF(J8&lt;&gt;0,(N12+R12+V12)/J8,"missing asset value")</f>
        <v>1</v>
      </c>
      <c r="AE14" s="51"/>
      <c r="AF14" s="45"/>
    </row>
    <row r="15" spans="2:32" ht="18" x14ac:dyDescent="0.25">
      <c r="B15" s="44"/>
      <c r="C15" s="244" t="s">
        <v>57</v>
      </c>
      <c r="D15" s="244"/>
      <c r="E15" s="244"/>
      <c r="F15" s="244"/>
      <c r="G15" s="244"/>
      <c r="I15" s="48"/>
      <c r="J15" s="53" t="s">
        <v>24</v>
      </c>
      <c r="K15" s="48"/>
      <c r="M15" s="49"/>
      <c r="N15" s="37" t="s">
        <v>4</v>
      </c>
      <c r="O15" s="32"/>
      <c r="Q15" s="49"/>
      <c r="R15" s="37" t="s">
        <v>4</v>
      </c>
      <c r="S15" s="32"/>
      <c r="U15" s="50"/>
      <c r="V15" s="38" t="s">
        <v>50</v>
      </c>
      <c r="W15" s="50"/>
      <c r="Y15" s="50"/>
      <c r="Z15" s="38" t="s">
        <v>35</v>
      </c>
      <c r="AA15" s="50"/>
      <c r="AC15" s="51"/>
      <c r="AD15" s="43" t="s">
        <v>81</v>
      </c>
      <c r="AE15" s="51"/>
      <c r="AF15" s="45"/>
    </row>
    <row r="16" spans="2:32" ht="18" x14ac:dyDescent="0.25">
      <c r="B16" s="44"/>
      <c r="C16" s="48"/>
      <c r="D16" s="247" t="s">
        <v>41</v>
      </c>
      <c r="E16" s="247"/>
      <c r="F16" s="247"/>
      <c r="G16" s="48"/>
      <c r="I16" s="48"/>
      <c r="J16" s="36">
        <f>IF(J8&lt;&gt;0,J14/J8,"")</f>
        <v>0.65</v>
      </c>
      <c r="K16" s="57"/>
      <c r="M16" s="54"/>
      <c r="N16" s="28">
        <v>30</v>
      </c>
      <c r="O16" s="32"/>
      <c r="Q16" s="54"/>
      <c r="R16" s="28">
        <v>30</v>
      </c>
      <c r="S16" s="32"/>
      <c r="U16" s="50"/>
      <c r="V16" s="130">
        <f>V14/J8</f>
        <v>0</v>
      </c>
      <c r="W16" s="50"/>
      <c r="Y16" s="50"/>
      <c r="Z16" s="29"/>
      <c r="AA16" s="50"/>
      <c r="AC16" s="51"/>
      <c r="AD16" s="129">
        <f>IF(J8&lt;&gt;0,(V8+V10)/J8,"missing asset value")</f>
        <v>0</v>
      </c>
      <c r="AE16" s="51"/>
      <c r="AF16" s="45"/>
    </row>
    <row r="17" spans="2:32" ht="18" x14ac:dyDescent="0.25">
      <c r="B17" s="44"/>
      <c r="C17" s="48"/>
      <c r="D17" s="50"/>
      <c r="E17" s="133">
        <f>V16</f>
        <v>0</v>
      </c>
      <c r="F17" s="50"/>
      <c r="G17" s="48"/>
      <c r="I17" s="48"/>
      <c r="J17" s="48"/>
      <c r="K17" s="48"/>
      <c r="M17" s="49"/>
      <c r="N17" s="37" t="s">
        <v>35</v>
      </c>
      <c r="O17" s="32"/>
      <c r="Q17" s="49"/>
      <c r="R17" s="37" t="s">
        <v>35</v>
      </c>
      <c r="S17" s="32"/>
      <c r="U17" s="50"/>
      <c r="V17" s="38" t="s">
        <v>100</v>
      </c>
      <c r="W17" s="50"/>
      <c r="Y17" s="50"/>
      <c r="Z17" s="38" t="s">
        <v>39</v>
      </c>
      <c r="AA17" s="50"/>
      <c r="AC17" s="51"/>
      <c r="AD17" s="51"/>
      <c r="AE17" s="51"/>
      <c r="AF17" s="45"/>
    </row>
    <row r="18" spans="2:32" ht="18" x14ac:dyDescent="0.25">
      <c r="B18" s="44"/>
      <c r="C18" s="48"/>
      <c r="D18" s="50"/>
      <c r="E18" s="50"/>
      <c r="F18" s="50"/>
      <c r="G18" s="48"/>
      <c r="M18" s="49"/>
      <c r="N18" s="29">
        <v>6.5000000000000002E-2</v>
      </c>
      <c r="O18" s="32"/>
      <c r="Q18" s="49"/>
      <c r="R18" s="29">
        <v>6.5000000000000002E-2</v>
      </c>
      <c r="S18" s="32"/>
      <c r="U18" s="50"/>
      <c r="V18" s="135">
        <f>V8+V10</f>
        <v>0</v>
      </c>
      <c r="W18" s="50"/>
      <c r="Y18" s="50"/>
      <c r="Z18" s="30">
        <f>IF(Z10&lt;&gt;"",IF(Z8&lt;&gt;"Interest-Only",-1*PMT(Z16/Z12,Z14*Z12,Z10,0,0),Z10*Z16/12),"")</f>
        <v>0</v>
      </c>
      <c r="AA18" s="50"/>
      <c r="AF18" s="45"/>
    </row>
    <row r="19" spans="2:32" ht="18" x14ac:dyDescent="0.25">
      <c r="B19" s="44"/>
      <c r="C19" s="48"/>
      <c r="D19" s="48"/>
      <c r="E19" s="48"/>
      <c r="F19" s="48"/>
      <c r="G19" s="48"/>
      <c r="M19" s="49"/>
      <c r="N19" s="37" t="s">
        <v>39</v>
      </c>
      <c r="O19" s="32"/>
      <c r="Q19" s="49"/>
      <c r="R19" s="37" t="s">
        <v>39</v>
      </c>
      <c r="S19" s="32"/>
      <c r="U19" s="50"/>
      <c r="V19" s="38" t="s">
        <v>73</v>
      </c>
      <c r="W19" s="50"/>
      <c r="Y19" s="50"/>
      <c r="Z19" s="38" t="s">
        <v>48</v>
      </c>
      <c r="AA19" s="50"/>
      <c r="AF19" s="45"/>
    </row>
    <row r="20" spans="2:32" ht="20.25" x14ac:dyDescent="0.3">
      <c r="B20" s="44"/>
      <c r="C20" s="48"/>
      <c r="D20" s="252" t="s">
        <v>29</v>
      </c>
      <c r="E20" s="252"/>
      <c r="F20" s="252"/>
      <c r="G20" s="48"/>
      <c r="M20" s="49"/>
      <c r="N20" s="35">
        <f>IF(N12&lt;&gt;"",IF(N8&lt;&gt;"Interest-Only",-1*PMT(N18/N14,N16*N14,N12,0,0),N12*N18/12),"")</f>
        <v>54166.666666666664</v>
      </c>
      <c r="O20" s="32"/>
      <c r="Q20" s="49"/>
      <c r="R20" s="35">
        <f>IF(R12&lt;&gt;"",IF(R8&lt;&gt;"Interest-Only",-1*PMT(R18/R14,R16*R14,R12,0,0),R12*R18/12),"")</f>
        <v>54166.666666666664</v>
      </c>
      <c r="S20" s="32"/>
      <c r="U20" s="50"/>
      <c r="V20" s="128">
        <f>J8-N12-V14-R12</f>
        <v>0</v>
      </c>
      <c r="W20" s="50"/>
      <c r="Y20" s="50"/>
      <c r="Z20" s="30">
        <f>Z18*12</f>
        <v>0</v>
      </c>
      <c r="AA20" s="50"/>
      <c r="AC20" s="87" t="s">
        <v>71</v>
      </c>
      <c r="AF20" s="45"/>
    </row>
    <row r="21" spans="2:32" ht="18" x14ac:dyDescent="0.25">
      <c r="B21" s="44"/>
      <c r="C21" s="48"/>
      <c r="D21" s="49"/>
      <c r="E21" s="133">
        <f>N24+R24</f>
        <v>1</v>
      </c>
      <c r="F21" s="49"/>
      <c r="G21" s="48"/>
      <c r="M21" s="49"/>
      <c r="N21" s="62" t="s">
        <v>48</v>
      </c>
      <c r="O21" s="32"/>
      <c r="Q21" s="49"/>
      <c r="R21" s="62" t="s">
        <v>48</v>
      </c>
      <c r="S21" s="32"/>
      <c r="U21" s="50"/>
      <c r="V21" s="50"/>
      <c r="W21" s="50"/>
      <c r="Y21" s="50"/>
      <c r="Z21" s="38" t="s">
        <v>26</v>
      </c>
      <c r="AA21" s="50"/>
      <c r="AC21" s="248" t="s">
        <v>74</v>
      </c>
      <c r="AD21" s="249"/>
      <c r="AE21" s="249"/>
      <c r="AF21" s="45"/>
    </row>
    <row r="22" spans="2:32" ht="18" x14ac:dyDescent="0.25">
      <c r="B22" s="44"/>
      <c r="C22" s="48"/>
      <c r="D22" s="49"/>
      <c r="E22" s="49"/>
      <c r="F22" s="49"/>
      <c r="G22" s="48"/>
      <c r="M22" s="49"/>
      <c r="N22" s="35">
        <f>N20*12</f>
        <v>650000</v>
      </c>
      <c r="O22" s="33"/>
      <c r="Q22" s="49"/>
      <c r="R22" s="35">
        <f>R20*12</f>
        <v>650000</v>
      </c>
      <c r="S22" s="33"/>
      <c r="U22" s="102"/>
      <c r="V22" s="102"/>
      <c r="W22" s="102"/>
      <c r="Y22" s="50"/>
      <c r="Z22" s="129" t="str">
        <f>IF(Z10&lt;&gt;0,(Z18*12)/Z10,"")</f>
        <v/>
      </c>
      <c r="AA22" s="50"/>
      <c r="AC22" s="250"/>
      <c r="AD22" s="251"/>
      <c r="AE22" s="251"/>
      <c r="AF22" s="45"/>
    </row>
    <row r="23" spans="2:32" ht="18" x14ac:dyDescent="0.25">
      <c r="B23" s="44"/>
      <c r="C23" s="48"/>
      <c r="D23" s="48"/>
      <c r="E23" s="58" t="s">
        <v>62</v>
      </c>
      <c r="F23" s="48"/>
      <c r="G23" s="48"/>
      <c r="M23" s="49"/>
      <c r="N23" s="62" t="s">
        <v>49</v>
      </c>
      <c r="O23" s="32"/>
      <c r="Q23" s="49"/>
      <c r="R23" s="62" t="s">
        <v>49</v>
      </c>
      <c r="S23" s="32"/>
      <c r="U23" s="102"/>
      <c r="V23" s="103"/>
      <c r="W23" s="102"/>
      <c r="Y23" s="50"/>
      <c r="Z23" s="38" t="s">
        <v>49</v>
      </c>
      <c r="AA23" s="50"/>
      <c r="AF23" s="45"/>
    </row>
    <row r="24" spans="2:32" ht="18" x14ac:dyDescent="0.25">
      <c r="B24" s="44"/>
      <c r="C24" s="48"/>
      <c r="D24" s="48"/>
      <c r="E24" s="133">
        <f>E21+E17</f>
        <v>1</v>
      </c>
      <c r="F24" s="48"/>
      <c r="G24" s="48"/>
      <c r="M24" s="49"/>
      <c r="N24" s="36">
        <f>N12/$J$8</f>
        <v>0.5</v>
      </c>
      <c r="O24" s="34"/>
      <c r="Q24" s="49"/>
      <c r="R24" s="36">
        <f>R12/$J$8</f>
        <v>0.5</v>
      </c>
      <c r="S24" s="34"/>
      <c r="U24" s="102"/>
      <c r="V24" s="104"/>
      <c r="W24" s="102"/>
      <c r="Y24" s="50"/>
      <c r="Z24" s="129">
        <f>IF(J8&lt;&gt;0,Z10/J8,"")</f>
        <v>0</v>
      </c>
      <c r="AA24" s="50"/>
      <c r="AF24" s="45"/>
    </row>
    <row r="25" spans="2:32" ht="18" x14ac:dyDescent="0.25">
      <c r="B25" s="44"/>
      <c r="C25" s="48"/>
      <c r="D25" s="48"/>
      <c r="E25" s="48"/>
      <c r="F25" s="48"/>
      <c r="G25" s="48"/>
      <c r="M25" s="49"/>
      <c r="N25" s="62" t="s">
        <v>26</v>
      </c>
      <c r="O25" s="32"/>
      <c r="Q25" s="49"/>
      <c r="R25" s="62" t="s">
        <v>26</v>
      </c>
      <c r="S25" s="32"/>
      <c r="U25" s="102"/>
      <c r="V25" s="103"/>
      <c r="W25" s="102"/>
      <c r="Y25" s="50"/>
      <c r="Z25" s="38"/>
      <c r="AA25" s="50"/>
      <c r="AF25" s="45"/>
    </row>
    <row r="26" spans="2:32" ht="18" x14ac:dyDescent="0.25">
      <c r="B26" s="44"/>
      <c r="M26" s="49"/>
      <c r="N26" s="129">
        <f>IF(N12&lt;&gt;0,(N20*12)/N12,"")</f>
        <v>6.5000000000000002E-2</v>
      </c>
      <c r="O26" s="32"/>
      <c r="Q26" s="49"/>
      <c r="R26" s="129">
        <f>IF(R12&lt;&gt;0,(R20*12)/R12,"")</f>
        <v>6.5000000000000002E-2</v>
      </c>
      <c r="S26" s="32"/>
      <c r="U26" s="102"/>
      <c r="V26" s="101"/>
      <c r="W26" s="102"/>
      <c r="Y26" s="102"/>
      <c r="Z26" s="105"/>
      <c r="AA26" s="102"/>
      <c r="AF26" s="45"/>
    </row>
    <row r="27" spans="2:32" ht="15.75" x14ac:dyDescent="0.25">
      <c r="B27" s="44"/>
      <c r="M27" s="49"/>
      <c r="N27" s="54"/>
      <c r="O27" s="49"/>
      <c r="Q27" s="49"/>
      <c r="R27" s="54"/>
      <c r="S27" s="49"/>
      <c r="U27" s="102"/>
      <c r="V27" s="103"/>
      <c r="W27" s="102"/>
      <c r="Y27" s="102"/>
      <c r="Z27" s="103"/>
      <c r="AA27" s="102"/>
      <c r="AF27" s="45"/>
    </row>
    <row r="28" spans="2:32" x14ac:dyDescent="0.2">
      <c r="B28" s="44"/>
      <c r="AF28" s="45"/>
    </row>
    <row r="29" spans="2:32" ht="13.5" thickBot="1" x14ac:dyDescent="0.25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1"/>
    </row>
    <row r="30" spans="2:32" x14ac:dyDescent="0.2">
      <c r="C30" s="88" t="s">
        <v>72</v>
      </c>
    </row>
  </sheetData>
  <sheetProtection password="E4AD" sheet="1" selectLockedCells="1"/>
  <mergeCells count="13">
    <mergeCell ref="C15:G15"/>
    <mergeCell ref="D16:F16"/>
    <mergeCell ref="AC21:AE21"/>
    <mergeCell ref="AC22:AE22"/>
    <mergeCell ref="D20:F20"/>
    <mergeCell ref="B2:AF2"/>
    <mergeCell ref="M5:O5"/>
    <mergeCell ref="I5:K5"/>
    <mergeCell ref="U5:W5"/>
    <mergeCell ref="AC5:AE5"/>
    <mergeCell ref="Y5:AA5"/>
    <mergeCell ref="C5:G5"/>
    <mergeCell ref="Q5:S5"/>
  </mergeCells>
  <dataValidations count="1">
    <dataValidation type="list" allowBlank="1" showInputMessage="1" showErrorMessage="1" sqref="V24 Z8 N8 R8" xr:uid="{00000000-0002-0000-0600-000000000000}">
      <formula1>"Fully Amortizing, Interest-Only"</formula1>
    </dataValidation>
  </dataValidations>
  <pageMargins left="0.7" right="0.7" top="0.75" bottom="0.75" header="0.3" footer="0.3"/>
  <pageSetup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B29"/>
  <sheetViews>
    <sheetView showGridLines="0" tabSelected="1" zoomScale="86" zoomScaleNormal="86" workbookViewId="0">
      <selection activeCell="V10" sqref="V10"/>
    </sheetView>
  </sheetViews>
  <sheetFormatPr defaultRowHeight="12.75" x14ac:dyDescent="0.2"/>
  <cols>
    <col min="1" max="1" width="1.140625" customWidth="1"/>
    <col min="2" max="2" width="1.42578125" customWidth="1"/>
    <col min="3" max="3" width="2.28515625" customWidth="1"/>
    <col min="4" max="4" width="4.42578125" customWidth="1"/>
    <col min="5" max="5" width="21.5703125" customWidth="1"/>
    <col min="6" max="6" width="4.42578125" customWidth="1"/>
    <col min="7" max="7" width="2.28515625" customWidth="1"/>
    <col min="8" max="8" width="1.42578125" customWidth="1"/>
    <col min="9" max="9" width="4.5703125" customWidth="1"/>
    <col min="10" max="10" width="22.85546875" customWidth="1"/>
    <col min="11" max="11" width="4.5703125" customWidth="1"/>
    <col min="12" max="12" width="1.42578125" customWidth="1"/>
    <col min="13" max="13" width="4.5703125" customWidth="1"/>
    <col min="14" max="14" width="24.42578125" customWidth="1"/>
    <col min="15" max="15" width="4.5703125" customWidth="1"/>
    <col min="16" max="16" width="1.42578125" customWidth="1"/>
    <col min="17" max="17" width="4.5703125" customWidth="1"/>
    <col min="18" max="18" width="24.42578125" customWidth="1"/>
    <col min="19" max="19" width="4.5703125" customWidth="1"/>
    <col min="20" max="20" width="1.42578125" customWidth="1"/>
    <col min="21" max="21" width="4.5703125" customWidth="1"/>
    <col min="22" max="22" width="20" customWidth="1"/>
    <col min="23" max="23" width="4.5703125" customWidth="1"/>
    <col min="24" max="24" width="1.42578125" customWidth="1"/>
    <col min="25" max="25" width="4.5703125" customWidth="1"/>
    <col min="26" max="26" width="23.140625" customWidth="1"/>
    <col min="27" max="27" width="4.5703125" customWidth="1"/>
    <col min="28" max="28" width="1.42578125" customWidth="1"/>
    <col min="29" max="29" width="1.7109375" customWidth="1"/>
  </cols>
  <sheetData>
    <row r="1" spans="2:28" ht="6" customHeight="1" thickBot="1" x14ac:dyDescent="0.25"/>
    <row r="2" spans="2:28" ht="43.5" thickBot="1" x14ac:dyDescent="0.85">
      <c r="B2" s="255" t="s">
        <v>86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7"/>
    </row>
    <row r="3" spans="2:28" ht="4.5" customHeight="1" x14ac:dyDescent="0.2">
      <c r="B3" s="44"/>
      <c r="AB3" s="45"/>
    </row>
    <row r="4" spans="2:28" ht="4.5" customHeight="1" x14ac:dyDescent="0.2">
      <c r="B4" s="44"/>
      <c r="AB4" s="45"/>
    </row>
    <row r="5" spans="2:28" ht="18" x14ac:dyDescent="0.25">
      <c r="B5" s="44"/>
      <c r="C5" s="253" t="s">
        <v>78</v>
      </c>
      <c r="D5" s="253"/>
      <c r="E5" s="253"/>
      <c r="F5" s="253"/>
      <c r="G5" s="253"/>
      <c r="I5" s="244" t="s">
        <v>58</v>
      </c>
      <c r="J5" s="244"/>
      <c r="K5" s="244"/>
      <c r="L5" s="46"/>
      <c r="M5" s="243" t="s">
        <v>59</v>
      </c>
      <c r="N5" s="243"/>
      <c r="O5" s="243"/>
      <c r="P5" s="46"/>
      <c r="Q5" s="243" t="s">
        <v>59</v>
      </c>
      <c r="R5" s="243"/>
      <c r="S5" s="243"/>
      <c r="U5" s="245" t="s">
        <v>80</v>
      </c>
      <c r="V5" s="245"/>
      <c r="W5" s="245"/>
      <c r="Y5" s="246" t="s">
        <v>61</v>
      </c>
      <c r="Z5" s="246"/>
      <c r="AA5" s="246"/>
      <c r="AB5" s="45"/>
    </row>
    <row r="6" spans="2:28" x14ac:dyDescent="0.2">
      <c r="B6" s="44"/>
      <c r="C6" s="47"/>
      <c r="D6" s="47"/>
      <c r="E6" s="47"/>
      <c r="F6" s="47"/>
      <c r="G6" s="47"/>
      <c r="I6" s="48"/>
      <c r="J6" s="48"/>
      <c r="K6" s="48"/>
      <c r="M6" s="49"/>
      <c r="N6" s="49"/>
      <c r="O6" s="49"/>
      <c r="Q6" s="49"/>
      <c r="R6" s="49"/>
      <c r="S6" s="49"/>
      <c r="U6" s="50"/>
      <c r="V6" s="50"/>
      <c r="W6" s="50"/>
      <c r="Y6" s="51"/>
      <c r="Z6" s="51"/>
      <c r="AA6" s="51"/>
      <c r="AB6" s="45"/>
    </row>
    <row r="7" spans="2:28" ht="18" x14ac:dyDescent="0.25">
      <c r="B7" s="44"/>
      <c r="C7" s="47"/>
      <c r="D7" s="47"/>
      <c r="E7" s="52" t="s">
        <v>97</v>
      </c>
      <c r="F7" s="47"/>
      <c r="G7" s="47"/>
      <c r="I7" s="48"/>
      <c r="J7" s="53" t="s">
        <v>77</v>
      </c>
      <c r="K7" s="48"/>
      <c r="M7" s="49"/>
      <c r="N7" s="37" t="s">
        <v>33</v>
      </c>
      <c r="O7" s="32"/>
      <c r="Q7" s="49"/>
      <c r="R7" s="37" t="s">
        <v>33</v>
      </c>
      <c r="S7" s="32"/>
      <c r="U7" s="50"/>
      <c r="V7" s="38" t="s">
        <v>45</v>
      </c>
      <c r="W7" s="50"/>
      <c r="Y7" s="51"/>
      <c r="Z7" s="43" t="s">
        <v>42</v>
      </c>
      <c r="AA7" s="51"/>
      <c r="AB7" s="45"/>
    </row>
    <row r="8" spans="2:28" ht="18" x14ac:dyDescent="0.25">
      <c r="B8" s="44"/>
      <c r="C8" s="47"/>
      <c r="D8" s="47"/>
      <c r="E8" s="40">
        <f>IF(V13&lt;&gt;0,E12/V13,"Infinite")</f>
        <v>0.22701757423599689</v>
      </c>
      <c r="F8" s="47"/>
      <c r="G8" s="47"/>
      <c r="I8" s="48"/>
      <c r="J8" s="86">
        <v>2310200</v>
      </c>
      <c r="K8" s="48"/>
      <c r="M8" s="54"/>
      <c r="N8" s="26" t="s">
        <v>1</v>
      </c>
      <c r="O8" s="32"/>
      <c r="Q8" s="54"/>
      <c r="R8" s="26" t="s">
        <v>1</v>
      </c>
      <c r="S8" s="32"/>
      <c r="U8" s="50"/>
      <c r="V8" s="27">
        <v>0</v>
      </c>
      <c r="W8" s="50"/>
      <c r="Y8" s="51"/>
      <c r="Z8" s="27">
        <v>20000</v>
      </c>
      <c r="AA8" s="51"/>
      <c r="AB8" s="45"/>
    </row>
    <row r="9" spans="2:28" ht="18" x14ac:dyDescent="0.25">
      <c r="B9" s="44"/>
      <c r="C9" s="47"/>
      <c r="D9" s="47"/>
      <c r="E9" s="52" t="s">
        <v>99</v>
      </c>
      <c r="F9" s="47"/>
      <c r="G9" s="47"/>
      <c r="I9" s="48"/>
      <c r="J9" s="53" t="s">
        <v>56</v>
      </c>
      <c r="K9" s="48"/>
      <c r="M9" s="49"/>
      <c r="N9" s="37" t="s">
        <v>34</v>
      </c>
      <c r="O9" s="32"/>
      <c r="Q9" s="49"/>
      <c r="R9" s="37" t="s">
        <v>34</v>
      </c>
      <c r="S9" s="32"/>
      <c r="U9" s="50"/>
      <c r="V9" s="38" t="s">
        <v>79</v>
      </c>
      <c r="W9" s="50"/>
      <c r="Y9" s="51"/>
      <c r="Z9" s="43" t="s">
        <v>23</v>
      </c>
      <c r="AA9" s="51"/>
      <c r="AB9" s="45"/>
    </row>
    <row r="10" spans="2:28" ht="18" x14ac:dyDescent="0.25">
      <c r="B10" s="44"/>
      <c r="C10" s="47"/>
      <c r="D10" s="47"/>
      <c r="E10" s="40" t="str">
        <f>IF(V8&lt;&gt;0,E12/V8,"Infinite")</f>
        <v>Infinite</v>
      </c>
      <c r="F10" s="47"/>
      <c r="G10" s="47"/>
      <c r="I10" s="48"/>
      <c r="J10" s="86">
        <v>917232</v>
      </c>
      <c r="K10" s="48"/>
      <c r="M10" s="54"/>
      <c r="N10" s="41">
        <v>2310200</v>
      </c>
      <c r="O10" s="32"/>
      <c r="Q10" s="54"/>
      <c r="R10" s="41">
        <v>0</v>
      </c>
      <c r="S10" s="32"/>
      <c r="U10" s="50"/>
      <c r="V10" s="41">
        <v>2310200</v>
      </c>
      <c r="W10" s="50"/>
      <c r="Y10" s="51"/>
      <c r="Z10" s="39">
        <f>J14/(N20+R20)</f>
        <v>3.8377196779499609</v>
      </c>
      <c r="AA10" s="51"/>
      <c r="AB10" s="45"/>
    </row>
    <row r="11" spans="2:28" ht="18" x14ac:dyDescent="0.25">
      <c r="B11" s="44"/>
      <c r="C11" s="47"/>
      <c r="D11" s="47"/>
      <c r="E11" s="52" t="s">
        <v>52</v>
      </c>
      <c r="F11" s="47"/>
      <c r="G11" s="47"/>
      <c r="I11" s="48"/>
      <c r="J11" s="53" t="s">
        <v>53</v>
      </c>
      <c r="K11" s="48"/>
      <c r="M11" s="49"/>
      <c r="N11" s="37" t="s">
        <v>37</v>
      </c>
      <c r="O11" s="32"/>
      <c r="Q11" s="49"/>
      <c r="R11" s="37" t="s">
        <v>37</v>
      </c>
      <c r="S11" s="32"/>
      <c r="U11" s="50"/>
      <c r="V11" s="38"/>
      <c r="W11" s="50"/>
      <c r="Y11" s="51"/>
      <c r="Z11" s="43" t="s">
        <v>43</v>
      </c>
      <c r="AA11" s="51"/>
      <c r="AB11" s="45"/>
    </row>
    <row r="12" spans="2:28" ht="18" x14ac:dyDescent="0.25">
      <c r="B12" s="44"/>
      <c r="C12" s="47"/>
      <c r="D12" s="47"/>
      <c r="E12" s="42">
        <f>J14-N20-R20</f>
        <v>524456</v>
      </c>
      <c r="F12" s="47"/>
      <c r="G12" s="47"/>
      <c r="I12" s="48"/>
      <c r="J12" s="86">
        <v>207960</v>
      </c>
      <c r="K12" s="48"/>
      <c r="L12" s="55"/>
      <c r="M12" s="54"/>
      <c r="N12" s="28">
        <v>12</v>
      </c>
      <c r="O12" s="32"/>
      <c r="P12" s="55"/>
      <c r="Q12" s="54"/>
      <c r="R12" s="28">
        <v>12</v>
      </c>
      <c r="S12" s="32"/>
      <c r="U12" s="50"/>
      <c r="V12" s="38" t="s">
        <v>47</v>
      </c>
      <c r="W12" s="50"/>
      <c r="Y12" s="51"/>
      <c r="Z12" s="31">
        <f>(J12+N20+R20)/(J14+J12)</f>
        <v>0.42821881486908436</v>
      </c>
      <c r="AA12" s="51"/>
      <c r="AB12" s="45"/>
    </row>
    <row r="13" spans="2:28" ht="18" x14ac:dyDescent="0.25">
      <c r="B13" s="44"/>
      <c r="C13" s="47"/>
      <c r="D13" s="47"/>
      <c r="E13" s="56" t="s">
        <v>63</v>
      </c>
      <c r="F13" s="47"/>
      <c r="G13" s="47"/>
      <c r="I13" s="48"/>
      <c r="J13" s="53" t="s">
        <v>28</v>
      </c>
      <c r="K13" s="48"/>
      <c r="M13" s="49"/>
      <c r="N13" s="37" t="s">
        <v>4</v>
      </c>
      <c r="O13" s="32"/>
      <c r="Q13" s="49"/>
      <c r="R13" s="37" t="s">
        <v>4</v>
      </c>
      <c r="S13" s="32"/>
      <c r="U13" s="50"/>
      <c r="V13" s="64">
        <f>V8+V10</f>
        <v>2310200</v>
      </c>
      <c r="W13" s="50"/>
      <c r="Y13" s="51"/>
      <c r="Z13" s="43" t="s">
        <v>44</v>
      </c>
      <c r="AA13" s="51"/>
      <c r="AB13" s="45"/>
    </row>
    <row r="14" spans="2:28" ht="18" x14ac:dyDescent="0.25">
      <c r="B14" s="44"/>
      <c r="I14" s="48"/>
      <c r="J14" s="64">
        <f>J10-J12</f>
        <v>709272</v>
      </c>
      <c r="K14" s="48"/>
      <c r="M14" s="54"/>
      <c r="N14" s="28">
        <v>2</v>
      </c>
      <c r="O14" s="32"/>
      <c r="Q14" s="54"/>
      <c r="R14" s="28">
        <v>10</v>
      </c>
      <c r="S14" s="32"/>
      <c r="U14" s="50"/>
      <c r="V14" s="38" t="s">
        <v>81</v>
      </c>
      <c r="W14" s="50"/>
      <c r="Y14" s="51"/>
      <c r="Z14" s="31">
        <f>(N10+R10)/J8</f>
        <v>1</v>
      </c>
      <c r="AA14" s="51"/>
      <c r="AB14" s="45"/>
    </row>
    <row r="15" spans="2:28" ht="18" x14ac:dyDescent="0.25">
      <c r="B15" s="44"/>
      <c r="C15" s="244" t="s">
        <v>57</v>
      </c>
      <c r="D15" s="244"/>
      <c r="E15" s="244"/>
      <c r="F15" s="244"/>
      <c r="G15" s="244"/>
      <c r="I15" s="48"/>
      <c r="J15" s="53" t="s">
        <v>24</v>
      </c>
      <c r="K15" s="48"/>
      <c r="M15" s="49"/>
      <c r="N15" s="37" t="s">
        <v>35</v>
      </c>
      <c r="O15" s="32"/>
      <c r="Q15" s="49"/>
      <c r="R15" s="37" t="s">
        <v>35</v>
      </c>
      <c r="S15" s="32"/>
      <c r="U15" s="50"/>
      <c r="V15" s="63">
        <f>V13/J8</f>
        <v>1</v>
      </c>
      <c r="W15" s="50"/>
      <c r="Y15" s="51"/>
      <c r="Z15" s="51"/>
      <c r="AA15" s="51"/>
      <c r="AB15" s="45"/>
    </row>
    <row r="16" spans="2:28" ht="18" x14ac:dyDescent="0.25">
      <c r="B16" s="44"/>
      <c r="C16" s="48"/>
      <c r="D16" s="247" t="s">
        <v>46</v>
      </c>
      <c r="E16" s="247"/>
      <c r="F16" s="247"/>
      <c r="G16" s="48"/>
      <c r="I16" s="48"/>
      <c r="J16" s="36">
        <f>IF(J8&lt;&gt;0,J14/J8,"")</f>
        <v>0.3070175742359969</v>
      </c>
      <c r="K16" s="57"/>
      <c r="M16" s="49"/>
      <c r="N16" s="29">
        <v>0.08</v>
      </c>
      <c r="O16" s="32"/>
      <c r="Q16" s="49"/>
      <c r="R16" s="29">
        <v>7.2499999999999995E-2</v>
      </c>
      <c r="S16" s="32"/>
      <c r="U16" s="50"/>
      <c r="V16" s="38" t="s">
        <v>73</v>
      </c>
      <c r="W16" s="50"/>
      <c r="AB16" s="45"/>
    </row>
    <row r="17" spans="2:28" ht="20.25" x14ac:dyDescent="0.3">
      <c r="B17" s="44"/>
      <c r="C17" s="48"/>
      <c r="D17" s="50"/>
      <c r="E17" s="40">
        <f>V15</f>
        <v>1</v>
      </c>
      <c r="F17" s="50"/>
      <c r="G17" s="48"/>
      <c r="I17" s="48"/>
      <c r="J17" s="48"/>
      <c r="K17" s="48"/>
      <c r="M17" s="49"/>
      <c r="N17" s="37" t="s">
        <v>39</v>
      </c>
      <c r="O17" s="32"/>
      <c r="Q17" s="49"/>
      <c r="R17" s="37" t="s">
        <v>39</v>
      </c>
      <c r="S17" s="32"/>
      <c r="U17" s="50"/>
      <c r="V17" s="106">
        <f>J8-N10-R10-V8-V10</f>
        <v>-2310200</v>
      </c>
      <c r="W17" s="50"/>
      <c r="Y17" s="87" t="s">
        <v>71</v>
      </c>
      <c r="AB17" s="45"/>
    </row>
    <row r="18" spans="2:28" ht="18" x14ac:dyDescent="0.25">
      <c r="B18" s="44"/>
      <c r="C18" s="48"/>
      <c r="D18" s="50"/>
      <c r="E18" s="50"/>
      <c r="F18" s="50"/>
      <c r="G18" s="48"/>
      <c r="M18" s="49"/>
      <c r="N18" s="35">
        <f>IF(N10&lt;&gt;"",IF(N8&lt;&gt;"Interest-Only",-1*PMT(N16/N12,N14*N12,N10,0,0),N10*N16/12),"")</f>
        <v>15401.333333333334</v>
      </c>
      <c r="O18" s="32"/>
      <c r="Q18" s="49"/>
      <c r="R18" s="35">
        <f>IF(R10&lt;&gt;"",IF(R8&lt;&gt;"Interest-Only",-1*PMT(R16/R12,R14*R12,R10,0,0),R10*R16/12),"")</f>
        <v>0</v>
      </c>
      <c r="S18" s="32"/>
      <c r="U18" s="254"/>
      <c r="V18" s="254"/>
      <c r="W18" s="254"/>
      <c r="Y18" s="248" t="s">
        <v>95</v>
      </c>
      <c r="Z18" s="249"/>
      <c r="AA18" s="249"/>
      <c r="AB18" s="45"/>
    </row>
    <row r="19" spans="2:28" ht="18" x14ac:dyDescent="0.25">
      <c r="B19" s="44"/>
      <c r="C19" s="48"/>
      <c r="D19" s="48"/>
      <c r="E19" s="48"/>
      <c r="F19" s="48"/>
      <c r="G19" s="48"/>
      <c r="M19" s="49"/>
      <c r="N19" s="62" t="s">
        <v>48</v>
      </c>
      <c r="O19" s="32"/>
      <c r="Q19" s="49"/>
      <c r="R19" s="62" t="s">
        <v>48</v>
      </c>
      <c r="S19" s="32"/>
      <c r="U19" s="102"/>
      <c r="V19" s="102"/>
      <c r="W19" s="102"/>
      <c r="Y19" s="250"/>
      <c r="Z19" s="251"/>
      <c r="AA19" s="251"/>
      <c r="AB19" s="45"/>
    </row>
    <row r="20" spans="2:28" ht="18" x14ac:dyDescent="0.25">
      <c r="B20" s="44"/>
      <c r="C20" s="48"/>
      <c r="D20" s="252" t="s">
        <v>82</v>
      </c>
      <c r="E20" s="252"/>
      <c r="F20" s="252"/>
      <c r="G20" s="48"/>
      <c r="M20" s="49"/>
      <c r="N20" s="35">
        <f>N18*12</f>
        <v>184816</v>
      </c>
      <c r="O20" s="33"/>
      <c r="Q20" s="49"/>
      <c r="R20" s="35">
        <f>R18*12</f>
        <v>0</v>
      </c>
      <c r="S20" s="33"/>
      <c r="U20" s="102"/>
      <c r="V20" s="103"/>
      <c r="W20" s="102"/>
      <c r="AB20" s="45"/>
    </row>
    <row r="21" spans="2:28" ht="18" x14ac:dyDescent="0.25">
      <c r="B21" s="44"/>
      <c r="C21" s="48"/>
      <c r="D21" s="49"/>
      <c r="E21" s="40">
        <f>N22+R22</f>
        <v>1</v>
      </c>
      <c r="F21" s="49"/>
      <c r="G21" s="48"/>
      <c r="M21" s="49"/>
      <c r="N21" s="62" t="s">
        <v>49</v>
      </c>
      <c r="O21" s="32"/>
      <c r="Q21" s="49"/>
      <c r="R21" s="62" t="s">
        <v>49</v>
      </c>
      <c r="S21" s="32"/>
      <c r="U21" s="102"/>
      <c r="V21" s="104"/>
      <c r="W21" s="102"/>
      <c r="AB21" s="45"/>
    </row>
    <row r="22" spans="2:28" ht="18" x14ac:dyDescent="0.25">
      <c r="B22" s="44"/>
      <c r="C22" s="48"/>
      <c r="D22" s="49"/>
      <c r="E22" s="49"/>
      <c r="F22" s="49"/>
      <c r="G22" s="48"/>
      <c r="M22" s="49"/>
      <c r="N22" s="36">
        <f>N10/J8</f>
        <v>1</v>
      </c>
      <c r="O22" s="34"/>
      <c r="Q22" s="49"/>
      <c r="R22" s="36">
        <f>R10/J8</f>
        <v>0</v>
      </c>
      <c r="S22" s="34"/>
      <c r="U22" s="102"/>
      <c r="V22" s="103"/>
      <c r="W22" s="102"/>
      <c r="AB22" s="45"/>
    </row>
    <row r="23" spans="2:28" ht="18" x14ac:dyDescent="0.25">
      <c r="B23" s="44"/>
      <c r="C23" s="48"/>
      <c r="D23" s="48"/>
      <c r="E23" s="58" t="s">
        <v>62</v>
      </c>
      <c r="F23" s="48"/>
      <c r="G23" s="48"/>
      <c r="M23" s="49"/>
      <c r="N23" s="62" t="s">
        <v>26</v>
      </c>
      <c r="O23" s="32"/>
      <c r="Q23" s="49"/>
      <c r="R23" s="62" t="s">
        <v>26</v>
      </c>
      <c r="S23" s="32"/>
      <c r="U23" s="102"/>
      <c r="V23" s="101"/>
      <c r="W23" s="102"/>
      <c r="AB23" s="45"/>
    </row>
    <row r="24" spans="2:28" ht="18" x14ac:dyDescent="0.25">
      <c r="B24" s="44"/>
      <c r="C24" s="48"/>
      <c r="D24" s="48"/>
      <c r="E24" s="40">
        <f>E21+E17</f>
        <v>2</v>
      </c>
      <c r="F24" s="48"/>
      <c r="G24" s="48"/>
      <c r="M24" s="49"/>
      <c r="N24" s="31">
        <f>IF(N10&lt;&gt;0,(N18*12)/N10,0)</f>
        <v>0.08</v>
      </c>
      <c r="O24" s="32"/>
      <c r="Q24" s="49"/>
      <c r="R24" s="31">
        <f>IF(R10&lt;&gt;0,(R18*12)/R10,0)</f>
        <v>0</v>
      </c>
      <c r="S24" s="32"/>
      <c r="U24" s="102"/>
      <c r="V24" s="103"/>
      <c r="W24" s="102"/>
      <c r="AB24" s="45"/>
    </row>
    <row r="25" spans="2:28" ht="18" x14ac:dyDescent="0.25">
      <c r="B25" s="44"/>
      <c r="C25" s="48"/>
      <c r="D25" s="48"/>
      <c r="E25" s="48"/>
      <c r="F25" s="48"/>
      <c r="G25" s="48"/>
      <c r="M25" s="49"/>
      <c r="N25" s="54"/>
      <c r="O25" s="49"/>
      <c r="Q25" s="49"/>
      <c r="R25" s="54"/>
      <c r="S25" s="49"/>
      <c r="U25" s="102"/>
      <c r="V25" s="105"/>
      <c r="W25" s="102"/>
      <c r="AB25" s="45"/>
    </row>
    <row r="26" spans="2:28" ht="15.75" x14ac:dyDescent="0.25">
      <c r="B26" s="44"/>
      <c r="U26" s="102"/>
      <c r="V26" s="103"/>
      <c r="W26" s="102"/>
      <c r="AB26" s="45"/>
    </row>
    <row r="27" spans="2:28" x14ac:dyDescent="0.2">
      <c r="B27" s="44"/>
      <c r="AB27" s="45"/>
    </row>
    <row r="28" spans="2:28" ht="13.5" thickBot="1" x14ac:dyDescent="0.25"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1"/>
    </row>
    <row r="29" spans="2:28" x14ac:dyDescent="0.2">
      <c r="C29" s="88" t="s">
        <v>93</v>
      </c>
    </row>
  </sheetData>
  <sheetProtection password="E4AD" sheet="1" selectLockedCells="1"/>
  <mergeCells count="13">
    <mergeCell ref="D20:F20"/>
    <mergeCell ref="B2:AB2"/>
    <mergeCell ref="C5:G5"/>
    <mergeCell ref="I5:K5"/>
    <mergeCell ref="M5:O5"/>
    <mergeCell ref="U5:W5"/>
    <mergeCell ref="Y5:AA5"/>
    <mergeCell ref="Q5:S5"/>
    <mergeCell ref="C15:G15"/>
    <mergeCell ref="D16:F16"/>
    <mergeCell ref="Y18:AA18"/>
    <mergeCell ref="U18:W18"/>
    <mergeCell ref="Y19:AA19"/>
  </mergeCells>
  <dataValidations count="1">
    <dataValidation type="list" allowBlank="1" showInputMessage="1" showErrorMessage="1" sqref="V21 N8 R8" xr:uid="{00000000-0002-0000-0700-000000000000}">
      <formula1>"Fully Amortizing, Interest-Only"</formula1>
    </dataValidation>
  </dataValidation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Menu</vt:lpstr>
      <vt:lpstr>Loan Constant Calc</vt:lpstr>
      <vt:lpstr>Raising Money Calc</vt:lpstr>
      <vt:lpstr>DCR &amp; BER Calc</vt:lpstr>
      <vt:lpstr>Risk Simulator</vt:lpstr>
      <vt:lpstr>Combined Loan Constant</vt:lpstr>
      <vt:lpstr>Quick Analysis</vt:lpstr>
      <vt:lpstr>Quick Analysis PL</vt:lpstr>
      <vt:lpstr>'Risk Simulator'!OE_Ratio</vt:lpstr>
      <vt:lpstr>'Quick Analysis'!Print_Area</vt:lpstr>
      <vt:lpstr>'Quick Analysis PL'!Print_Area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Grady Radford</cp:lastModifiedBy>
  <cp:lastPrinted>2014-08-21T22:45:06Z</cp:lastPrinted>
  <dcterms:created xsi:type="dcterms:W3CDTF">1996-10-14T23:33:28Z</dcterms:created>
  <dcterms:modified xsi:type="dcterms:W3CDTF">2025-02-06T19:08:52Z</dcterms:modified>
</cp:coreProperties>
</file>