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4cb2e25675bea138/Duplex University/Tools/Analysis Tool/"/>
    </mc:Choice>
  </mc:AlternateContent>
  <xr:revisionPtr revIDLastSave="2" documentId="8_{85339532-859E-4AB0-9668-4388588CD35A}" xr6:coauthVersionLast="47" xr6:coauthVersionMax="47" xr10:uidLastSave="{A764A99B-D011-4B8B-BABD-8FC74D35DEF0}"/>
  <bookViews>
    <workbookView xWindow="28680" yWindow="-120" windowWidth="29040" windowHeight="15840" xr2:uid="{00000000-000D-0000-FFFF-FFFF00000000}"/>
  </bookViews>
  <sheets>
    <sheet name="How To" sheetId="3" r:id="rId1"/>
    <sheet name="Calculator" sheetId="2" r:id="rId2"/>
  </sheets>
  <definedNames>
    <definedName name="ElecPerMo">Calculator!$P$13</definedName>
    <definedName name="GasPerMo">Calculator!$P$14</definedName>
    <definedName name="InsPerMo">Calculator!$P$18</definedName>
    <definedName name="LawnEtcPerMo">Calculator!$P$17</definedName>
    <definedName name="LoanDownPmtPercent">Calculator!$P$28</definedName>
    <definedName name="LoanIntRate">Calculator!$P$29</definedName>
    <definedName name="LoanTermYears">Calculator!$P$27</definedName>
    <definedName name="MaintCapXPercent">Calculator!$P$21</definedName>
    <definedName name="ManagementPercent">Calculator!$P$19</definedName>
    <definedName name="MiscPerMo">Calculator!$P$16</definedName>
    <definedName name="PropTaxesPerMo">Calculator!$P$12</definedName>
    <definedName name="RefiAfterRepairValue">Calculator!$P$46</definedName>
    <definedName name="RefiDownPmtPercent">Calculator!$P$43</definedName>
    <definedName name="RefiIntRate">Calculator!$P$44</definedName>
    <definedName name="RefiLoanTermYears">Calculator!$P$42</definedName>
    <definedName name="RefiRepairBudget">Calculator!$P$45</definedName>
    <definedName name="RepairBudgetToStabilize">Calculator!$P$22</definedName>
    <definedName name="VacancyPercent">Calculator!$P$20</definedName>
    <definedName name="WaterPerMo">Calculator!$P$15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" l="1"/>
  <c r="P45" i="2" s="1"/>
  <c r="F23" i="2"/>
  <c r="G23" i="2"/>
  <c r="F43" i="2" s="1"/>
  <c r="K30" i="2"/>
  <c r="K32" i="2" s="1"/>
  <c r="O6" i="2"/>
  <c r="O7" i="2"/>
  <c r="O13" i="2" s="1"/>
  <c r="P13" i="2" s="1"/>
  <c r="M50" i="2"/>
  <c r="M42" i="2"/>
  <c r="I50" i="2"/>
  <c r="I49" i="2"/>
  <c r="I48" i="2"/>
  <c r="I47" i="2"/>
  <c r="I46" i="2"/>
  <c r="I45" i="2"/>
  <c r="I44" i="2"/>
  <c r="I43" i="2"/>
  <c r="I42" i="2"/>
  <c r="I41" i="2"/>
  <c r="B54" i="2"/>
  <c r="B53" i="2"/>
  <c r="B52" i="2"/>
  <c r="B51" i="2"/>
  <c r="B50" i="2"/>
  <c r="B49" i="2"/>
  <c r="B48" i="2"/>
  <c r="B47" i="2"/>
  <c r="B46" i="2"/>
  <c r="B45" i="2"/>
  <c r="B44" i="2"/>
  <c r="B43" i="2"/>
  <c r="F42" i="2"/>
  <c r="B42" i="2"/>
  <c r="B41" i="2"/>
  <c r="B40" i="2"/>
  <c r="P20" i="2"/>
  <c r="P21" i="2"/>
  <c r="P22" i="2"/>
  <c r="P46" i="2"/>
  <c r="P43" i="2"/>
  <c r="K47" i="2" s="1"/>
  <c r="P44" i="2"/>
  <c r="P28" i="2"/>
  <c r="K31" i="2" s="1"/>
  <c r="P29" i="2"/>
  <c r="P27" i="2"/>
  <c r="P42" i="2"/>
  <c r="P19" i="2"/>
  <c r="O17" i="2"/>
  <c r="P17" i="2" s="1"/>
  <c r="O18" i="2"/>
  <c r="P18" i="2" s="1"/>
  <c r="F46" i="2" s="1"/>
  <c r="O12" i="2"/>
  <c r="P12" i="2" s="1"/>
  <c r="F45" i="2" s="1"/>
  <c r="K49" i="2" l="1"/>
  <c r="K50" i="2" s="1"/>
  <c r="O15" i="2"/>
  <c r="P15" i="2" s="1"/>
  <c r="O14" i="2"/>
  <c r="P14" i="2" s="1"/>
  <c r="O16" i="2"/>
  <c r="P16" i="2" s="1"/>
  <c r="F44" i="2"/>
  <c r="F48" i="2"/>
  <c r="F49" i="2"/>
  <c r="G29" i="2"/>
  <c r="F29" i="2"/>
  <c r="F30" i="2"/>
  <c r="G30" i="2"/>
  <c r="K33" i="2"/>
  <c r="K34" i="2" s="1"/>
  <c r="G27" i="2"/>
  <c r="G33" i="2" s="1"/>
  <c r="F27" i="2"/>
  <c r="K48" i="2" l="1"/>
  <c r="G31" i="2"/>
  <c r="F47" i="2"/>
  <c r="F50" i="2" s="1"/>
  <c r="F51" i="2" s="1"/>
  <c r="F52" i="2" s="1"/>
  <c r="F31" i="2"/>
  <c r="F33" i="2"/>
  <c r="F28" i="2"/>
  <c r="G28" i="2"/>
  <c r="G32" i="2"/>
  <c r="F32" i="2"/>
  <c r="F53" i="2" l="1"/>
  <c r="F54" i="2" s="1"/>
  <c r="G34" i="2"/>
  <c r="G35" i="2" s="1"/>
  <c r="G36" i="2" s="1"/>
  <c r="F35" i="2"/>
  <c r="F37" i="2" s="1"/>
  <c r="F38" i="2" s="1"/>
  <c r="F34" i="2"/>
  <c r="G37" i="2" l="1"/>
  <c r="G38" i="2" s="1"/>
  <c r="F36" i="2"/>
</calcChain>
</file>

<file path=xl/sharedStrings.xml><?xml version="1.0" encoding="utf-8"?>
<sst xmlns="http://schemas.openxmlformats.org/spreadsheetml/2006/main" count="104" uniqueCount="86">
  <si>
    <t>Item</t>
  </si>
  <si>
    <t>Property Management</t>
  </si>
  <si>
    <t>Property Taxes</t>
  </si>
  <si>
    <t>Down Payment</t>
  </si>
  <si>
    <t>Vacancy</t>
  </si>
  <si>
    <t>Insurance</t>
  </si>
  <si>
    <t>Interest Rate</t>
  </si>
  <si>
    <t>Monthly NOI</t>
  </si>
  <si>
    <t>Purchase Price</t>
  </si>
  <si>
    <t>Owner Expenses</t>
  </si>
  <si>
    <t>Stabilized Analysis</t>
  </si>
  <si>
    <t>Maintenance and Cap X</t>
  </si>
  <si>
    <t>DSCR</t>
  </si>
  <si>
    <t>Monthly Cashflow</t>
  </si>
  <si>
    <t>Total Op Expenses</t>
  </si>
  <si>
    <t>Step 1 - Save a new copy for each property you analyze</t>
  </si>
  <si>
    <t>Step 4 - If not Refinancing, delete these sections</t>
  </si>
  <si>
    <t>As-Is Analysis</t>
  </si>
  <si>
    <t>Beds</t>
  </si>
  <si>
    <t>Baths</t>
  </si>
  <si>
    <t>Current Rent/Mo</t>
  </si>
  <si>
    <t>Management</t>
  </si>
  <si>
    <t>Maintenance + Cap X</t>
  </si>
  <si>
    <t>Property Analysis</t>
  </si>
  <si>
    <t>Market Rent/Mo</t>
  </si>
  <si>
    <t>Total Rent</t>
  </si>
  <si>
    <t>Owner Utilities/Misc</t>
  </si>
  <si>
    <t>Loan to Value</t>
  </si>
  <si>
    <t>Loan Total</t>
  </si>
  <si>
    <t>Units</t>
  </si>
  <si>
    <t>Using This Sheet</t>
  </si>
  <si>
    <t>Step 3 - If Refinancing, fill Refinance Calculator and Analysis</t>
  </si>
  <si>
    <t>$/Mo</t>
  </si>
  <si>
    <t>Cash On Cash %</t>
  </si>
  <si>
    <t>Step 5 - Paste this info into your "Property Report" to obtain financing</t>
  </si>
  <si>
    <t>Step 2 - Fill in Green Cells with YOUR #s - use 0's for sections you want to leave blank</t>
  </si>
  <si>
    <t>123 Main Street</t>
  </si>
  <si>
    <t>Name</t>
  </si>
  <si>
    <t>Address 1</t>
  </si>
  <si>
    <t>Address 2</t>
  </si>
  <si>
    <t>Property</t>
  </si>
  <si>
    <t>Green Bay, WI 54304</t>
  </si>
  <si>
    <t>Electric</t>
  </si>
  <si>
    <t>Gas</t>
  </si>
  <si>
    <t>Water</t>
  </si>
  <si>
    <t>Misc Expense</t>
  </si>
  <si>
    <t>Lawn/Snow/HOA</t>
  </si>
  <si>
    <t>monthly</t>
  </si>
  <si>
    <t>years</t>
  </si>
  <si>
    <t>Loan Term</t>
  </si>
  <si>
    <t>Loan</t>
  </si>
  <si>
    <t>per year</t>
  </si>
  <si>
    <t>per month</t>
  </si>
  <si>
    <t>Mortgage</t>
  </si>
  <si>
    <t>PropTaxesPerMo</t>
  </si>
  <si>
    <t>ElecPerMo</t>
  </si>
  <si>
    <t>GasPerMo</t>
  </si>
  <si>
    <t>WaterPerMo</t>
  </si>
  <si>
    <t>MiscPerMo</t>
  </si>
  <si>
    <t>LawnEtcPerMo</t>
  </si>
  <si>
    <t>InsPerMo</t>
  </si>
  <si>
    <t>ManagementPercent</t>
  </si>
  <si>
    <t>VacancyPercent</t>
  </si>
  <si>
    <t>MaintCapXPercent</t>
  </si>
  <si>
    <t>RepairBudgetToStabilize</t>
  </si>
  <si>
    <t>LoanIntRate</t>
  </si>
  <si>
    <t>RefiIntRate</t>
  </si>
  <si>
    <t>RefiRepairBudget</t>
  </si>
  <si>
    <t>RefiAfterRepairValue</t>
  </si>
  <si>
    <t>RefiDownPmtPercent</t>
  </si>
  <si>
    <t>RefiLoanTermYears</t>
  </si>
  <si>
    <t>LoanTermYears</t>
  </si>
  <si>
    <t>LoanDownPmtPercent</t>
  </si>
  <si>
    <t>per quarter</t>
  </si>
  <si>
    <t>Step 2 - Fill in Colored Cells with YOUR #s - use 0's for sections you want to leave blank</t>
  </si>
  <si>
    <t>Step 4 - If not Refinancing, uncheck the box</t>
  </si>
  <si>
    <t>Using This Calculator</t>
  </si>
  <si>
    <t>Give me a holler if you need anything else @duplex_joe on IG or duplexjoegreenbay@gmail.com - Joe</t>
  </si>
  <si>
    <t>Step 1 - Save a new copy for each property you analyze - a function or two won't work in Google Sheets, Excel is best</t>
  </si>
  <si>
    <t>Sample Rental</t>
  </si>
  <si>
    <t>Repairs To Stabilize/Refi</t>
  </si>
  <si>
    <t>This is built in Excel, so if you open this in Google Sheets or other aps, the refinance button, or other features may not work 100%</t>
  </si>
  <si>
    <t>http://www.Duplexuniversity.com</t>
  </si>
  <si>
    <t>For more free tools and resources!</t>
  </si>
  <si>
    <t>Stay Excellent - Joe</t>
  </si>
  <si>
    <t>Disclaimer: This analysis tool is only for crunching and referncing numbers and is to be used as a guide.  Do your own due dilligence!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</si>
</sst>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2"/>
      <color rgb="FF000000"/>
      <name val="Arial"/>
      <family val="2"/>
    </font>
    <font>
      <sz val="22"/>
      <color rgb="FF00000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7" xfId="0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21" xfId="0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44" fontId="12" fillId="2" borderId="0" xfId="0" applyNumberFormat="1" applyFont="1" applyFill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vertical="center"/>
    </xf>
    <xf numFmtId="44" fontId="12" fillId="2" borderId="19" xfId="0" applyNumberFormat="1" applyFont="1" applyFill="1" applyBorder="1" applyAlignment="1" applyProtection="1">
      <alignment vertical="center"/>
      <protection locked="0"/>
    </xf>
    <xf numFmtId="10" fontId="12" fillId="2" borderId="0" xfId="0" applyNumberFormat="1" applyFont="1" applyFill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44" fontId="12" fillId="2" borderId="17" xfId="0" applyNumberFormat="1" applyFont="1" applyFill="1" applyBorder="1" applyAlignment="1" applyProtection="1">
      <alignment vertical="center"/>
      <protection locked="0"/>
    </xf>
    <xf numFmtId="0" fontId="0" fillId="2" borderId="17" xfId="0" applyFill="1" applyBorder="1" applyAlignment="1">
      <alignment vertical="center"/>
    </xf>
    <xf numFmtId="0" fontId="0" fillId="2" borderId="23" xfId="0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44" fontId="3" fillId="2" borderId="17" xfId="0" applyNumberFormat="1" applyFont="1" applyFill="1" applyBorder="1" applyAlignment="1">
      <alignment vertical="center"/>
    </xf>
    <xf numFmtId="44" fontId="3" fillId="2" borderId="23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44" fontId="6" fillId="2" borderId="0" xfId="0" applyNumberFormat="1" applyFont="1" applyFill="1" applyAlignment="1">
      <alignment vertical="center"/>
    </xf>
    <xf numFmtId="44" fontId="2" fillId="2" borderId="19" xfId="0" applyNumberFormat="1" applyFont="1" applyFill="1" applyBorder="1" applyAlignment="1">
      <alignment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7" fillId="2" borderId="19" xfId="0" applyFont="1" applyFill="1" applyBorder="1" applyAlignment="1">
      <alignment horizontal="left" vertical="center"/>
    </xf>
    <xf numFmtId="44" fontId="1" fillId="2" borderId="0" xfId="0" applyNumberFormat="1" applyFont="1" applyFill="1" applyAlignment="1">
      <alignment vertical="center"/>
    </xf>
    <xf numFmtId="44" fontId="1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4" fontId="4" fillId="2" borderId="0" xfId="0" applyNumberFormat="1" applyFont="1" applyFill="1" applyAlignment="1">
      <alignment vertical="center"/>
    </xf>
    <xf numFmtId="0" fontId="8" fillId="2" borderId="19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10" fontId="1" fillId="2" borderId="0" xfId="0" applyNumberFormat="1" applyFont="1" applyFill="1" applyAlignment="1">
      <alignment horizontal="center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8" fillId="2" borderId="21" xfId="0" applyFont="1" applyFill="1" applyBorder="1" applyAlignment="1">
      <alignment horizontal="right" vertical="center"/>
    </xf>
    <xf numFmtId="44" fontId="3" fillId="2" borderId="0" xfId="0" applyNumberFormat="1" applyFont="1" applyFill="1" applyAlignment="1">
      <alignment vertical="center"/>
    </xf>
    <xf numFmtId="44" fontId="3" fillId="2" borderId="19" xfId="0" applyNumberFormat="1" applyFont="1" applyFill="1" applyBorder="1" applyAlignment="1">
      <alignment vertical="center"/>
    </xf>
    <xf numFmtId="0" fontId="7" fillId="2" borderId="22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8" fontId="3" fillId="2" borderId="17" xfId="0" applyNumberFormat="1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44" fontId="2" fillId="2" borderId="15" xfId="0" applyNumberFormat="1" applyFont="1" applyFill="1" applyBorder="1" applyAlignment="1">
      <alignment vertical="center"/>
    </xf>
    <xf numFmtId="44" fontId="2" fillId="2" borderId="16" xfId="0" applyNumberFormat="1" applyFont="1" applyFill="1" applyBorder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17" xfId="0" applyNumberFormat="1" applyFont="1" applyFill="1" applyBorder="1" applyAlignment="1">
      <alignment horizontal="center" vertical="center"/>
    </xf>
    <xf numFmtId="10" fontId="6" fillId="2" borderId="2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10" fontId="7" fillId="2" borderId="23" xfId="0" applyNumberFormat="1" applyFont="1" applyFill="1" applyBorder="1" applyAlignment="1">
      <alignment horizontal="center" vertical="center"/>
    </xf>
    <xf numFmtId="44" fontId="12" fillId="2" borderId="12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12" fillId="3" borderId="0" xfId="0" applyNumberFormat="1" applyFont="1" applyFill="1" applyAlignment="1">
      <alignment vertical="center"/>
    </xf>
    <xf numFmtId="0" fontId="0" fillId="0" borderId="1" xfId="0" applyBorder="1"/>
    <xf numFmtId="0" fontId="13" fillId="0" borderId="2" xfId="2" applyFill="1" applyBorder="1"/>
    <xf numFmtId="0" fontId="13" fillId="0" borderId="2" xfId="2" applyBorder="1"/>
    <xf numFmtId="0" fontId="6" fillId="2" borderId="1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 textRotation="90"/>
    </xf>
    <xf numFmtId="0" fontId="6" fillId="2" borderId="21" xfId="0" applyFont="1" applyFill="1" applyBorder="1" applyAlignment="1">
      <alignment horizontal="center" vertical="center" textRotation="90"/>
    </xf>
    <xf numFmtId="0" fontId="6" fillId="2" borderId="22" xfId="0" applyFont="1" applyFill="1" applyBorder="1" applyAlignment="1">
      <alignment horizontal="center" vertical="center" textRotation="90"/>
    </xf>
    <xf numFmtId="0" fontId="6" fillId="2" borderId="0" xfId="0" applyFont="1" applyFill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B2DE82"/>
      <color rgb="FF5DC606"/>
      <color rgb="FF16B621"/>
      <color rgb="FF1CC10B"/>
      <color rgb="FFCCDAF2"/>
      <color rgb="FFCFDDEF"/>
      <color rgb="FFD1D9ED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P$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3</xdr:col>
          <xdr:colOff>0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uplexuniversity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0A7B-DF5F-4434-B05A-6E2405E2AD4E}">
  <dimension ref="A1:C15"/>
  <sheetViews>
    <sheetView tabSelected="1" workbookViewId="0">
      <selection activeCell="A33" sqref="A33"/>
    </sheetView>
  </sheetViews>
  <sheetFormatPr defaultRowHeight="13.2" x14ac:dyDescent="0.25"/>
  <cols>
    <col min="1" max="1" width="127.6640625" customWidth="1"/>
  </cols>
  <sheetData>
    <row r="1" spans="1:3" x14ac:dyDescent="0.25">
      <c r="A1" s="122" t="s">
        <v>85</v>
      </c>
    </row>
    <row r="3" spans="1:3" ht="13.8" thickBot="1" x14ac:dyDescent="0.3"/>
    <row r="4" spans="1:3" ht="13.8" thickBot="1" x14ac:dyDescent="0.3">
      <c r="A4" s="123" t="s">
        <v>76</v>
      </c>
    </row>
    <row r="5" spans="1:3" x14ac:dyDescent="0.25">
      <c r="A5" s="124" t="s">
        <v>78</v>
      </c>
      <c r="B5" s="1"/>
      <c r="C5" s="1"/>
    </row>
    <row r="6" spans="1:3" x14ac:dyDescent="0.25">
      <c r="A6" s="125" t="s">
        <v>74</v>
      </c>
      <c r="B6" s="1"/>
      <c r="C6" s="1"/>
    </row>
    <row r="7" spans="1:3" x14ac:dyDescent="0.25">
      <c r="A7" s="125" t="s">
        <v>31</v>
      </c>
      <c r="B7" s="1"/>
      <c r="C7" s="1"/>
    </row>
    <row r="8" spans="1:3" x14ac:dyDescent="0.25">
      <c r="A8" s="125" t="s">
        <v>75</v>
      </c>
      <c r="B8" s="1"/>
      <c r="C8" s="1"/>
    </row>
    <row r="9" spans="1:3" ht="13.8" thickBot="1" x14ac:dyDescent="0.3">
      <c r="A9" s="126" t="s">
        <v>34</v>
      </c>
      <c r="B9" s="1"/>
      <c r="C9" s="1"/>
    </row>
    <row r="10" spans="1:3" ht="13.8" thickBot="1" x14ac:dyDescent="0.3"/>
    <row r="11" spans="1:3" x14ac:dyDescent="0.25">
      <c r="A11" s="81" t="s">
        <v>81</v>
      </c>
    </row>
    <row r="12" spans="1:3" x14ac:dyDescent="0.25">
      <c r="A12" s="125" t="s">
        <v>77</v>
      </c>
    </row>
    <row r="13" spans="1:3" x14ac:dyDescent="0.25">
      <c r="A13" s="82" t="s">
        <v>82</v>
      </c>
    </row>
    <row r="14" spans="1:3" x14ac:dyDescent="0.25">
      <c r="A14" s="83" t="s">
        <v>83</v>
      </c>
    </row>
    <row r="15" spans="1:3" ht="13.8" thickBot="1" x14ac:dyDescent="0.3">
      <c r="A15" s="126" t="s">
        <v>84</v>
      </c>
    </row>
  </sheetData>
  <hyperlinks>
    <hyperlink ref="A13" r:id="rId1" xr:uid="{7369376C-0107-4009-8E06-D2B78E7DE21D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1A75-3EA1-4FFD-AE36-AD83EEB7245A}">
  <sheetPr>
    <outlinePr summaryBelow="0" summaryRight="0"/>
    <pageSetUpPr fitToPage="1"/>
  </sheetPr>
  <dimension ref="A1:Q61"/>
  <sheetViews>
    <sheetView topLeftCell="A10" zoomScaleNormal="100" workbookViewId="0">
      <selection activeCell="K45" sqref="K45"/>
    </sheetView>
  </sheetViews>
  <sheetFormatPr defaultColWidth="14.44140625" defaultRowHeight="15" customHeight="1" x14ac:dyDescent="0.25"/>
  <cols>
    <col min="1" max="1" width="2.88671875" style="2" customWidth="1"/>
    <col min="2" max="4" width="9.109375" style="2" customWidth="1"/>
    <col min="5" max="5" width="1.109375" style="2" customWidth="1"/>
    <col min="6" max="7" width="17.88671875" style="2" customWidth="1"/>
    <col min="8" max="8" width="2.88671875" style="2" customWidth="1"/>
    <col min="9" max="9" width="27.44140625" style="2" customWidth="1"/>
    <col min="10" max="10" width="1.109375" style="2" customWidth="1"/>
    <col min="11" max="11" width="17.109375" style="2" customWidth="1"/>
    <col min="12" max="12" width="1.109375" style="2" customWidth="1"/>
    <col min="13" max="13" width="12" style="5" customWidth="1"/>
    <col min="14" max="14" width="2.88671875" style="2" hidden="1" customWidth="1"/>
    <col min="15" max="17" width="14.44140625" style="2" hidden="1" customWidth="1"/>
    <col min="18" max="18" width="14.44140625" style="2" customWidth="1"/>
    <col min="19" max="16384" width="14.44140625" style="2"/>
  </cols>
  <sheetData>
    <row r="1" spans="1:17" ht="15" hidden="1" customHeight="1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</row>
    <row r="2" spans="1:17" ht="15" hidden="1" customHeight="1" thickBot="1" x14ac:dyDescent="0.3">
      <c r="A2" s="6"/>
      <c r="B2" s="8" t="s">
        <v>30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</row>
    <row r="3" spans="1:17" ht="15" hidden="1" customHeight="1" x14ac:dyDescent="0.25">
      <c r="A3" s="6"/>
      <c r="B3" s="9" t="s">
        <v>15</v>
      </c>
      <c r="C3" s="10"/>
      <c r="D3" s="10"/>
      <c r="E3" s="10"/>
      <c r="F3" s="10"/>
      <c r="G3" s="11"/>
      <c r="H3" s="6"/>
      <c r="I3" s="6"/>
      <c r="J3" s="6"/>
      <c r="K3" s="6"/>
      <c r="L3" s="6"/>
      <c r="M3" s="7"/>
      <c r="N3" s="6"/>
    </row>
    <row r="4" spans="1:17" ht="15" hidden="1" customHeight="1" x14ac:dyDescent="0.25">
      <c r="A4" s="6"/>
      <c r="B4" s="12" t="s">
        <v>35</v>
      </c>
      <c r="C4" s="13"/>
      <c r="D4" s="13"/>
      <c r="E4" s="13"/>
      <c r="F4" s="13"/>
      <c r="G4" s="14"/>
      <c r="H4" s="6"/>
      <c r="I4" s="6"/>
      <c r="J4" s="6"/>
      <c r="K4" s="6"/>
      <c r="L4" s="6"/>
      <c r="M4" s="7"/>
      <c r="N4" s="6"/>
      <c r="O4" s="3" t="s">
        <v>47</v>
      </c>
    </row>
    <row r="5" spans="1:17" ht="15" hidden="1" customHeight="1" x14ac:dyDescent="0.25">
      <c r="A5" s="6"/>
      <c r="B5" s="12" t="s">
        <v>31</v>
      </c>
      <c r="C5" s="13"/>
      <c r="D5" s="13"/>
      <c r="E5" s="13"/>
      <c r="F5" s="13"/>
      <c r="G5" s="14"/>
      <c r="H5" s="6"/>
      <c r="I5" s="6"/>
      <c r="J5" s="6"/>
      <c r="K5" s="6"/>
      <c r="L5" s="6"/>
      <c r="M5" s="7"/>
      <c r="N5" s="6"/>
      <c r="O5" s="2">
        <v>1</v>
      </c>
      <c r="P5" s="3" t="s">
        <v>52</v>
      </c>
    </row>
    <row r="6" spans="1:17" ht="15" hidden="1" customHeight="1" x14ac:dyDescent="0.25">
      <c r="A6" s="6"/>
      <c r="B6" s="12" t="s">
        <v>16</v>
      </c>
      <c r="C6" s="13"/>
      <c r="D6" s="13"/>
      <c r="E6" s="13"/>
      <c r="F6" s="13"/>
      <c r="G6" s="14"/>
      <c r="H6" s="6"/>
      <c r="I6" s="6"/>
      <c r="J6" s="6"/>
      <c r="K6" s="6"/>
      <c r="L6" s="6"/>
      <c r="M6" s="7"/>
      <c r="N6" s="6"/>
      <c r="O6" s="2">
        <f>1/4</f>
        <v>0.25</v>
      </c>
      <c r="P6" s="3" t="s">
        <v>73</v>
      </c>
    </row>
    <row r="7" spans="1:17" ht="15" hidden="1" customHeight="1" thickBot="1" x14ac:dyDescent="0.3">
      <c r="A7" s="6"/>
      <c r="B7" s="15" t="s">
        <v>34</v>
      </c>
      <c r="C7" s="16"/>
      <c r="D7" s="16"/>
      <c r="E7" s="16"/>
      <c r="F7" s="16"/>
      <c r="G7" s="17"/>
      <c r="H7" s="6"/>
      <c r="I7" s="6"/>
      <c r="J7" s="6"/>
      <c r="K7" s="6"/>
      <c r="L7" s="6"/>
      <c r="M7" s="7"/>
      <c r="N7" s="6"/>
      <c r="O7" s="2">
        <f>1/12</f>
        <v>8.3333333333333329E-2</v>
      </c>
      <c r="P7" s="3" t="s">
        <v>51</v>
      </c>
    </row>
    <row r="8" spans="1:17" ht="15" hidden="1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6"/>
    </row>
    <row r="9" spans="1:17" ht="15" hidden="1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6"/>
    </row>
    <row r="10" spans="1:17" ht="1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6"/>
    </row>
    <row r="11" spans="1:17" ht="15" customHeight="1" x14ac:dyDescent="0.25">
      <c r="A11" s="6"/>
      <c r="B11" s="87" t="s">
        <v>23</v>
      </c>
      <c r="C11" s="88"/>
      <c r="D11" s="88"/>
      <c r="E11" s="88"/>
      <c r="F11" s="88"/>
      <c r="G11" s="89"/>
      <c r="H11" s="18"/>
      <c r="I11" s="104" t="s">
        <v>9</v>
      </c>
      <c r="J11" s="105"/>
      <c r="K11" s="105"/>
      <c r="L11" s="105"/>
      <c r="M11" s="106"/>
      <c r="N11" s="6"/>
      <c r="P11" s="2" t="s">
        <v>52</v>
      </c>
    </row>
    <row r="12" spans="1:17" ht="15" customHeight="1" x14ac:dyDescent="0.25">
      <c r="A12" s="6"/>
      <c r="B12" s="90"/>
      <c r="C12" s="91"/>
      <c r="D12" s="91"/>
      <c r="E12" s="91"/>
      <c r="F12" s="91"/>
      <c r="G12" s="92"/>
      <c r="H12" s="19"/>
      <c r="I12" s="20" t="s">
        <v>2</v>
      </c>
      <c r="J12" s="21"/>
      <c r="K12" s="22">
        <v>2000</v>
      </c>
      <c r="L12" s="6"/>
      <c r="M12" s="23" t="s">
        <v>51</v>
      </c>
      <c r="N12" s="6"/>
      <c r="O12" s="2">
        <f t="shared" ref="O12:O18" si="0">INDEX($O$5:$O$7,MATCH($M12,$P$5:$P$7,0))</f>
        <v>8.3333333333333329E-2</v>
      </c>
      <c r="P12" s="2">
        <f>$K12*$O12</f>
        <v>166.66666666666666</v>
      </c>
      <c r="Q12" s="2" t="s">
        <v>54</v>
      </c>
    </row>
    <row r="13" spans="1:17" ht="15" customHeight="1" x14ac:dyDescent="0.25">
      <c r="A13" s="6"/>
      <c r="B13" s="93" t="s">
        <v>40</v>
      </c>
      <c r="C13" s="97" t="s">
        <v>37</v>
      </c>
      <c r="D13" s="97"/>
      <c r="E13" s="24"/>
      <c r="F13" s="98" t="s">
        <v>79</v>
      </c>
      <c r="G13" s="99"/>
      <c r="H13" s="19"/>
      <c r="I13" s="20" t="s">
        <v>42</v>
      </c>
      <c r="J13" s="21"/>
      <c r="K13" s="22">
        <v>0</v>
      </c>
      <c r="L13" s="6"/>
      <c r="M13" s="23" t="s">
        <v>52</v>
      </c>
      <c r="N13" s="6"/>
      <c r="O13" s="2">
        <f t="shared" si="0"/>
        <v>1</v>
      </c>
      <c r="P13" s="2">
        <f t="shared" ref="P13:P18" si="1">$K13*$O13</f>
        <v>0</v>
      </c>
      <c r="Q13" s="2" t="s">
        <v>55</v>
      </c>
    </row>
    <row r="14" spans="1:17" ht="15" customHeight="1" x14ac:dyDescent="0.25">
      <c r="A14" s="25"/>
      <c r="B14" s="94"/>
      <c r="C14" s="96" t="s">
        <v>38</v>
      </c>
      <c r="D14" s="96"/>
      <c r="E14" s="26"/>
      <c r="F14" s="100" t="s">
        <v>36</v>
      </c>
      <c r="G14" s="101"/>
      <c r="H14" s="25"/>
      <c r="I14" s="20" t="s">
        <v>43</v>
      </c>
      <c r="J14" s="21"/>
      <c r="K14" s="22">
        <v>0</v>
      </c>
      <c r="L14" s="6"/>
      <c r="M14" s="23" t="s">
        <v>52</v>
      </c>
      <c r="N14" s="13"/>
      <c r="O14" s="2">
        <f t="shared" si="0"/>
        <v>1</v>
      </c>
      <c r="P14" s="2">
        <f t="shared" si="1"/>
        <v>0</v>
      </c>
      <c r="Q14" s="2" t="s">
        <v>56</v>
      </c>
    </row>
    <row r="15" spans="1:17" ht="15" customHeight="1" x14ac:dyDescent="0.25">
      <c r="A15" s="25"/>
      <c r="B15" s="94"/>
      <c r="C15" s="96" t="s">
        <v>39</v>
      </c>
      <c r="D15" s="96"/>
      <c r="E15" s="26"/>
      <c r="F15" s="102" t="s">
        <v>41</v>
      </c>
      <c r="G15" s="103"/>
      <c r="H15" s="25"/>
      <c r="I15" s="20" t="s">
        <v>44</v>
      </c>
      <c r="J15" s="21"/>
      <c r="K15" s="22">
        <v>75</v>
      </c>
      <c r="L15" s="6"/>
      <c r="M15" s="23" t="s">
        <v>52</v>
      </c>
      <c r="N15" s="6"/>
      <c r="O15" s="2">
        <f t="shared" si="0"/>
        <v>1</v>
      </c>
      <c r="P15" s="2">
        <f t="shared" si="1"/>
        <v>75</v>
      </c>
      <c r="Q15" s="2" t="s">
        <v>57</v>
      </c>
    </row>
    <row r="16" spans="1:17" ht="15" customHeight="1" x14ac:dyDescent="0.25">
      <c r="A16" s="25"/>
      <c r="B16" s="95"/>
      <c r="C16" s="84" t="s">
        <v>8</v>
      </c>
      <c r="D16" s="84"/>
      <c r="E16" s="84"/>
      <c r="F16" s="84"/>
      <c r="G16" s="78">
        <v>100000</v>
      </c>
      <c r="H16" s="25"/>
      <c r="I16" s="20" t="s">
        <v>45</v>
      </c>
      <c r="J16" s="21"/>
      <c r="K16" s="22">
        <v>0</v>
      </c>
      <c r="L16" s="6"/>
      <c r="M16" s="23" t="s">
        <v>52</v>
      </c>
      <c r="N16" s="6"/>
      <c r="O16" s="2">
        <f t="shared" si="0"/>
        <v>1</v>
      </c>
      <c r="P16" s="2">
        <f t="shared" si="1"/>
        <v>0</v>
      </c>
      <c r="Q16" s="2" t="s">
        <v>58</v>
      </c>
    </row>
    <row r="17" spans="1:17" ht="15" customHeight="1" x14ac:dyDescent="0.25">
      <c r="A17" s="25"/>
      <c r="B17" s="6"/>
      <c r="C17" s="6"/>
      <c r="D17" s="6"/>
      <c r="E17" s="6"/>
      <c r="F17" s="6"/>
      <c r="G17" s="6"/>
      <c r="H17" s="25"/>
      <c r="I17" s="20" t="s">
        <v>46</v>
      </c>
      <c r="J17" s="21"/>
      <c r="K17" s="22">
        <v>0</v>
      </c>
      <c r="L17" s="6"/>
      <c r="M17" s="23" t="s">
        <v>52</v>
      </c>
      <c r="N17" s="6"/>
      <c r="O17" s="2">
        <f t="shared" si="0"/>
        <v>1</v>
      </c>
      <c r="P17" s="2">
        <f t="shared" si="1"/>
        <v>0</v>
      </c>
      <c r="Q17" s="2" t="s">
        <v>59</v>
      </c>
    </row>
    <row r="18" spans="1:17" ht="15" customHeight="1" x14ac:dyDescent="0.25">
      <c r="A18" s="25"/>
      <c r="B18" s="27" t="s">
        <v>29</v>
      </c>
      <c r="C18" s="27" t="s">
        <v>18</v>
      </c>
      <c r="D18" s="27" t="s">
        <v>19</v>
      </c>
      <c r="E18" s="28"/>
      <c r="F18" s="27" t="s">
        <v>20</v>
      </c>
      <c r="G18" s="27" t="s">
        <v>24</v>
      </c>
      <c r="H18" s="25"/>
      <c r="I18" s="20" t="s">
        <v>5</v>
      </c>
      <c r="J18" s="21"/>
      <c r="K18" s="22">
        <v>75</v>
      </c>
      <c r="L18" s="6"/>
      <c r="M18" s="23" t="s">
        <v>52</v>
      </c>
      <c r="N18" s="6"/>
      <c r="O18" s="2">
        <f t="shared" si="0"/>
        <v>1</v>
      </c>
      <c r="P18" s="2">
        <f t="shared" si="1"/>
        <v>75</v>
      </c>
      <c r="Q18" s="2" t="s">
        <v>60</v>
      </c>
    </row>
    <row r="19" spans="1:17" ht="15" customHeight="1" x14ac:dyDescent="0.25">
      <c r="A19" s="25"/>
      <c r="B19" s="29">
        <v>1</v>
      </c>
      <c r="C19" s="30"/>
      <c r="D19" s="31"/>
      <c r="E19" s="31"/>
      <c r="F19" s="22">
        <v>650</v>
      </c>
      <c r="G19" s="32">
        <v>995</v>
      </c>
      <c r="H19" s="25"/>
      <c r="I19" s="20" t="s">
        <v>21</v>
      </c>
      <c r="J19" s="21"/>
      <c r="K19" s="33">
        <v>0.08</v>
      </c>
      <c r="L19" s="6"/>
      <c r="M19" s="34"/>
      <c r="N19" s="6"/>
      <c r="P19" s="2">
        <f>K19</f>
        <v>0.08</v>
      </c>
      <c r="Q19" s="2" t="s">
        <v>61</v>
      </c>
    </row>
    <row r="20" spans="1:17" ht="15" customHeight="1" x14ac:dyDescent="0.25">
      <c r="A20" s="25"/>
      <c r="B20" s="29">
        <v>2</v>
      </c>
      <c r="C20" s="30"/>
      <c r="D20" s="31"/>
      <c r="E20" s="31"/>
      <c r="F20" s="22">
        <v>600</v>
      </c>
      <c r="G20" s="32">
        <v>795</v>
      </c>
      <c r="H20" s="25"/>
      <c r="I20" s="20" t="s">
        <v>4</v>
      </c>
      <c r="J20" s="21"/>
      <c r="K20" s="33">
        <v>0.05</v>
      </c>
      <c r="L20" s="6"/>
      <c r="M20" s="34"/>
      <c r="N20" s="6"/>
      <c r="P20" s="2">
        <f t="shared" ref="P20:P22" si="2">K20</f>
        <v>0.05</v>
      </c>
      <c r="Q20" s="2" t="s">
        <v>62</v>
      </c>
    </row>
    <row r="21" spans="1:17" ht="15" customHeight="1" x14ac:dyDescent="0.25">
      <c r="A21" s="25"/>
      <c r="B21" s="35">
        <v>3</v>
      </c>
      <c r="C21" s="30"/>
      <c r="D21" s="31"/>
      <c r="E21" s="31"/>
      <c r="F21" s="22">
        <v>0</v>
      </c>
      <c r="G21" s="32">
        <v>0</v>
      </c>
      <c r="H21" s="25"/>
      <c r="I21" s="20" t="s">
        <v>22</v>
      </c>
      <c r="J21" s="21"/>
      <c r="K21" s="33">
        <v>0.14000000000000001</v>
      </c>
      <c r="L21" s="6"/>
      <c r="M21" s="34"/>
      <c r="N21" s="6"/>
      <c r="P21" s="2">
        <f t="shared" si="2"/>
        <v>0.14000000000000001</v>
      </c>
      <c r="Q21" s="2" t="s">
        <v>63</v>
      </c>
    </row>
    <row r="22" spans="1:17" ht="15" customHeight="1" x14ac:dyDescent="0.25">
      <c r="A22" s="25"/>
      <c r="B22" s="35">
        <v>4</v>
      </c>
      <c r="C22" s="30"/>
      <c r="D22" s="31"/>
      <c r="E22" s="31"/>
      <c r="F22" s="22">
        <v>0</v>
      </c>
      <c r="G22" s="32">
        <v>0</v>
      </c>
      <c r="H22" s="25"/>
      <c r="I22" s="36" t="s">
        <v>80</v>
      </c>
      <c r="J22" s="37"/>
      <c r="K22" s="38">
        <v>20000</v>
      </c>
      <c r="L22" s="39"/>
      <c r="M22" s="40"/>
      <c r="N22" s="6"/>
      <c r="P22" s="2">
        <f t="shared" si="2"/>
        <v>20000</v>
      </c>
      <c r="Q22" s="2" t="s">
        <v>64</v>
      </c>
    </row>
    <row r="23" spans="1:17" ht="15" customHeight="1" x14ac:dyDescent="0.25">
      <c r="A23" s="25"/>
      <c r="B23" s="85" t="s">
        <v>25</v>
      </c>
      <c r="C23" s="86"/>
      <c r="D23" s="86"/>
      <c r="E23" s="41"/>
      <c r="F23" s="42">
        <f>SUM(F19:F22)</f>
        <v>1250</v>
      </c>
      <c r="G23" s="43">
        <f>SUM(G19:G22)</f>
        <v>1790</v>
      </c>
      <c r="H23" s="25"/>
      <c r="I23" s="6"/>
      <c r="J23" s="6"/>
      <c r="K23" s="6"/>
      <c r="L23" s="6"/>
      <c r="M23" s="7"/>
      <c r="N23" s="6"/>
    </row>
    <row r="24" spans="1:17" ht="15" customHeight="1" x14ac:dyDescent="0.25">
      <c r="A24" s="25"/>
      <c r="B24" s="6"/>
      <c r="C24" s="6"/>
      <c r="D24" s="25"/>
      <c r="E24" s="25"/>
      <c r="F24" s="6"/>
      <c r="G24" s="6"/>
      <c r="H24" s="25"/>
      <c r="I24" s="6"/>
      <c r="J24" s="6"/>
      <c r="K24" s="6"/>
      <c r="L24" s="6"/>
      <c r="M24" s="7"/>
      <c r="N24" s="6"/>
    </row>
    <row r="25" spans="1:17" ht="15" customHeight="1" x14ac:dyDescent="0.25">
      <c r="A25" s="25"/>
      <c r="B25" s="6"/>
      <c r="C25" s="6"/>
      <c r="D25" s="6"/>
      <c r="E25" s="21"/>
      <c r="F25" s="44" t="s">
        <v>17</v>
      </c>
      <c r="G25" s="45" t="s">
        <v>10</v>
      </c>
      <c r="H25" s="6"/>
      <c r="I25" s="6"/>
      <c r="J25" s="6"/>
      <c r="K25" s="6"/>
      <c r="L25" s="6"/>
      <c r="M25" s="7"/>
      <c r="N25" s="6"/>
    </row>
    <row r="26" spans="1:17" ht="15" customHeight="1" x14ac:dyDescent="0.25">
      <c r="A26" s="25"/>
      <c r="B26" s="104" t="s">
        <v>0</v>
      </c>
      <c r="C26" s="105"/>
      <c r="D26" s="105"/>
      <c r="E26" s="46"/>
      <c r="F26" s="47" t="s">
        <v>32</v>
      </c>
      <c r="G26" s="47" t="s">
        <v>32</v>
      </c>
      <c r="H26" s="6"/>
      <c r="I26" s="118" t="s">
        <v>50</v>
      </c>
      <c r="J26" s="119"/>
      <c r="K26" s="119"/>
      <c r="L26" s="119"/>
      <c r="M26" s="120"/>
      <c r="N26" s="6"/>
    </row>
    <row r="27" spans="1:17" ht="15" customHeight="1" x14ac:dyDescent="0.25">
      <c r="A27" s="25"/>
      <c r="B27" s="109" t="s">
        <v>25</v>
      </c>
      <c r="C27" s="96"/>
      <c r="D27" s="96"/>
      <c r="E27" s="6"/>
      <c r="F27" s="48">
        <f>F23</f>
        <v>1250</v>
      </c>
      <c r="G27" s="49">
        <f>G23</f>
        <v>1790</v>
      </c>
      <c r="H27" s="6"/>
      <c r="I27" s="20" t="s">
        <v>49</v>
      </c>
      <c r="J27" s="21"/>
      <c r="K27" s="50">
        <v>25</v>
      </c>
      <c r="L27" s="6"/>
      <c r="M27" s="51" t="s">
        <v>48</v>
      </c>
      <c r="N27" s="6"/>
      <c r="P27" s="2">
        <f>K27</f>
        <v>25</v>
      </c>
      <c r="Q27" s="2" t="s">
        <v>71</v>
      </c>
    </row>
    <row r="28" spans="1:17" ht="15" customHeight="1" x14ac:dyDescent="0.25">
      <c r="A28" s="25"/>
      <c r="B28" s="116" t="s">
        <v>1</v>
      </c>
      <c r="C28" s="117"/>
      <c r="D28" s="117"/>
      <c r="E28" s="6"/>
      <c r="F28" s="52">
        <f>F$27*ManagementPercent</f>
        <v>100</v>
      </c>
      <c r="G28" s="53">
        <f>G$27*ManagementPercent</f>
        <v>143.20000000000002</v>
      </c>
      <c r="H28" s="6"/>
      <c r="I28" s="20" t="s">
        <v>3</v>
      </c>
      <c r="J28" s="21"/>
      <c r="K28" s="33">
        <v>0.2</v>
      </c>
      <c r="L28" s="6"/>
      <c r="M28" s="34"/>
      <c r="N28" s="6"/>
      <c r="P28" s="2">
        <f t="shared" ref="P28:P29" si="3">K28</f>
        <v>0.2</v>
      </c>
      <c r="Q28" s="2" t="s">
        <v>72</v>
      </c>
    </row>
    <row r="29" spans="1:17" ht="15" customHeight="1" x14ac:dyDescent="0.25">
      <c r="A29" s="25"/>
      <c r="B29" s="116" t="s">
        <v>2</v>
      </c>
      <c r="C29" s="117"/>
      <c r="D29" s="117"/>
      <c r="E29" s="6"/>
      <c r="F29" s="52">
        <f>PropTaxesPerMo</f>
        <v>166.66666666666666</v>
      </c>
      <c r="G29" s="53">
        <f>PropTaxesPerMo</f>
        <v>166.66666666666666</v>
      </c>
      <c r="H29" s="6"/>
      <c r="I29" s="20" t="s">
        <v>6</v>
      </c>
      <c r="J29" s="21"/>
      <c r="K29" s="33">
        <v>6.5000000000000002E-2</v>
      </c>
      <c r="L29" s="6"/>
      <c r="M29" s="34"/>
      <c r="N29" s="6"/>
      <c r="P29" s="2">
        <f t="shared" si="3"/>
        <v>6.5000000000000002E-2</v>
      </c>
      <c r="Q29" s="2" t="s">
        <v>65</v>
      </c>
    </row>
    <row r="30" spans="1:17" ht="15" customHeight="1" x14ac:dyDescent="0.25">
      <c r="A30" s="54"/>
      <c r="B30" s="116" t="s">
        <v>5</v>
      </c>
      <c r="C30" s="117"/>
      <c r="D30" s="117"/>
      <c r="E30" s="6"/>
      <c r="F30" s="52">
        <f>InsPerMo</f>
        <v>75</v>
      </c>
      <c r="G30" s="53">
        <f>InsPerMo</f>
        <v>75</v>
      </c>
      <c r="H30" s="6"/>
      <c r="I30" s="20" t="s">
        <v>8</v>
      </c>
      <c r="J30" s="21"/>
      <c r="K30" s="55">
        <f>G16</f>
        <v>100000</v>
      </c>
      <c r="L30" s="6"/>
      <c r="M30" s="56"/>
      <c r="N30" s="6"/>
    </row>
    <row r="31" spans="1:17" ht="15" customHeight="1" x14ac:dyDescent="0.25">
      <c r="A31" s="25"/>
      <c r="B31" s="114" t="s">
        <v>26</v>
      </c>
      <c r="C31" s="115"/>
      <c r="D31" s="115"/>
      <c r="E31" s="6"/>
      <c r="F31" s="52">
        <f>SUM(ElecPerMo,GasPerMo,WaterPerMo,MiscPerMo,LawnEtcPerMo)</f>
        <v>75</v>
      </c>
      <c r="G31" s="53">
        <f>SUM(ElecPerMo,GasPerMo,WaterPerMo,MiscPerMo,LawnEtcPerMo)</f>
        <v>75</v>
      </c>
      <c r="H31" s="6"/>
      <c r="I31" s="57" t="s">
        <v>27</v>
      </c>
      <c r="J31" s="58"/>
      <c r="K31" s="59">
        <f>1-LoanDownPmtPercent</f>
        <v>0.8</v>
      </c>
      <c r="L31" s="6"/>
      <c r="M31" s="34"/>
      <c r="N31" s="6"/>
    </row>
    <row r="32" spans="1:17" ht="15" customHeight="1" x14ac:dyDescent="0.25">
      <c r="A32" s="25"/>
      <c r="B32" s="114" t="s">
        <v>4</v>
      </c>
      <c r="C32" s="115"/>
      <c r="D32" s="115"/>
      <c r="E32" s="6"/>
      <c r="F32" s="52">
        <f>F$27*VacancyPercent</f>
        <v>62.5</v>
      </c>
      <c r="G32" s="53">
        <f>G$27*VacancyPercent</f>
        <v>89.5</v>
      </c>
      <c r="H32" s="6"/>
      <c r="I32" s="60" t="s">
        <v>3</v>
      </c>
      <c r="J32" s="61"/>
      <c r="K32" s="55">
        <f>K30*K28</f>
        <v>20000</v>
      </c>
      <c r="L32" s="6"/>
      <c r="M32" s="34"/>
      <c r="N32" s="6"/>
    </row>
    <row r="33" spans="1:17" ht="15" customHeight="1" x14ac:dyDescent="0.25">
      <c r="A33" s="25"/>
      <c r="B33" s="114" t="s">
        <v>11</v>
      </c>
      <c r="C33" s="115"/>
      <c r="D33" s="115"/>
      <c r="E33" s="6"/>
      <c r="F33" s="52">
        <f>F$27*MaintCapXPercent</f>
        <v>175.00000000000003</v>
      </c>
      <c r="G33" s="53">
        <f>G$27*MaintCapXPercent</f>
        <v>250.60000000000002</v>
      </c>
      <c r="H33" s="6"/>
      <c r="I33" s="62" t="s">
        <v>28</v>
      </c>
      <c r="J33" s="13"/>
      <c r="K33" s="55">
        <f>K30*K31</f>
        <v>80000</v>
      </c>
      <c r="L33" s="6"/>
      <c r="M33" s="34"/>
      <c r="N33" s="6"/>
    </row>
    <row r="34" spans="1:17" ht="15" customHeight="1" x14ac:dyDescent="0.25">
      <c r="A34" s="25"/>
      <c r="B34" s="112" t="s">
        <v>14</v>
      </c>
      <c r="C34" s="113"/>
      <c r="D34" s="113"/>
      <c r="E34" s="6"/>
      <c r="F34" s="63">
        <f>SUM(F28:F33)</f>
        <v>654.16666666666663</v>
      </c>
      <c r="G34" s="64">
        <f>SUM(G28:G33)</f>
        <v>799.9666666666667</v>
      </c>
      <c r="H34" s="6"/>
      <c r="I34" s="65" t="s">
        <v>53</v>
      </c>
      <c r="J34" s="66"/>
      <c r="K34" s="67">
        <f>-PMT(LoanIntRate/12,LoanTermYears*12, K33)</f>
        <v>540.16572907811167</v>
      </c>
      <c r="L34" s="39"/>
      <c r="M34" s="68" t="s">
        <v>52</v>
      </c>
      <c r="N34" s="6"/>
    </row>
    <row r="35" spans="1:17" ht="15" customHeight="1" x14ac:dyDescent="0.25">
      <c r="A35" s="25"/>
      <c r="B35" s="110" t="s">
        <v>7</v>
      </c>
      <c r="C35" s="111"/>
      <c r="D35" s="111"/>
      <c r="E35" s="69"/>
      <c r="F35" s="70">
        <f>F27-SUM(F28:F33)</f>
        <v>595.83333333333337</v>
      </c>
      <c r="G35" s="71">
        <f>G27-G34</f>
        <v>990.0333333333333</v>
      </c>
      <c r="H35" s="6"/>
      <c r="I35" s="6"/>
      <c r="J35" s="6"/>
      <c r="K35" s="6"/>
      <c r="L35" s="6"/>
      <c r="M35" s="7"/>
      <c r="N35" s="6"/>
    </row>
    <row r="36" spans="1:17" ht="15" customHeight="1" x14ac:dyDescent="0.25">
      <c r="A36" s="25"/>
      <c r="B36" s="109" t="s">
        <v>12</v>
      </c>
      <c r="C36" s="96"/>
      <c r="D36" s="96"/>
      <c r="E36" s="6"/>
      <c r="F36" s="72">
        <f>F35/K34</f>
        <v>1.1030565273924882</v>
      </c>
      <c r="G36" s="49">
        <f>G35/K34</f>
        <v>1.8328325549697502</v>
      </c>
      <c r="H36" s="6"/>
      <c r="I36" s="6"/>
      <c r="J36" s="6"/>
      <c r="K36" s="6"/>
      <c r="L36" s="6"/>
      <c r="M36" s="7"/>
      <c r="N36" s="6"/>
    </row>
    <row r="37" spans="1:17" ht="15" customHeight="1" x14ac:dyDescent="0.25">
      <c r="A37" s="25"/>
      <c r="B37" s="109" t="s">
        <v>13</v>
      </c>
      <c r="C37" s="96"/>
      <c r="D37" s="96"/>
      <c r="E37" s="6"/>
      <c r="F37" s="72">
        <f>F35-K34</f>
        <v>55.667604255221704</v>
      </c>
      <c r="G37" s="49">
        <f>G35-K34</f>
        <v>449.86760425522164</v>
      </c>
      <c r="H37" s="6"/>
      <c r="I37" s="6"/>
      <c r="J37" s="6"/>
      <c r="K37" s="6"/>
      <c r="L37" s="6"/>
      <c r="M37" s="7"/>
      <c r="N37" s="6"/>
    </row>
    <row r="38" spans="1:17" ht="15" customHeight="1" x14ac:dyDescent="0.25">
      <c r="A38" s="25"/>
      <c r="B38" s="107" t="s">
        <v>33</v>
      </c>
      <c r="C38" s="108"/>
      <c r="D38" s="108"/>
      <c r="E38" s="39"/>
      <c r="F38" s="73">
        <f>(F37*12)/K32</f>
        <v>3.340056255313302E-2</v>
      </c>
      <c r="G38" s="74">
        <f>(G37*12)/(K32+RepairBudgetToStabilize)</f>
        <v>0.13496028127656651</v>
      </c>
      <c r="H38" s="6"/>
      <c r="I38" s="6"/>
      <c r="J38" s="6"/>
      <c r="K38" s="6"/>
      <c r="L38" s="6"/>
      <c r="M38" s="7"/>
      <c r="N38" s="6"/>
    </row>
    <row r="39" spans="1:17" ht="15" customHeight="1" x14ac:dyDescent="0.25">
      <c r="A39" s="2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  <c r="N39" s="6"/>
    </row>
    <row r="40" spans="1:17" ht="15" customHeight="1" x14ac:dyDescent="0.25">
      <c r="A40" s="25"/>
      <c r="B40" s="121" t="str">
        <f>"      Refinancing"</f>
        <v xml:space="preserve">      Refinancing</v>
      </c>
      <c r="C40" s="121"/>
      <c r="D40" s="39"/>
      <c r="E40" s="6"/>
      <c r="F40" s="6"/>
      <c r="G40" s="6"/>
      <c r="H40" s="6"/>
      <c r="I40" s="6"/>
      <c r="J40" s="6"/>
      <c r="K40" s="6"/>
      <c r="L40" s="6"/>
      <c r="M40" s="7"/>
      <c r="N40" s="6"/>
    </row>
    <row r="41" spans="1:17" ht="15" customHeight="1" x14ac:dyDescent="0.25">
      <c r="A41" s="25"/>
      <c r="B41" s="118" t="str">
        <f>IF($P$41,"Refinance Analysis","")</f>
        <v>Refinance Analysis</v>
      </c>
      <c r="C41" s="119"/>
      <c r="D41" s="119"/>
      <c r="E41" s="119"/>
      <c r="F41" s="120"/>
      <c r="G41" s="6"/>
      <c r="H41" s="6"/>
      <c r="I41" s="118" t="str">
        <f>IF($P$41,"Refinance Calculator","")</f>
        <v>Refinance Calculator</v>
      </c>
      <c r="J41" s="119"/>
      <c r="K41" s="119"/>
      <c r="L41" s="119"/>
      <c r="M41" s="120"/>
      <c r="N41" s="6"/>
      <c r="P41" s="79" t="b">
        <v>1</v>
      </c>
    </row>
    <row r="42" spans="1:17" ht="15" customHeight="1" x14ac:dyDescent="0.25">
      <c r="A42" s="25"/>
      <c r="B42" s="104" t="str">
        <f>IF($P$41,"Item","")</f>
        <v>Item</v>
      </c>
      <c r="C42" s="105"/>
      <c r="D42" s="105"/>
      <c r="E42" s="46"/>
      <c r="F42" s="75" t="str">
        <f>IF($P$41,"$/Mo","")</f>
        <v>$/Mo</v>
      </c>
      <c r="G42" s="6"/>
      <c r="H42" s="25"/>
      <c r="I42" s="20" t="str">
        <f>IF($P$41,"Loan Term (Years)","")</f>
        <v>Loan Term (Years)</v>
      </c>
      <c r="J42" s="6"/>
      <c r="K42" s="50">
        <v>25</v>
      </c>
      <c r="L42" s="6"/>
      <c r="M42" s="51" t="str">
        <f>IF($P$41,"years","")</f>
        <v>years</v>
      </c>
      <c r="N42" s="6"/>
      <c r="P42" s="2">
        <f>K42</f>
        <v>25</v>
      </c>
      <c r="Q42" s="2" t="s">
        <v>70</v>
      </c>
    </row>
    <row r="43" spans="1:17" ht="15" customHeight="1" x14ac:dyDescent="0.25">
      <c r="A43" s="25"/>
      <c r="B43" s="109" t="str">
        <f>IF($P$41,"Total Rent","")</f>
        <v>Total Rent</v>
      </c>
      <c r="C43" s="96"/>
      <c r="D43" s="96"/>
      <c r="E43" s="6"/>
      <c r="F43" s="49">
        <f>IF($P$41,G23,"")</f>
        <v>1790</v>
      </c>
      <c r="G43" s="6"/>
      <c r="H43" s="25"/>
      <c r="I43" s="20" t="str">
        <f>IF($P$41,"Down Payment","")</f>
        <v>Down Payment</v>
      </c>
      <c r="J43" s="6"/>
      <c r="K43" s="33">
        <v>0.2</v>
      </c>
      <c r="L43" s="6"/>
      <c r="M43" s="34"/>
      <c r="N43" s="6"/>
      <c r="P43" s="2">
        <f t="shared" ref="P43:P45" si="4">K43</f>
        <v>0.2</v>
      </c>
      <c r="Q43" s="2" t="s">
        <v>69</v>
      </c>
    </row>
    <row r="44" spans="1:17" ht="15" customHeight="1" x14ac:dyDescent="0.25">
      <c r="A44" s="25"/>
      <c r="B44" s="116" t="str">
        <f>IF($P$41,"Property Management","")</f>
        <v>Property Management</v>
      </c>
      <c r="C44" s="117"/>
      <c r="D44" s="117"/>
      <c r="E44" s="6"/>
      <c r="F44" s="53">
        <f>IF($P$41,F$43*ManagementPercent,"")</f>
        <v>143.20000000000002</v>
      </c>
      <c r="G44" s="6"/>
      <c r="H44" s="25"/>
      <c r="I44" s="20" t="str">
        <f>IF($P$41,"Interest Rate","")</f>
        <v>Interest Rate</v>
      </c>
      <c r="J44" s="6"/>
      <c r="K44" s="33">
        <v>6.5000000000000002E-2</v>
      </c>
      <c r="L44" s="6"/>
      <c r="M44" s="34"/>
      <c r="N44" s="6"/>
      <c r="P44" s="2">
        <f t="shared" si="4"/>
        <v>6.5000000000000002E-2</v>
      </c>
      <c r="Q44" s="2" t="s">
        <v>66</v>
      </c>
    </row>
    <row r="45" spans="1:17" ht="15" customHeight="1" x14ac:dyDescent="0.25">
      <c r="A45" s="25"/>
      <c r="B45" s="116" t="str">
        <f>IF($P$41,"Property Taxes","")</f>
        <v>Property Taxes</v>
      </c>
      <c r="C45" s="117"/>
      <c r="D45" s="117"/>
      <c r="E45" s="6"/>
      <c r="F45" s="53">
        <f>IF($P$41,PropTaxesPerMo,"")</f>
        <v>166.66666666666666</v>
      </c>
      <c r="G45" s="6"/>
      <c r="H45" s="25"/>
      <c r="I45" s="20" t="str">
        <f>IF($P$41,"Refi Repair Budget","")</f>
        <v>Refi Repair Budget</v>
      </c>
      <c r="J45" s="6"/>
      <c r="K45" s="80">
        <f>K22</f>
        <v>20000</v>
      </c>
      <c r="L45" s="6"/>
      <c r="M45" s="34"/>
      <c r="N45" s="6"/>
      <c r="P45" s="2">
        <f t="shared" si="4"/>
        <v>20000</v>
      </c>
      <c r="Q45" s="2" t="s">
        <v>67</v>
      </c>
    </row>
    <row r="46" spans="1:17" ht="15" customHeight="1" x14ac:dyDescent="0.25">
      <c r="A46" s="25"/>
      <c r="B46" s="116" t="str">
        <f>IF($P$41,"Insurance","")</f>
        <v>Insurance</v>
      </c>
      <c r="C46" s="117"/>
      <c r="D46" s="117"/>
      <c r="E46" s="6"/>
      <c r="F46" s="53">
        <f>IF($P$41,InsPerMo,"")</f>
        <v>75</v>
      </c>
      <c r="G46" s="6"/>
      <c r="H46" s="25"/>
      <c r="I46" s="20" t="str">
        <f>IF($P$41,"After Repair Value","")</f>
        <v>After Repair Value</v>
      </c>
      <c r="J46" s="6"/>
      <c r="K46" s="22">
        <v>160000</v>
      </c>
      <c r="L46" s="6"/>
      <c r="M46" s="34"/>
      <c r="N46" s="6"/>
      <c r="P46" s="2">
        <f>K46</f>
        <v>160000</v>
      </c>
      <c r="Q46" s="2" t="s">
        <v>68</v>
      </c>
    </row>
    <row r="47" spans="1:17" ht="15" customHeight="1" x14ac:dyDescent="0.25">
      <c r="A47" s="25"/>
      <c r="B47" s="114" t="str">
        <f>IF($P$41,"Owner Utilities/Misc","")</f>
        <v>Owner Utilities/Misc</v>
      </c>
      <c r="C47" s="115"/>
      <c r="D47" s="115"/>
      <c r="E47" s="6"/>
      <c r="F47" s="53">
        <f>IF($P$41,SUM(ElecPerMo,GasPerMo,WaterPerMo,MiscPerMo,LawnEtcPerMo),"")</f>
        <v>75</v>
      </c>
      <c r="G47" s="6"/>
      <c r="H47" s="25"/>
      <c r="I47" s="57" t="str">
        <f>IF($P$41,"Loan to Value","")</f>
        <v>Loan to Value</v>
      </c>
      <c r="J47" s="6"/>
      <c r="K47" s="59">
        <f>IF($P$41,1-RefiDownPmtPercent,"")</f>
        <v>0.8</v>
      </c>
      <c r="L47" s="6"/>
      <c r="M47" s="34"/>
      <c r="N47" s="6"/>
    </row>
    <row r="48" spans="1:17" ht="15" customHeight="1" x14ac:dyDescent="0.25">
      <c r="A48" s="25"/>
      <c r="B48" s="114" t="str">
        <f>IF($P$41,"Vacancy","")</f>
        <v>Vacancy</v>
      </c>
      <c r="C48" s="115"/>
      <c r="D48" s="115"/>
      <c r="E48" s="6"/>
      <c r="F48" s="53">
        <f>IF($P$41,F$43*VacancyPercent,"")</f>
        <v>89.5</v>
      </c>
      <c r="G48" s="6"/>
      <c r="H48" s="25"/>
      <c r="I48" s="62" t="str">
        <f>IF($P$41,"$ Left In Deal","")</f>
        <v>$ Left In Deal</v>
      </c>
      <c r="J48" s="6"/>
      <c r="K48" s="76">
        <f>IF($P$41,-K49+SUM(K32,RefiRepairBudget,K33),"")</f>
        <v>-8000</v>
      </c>
      <c r="L48" s="6"/>
      <c r="M48" s="34"/>
      <c r="N48" s="6"/>
    </row>
    <row r="49" spans="1:14" ht="15" customHeight="1" x14ac:dyDescent="0.25">
      <c r="A49" s="25"/>
      <c r="B49" s="114" t="str">
        <f>IF($P$41,"Maintenance and Cap X","")</f>
        <v>Maintenance and Cap X</v>
      </c>
      <c r="C49" s="115"/>
      <c r="D49" s="115"/>
      <c r="E49" s="6"/>
      <c r="F49" s="53">
        <f>IF($P$41,F$43*MaintCapXPercent,"")</f>
        <v>250.60000000000002</v>
      </c>
      <c r="G49" s="6"/>
      <c r="H49" s="25"/>
      <c r="I49" s="62" t="str">
        <f>IF($P$41,"Loan Total","")</f>
        <v>Loan Total</v>
      </c>
      <c r="J49" s="6"/>
      <c r="K49" s="55">
        <f>IF($P$41,RefiAfterRepairValue*K47,"")</f>
        <v>128000</v>
      </c>
      <c r="L49" s="6"/>
      <c r="M49" s="34"/>
      <c r="N49" s="6"/>
    </row>
    <row r="50" spans="1:14" ht="15" customHeight="1" x14ac:dyDescent="0.25">
      <c r="A50" s="25"/>
      <c r="B50" s="112" t="str">
        <f>IF($P$41,"Total Op Expenses","")</f>
        <v>Total Op Expenses</v>
      </c>
      <c r="C50" s="113"/>
      <c r="D50" s="113"/>
      <c r="E50" s="6"/>
      <c r="F50" s="64">
        <f>IF($P$41,SUM(F44:F49),"")</f>
        <v>799.9666666666667</v>
      </c>
      <c r="G50" s="6"/>
      <c r="H50" s="25"/>
      <c r="I50" s="65" t="str">
        <f>IF($P$41,"Mortgage","")</f>
        <v>Mortgage</v>
      </c>
      <c r="J50" s="39"/>
      <c r="K50" s="67">
        <f>IF($P$41,-PMT(RefiIntRate/12,RefiLoanTermYears*12, K49),"")</f>
        <v>864.26516652497878</v>
      </c>
      <c r="L50" s="39"/>
      <c r="M50" s="68" t="str">
        <f>IF($P$41,"per month","")</f>
        <v>per month</v>
      </c>
      <c r="N50" s="6"/>
    </row>
    <row r="51" spans="1:14" ht="15" customHeight="1" x14ac:dyDescent="0.25">
      <c r="A51" s="25"/>
      <c r="B51" s="110" t="str">
        <f>IF($P$41,"Monthly NOI","")</f>
        <v>Monthly NOI</v>
      </c>
      <c r="C51" s="111"/>
      <c r="D51" s="111"/>
      <c r="E51" s="69"/>
      <c r="F51" s="71">
        <f>IF($P$41,F43-F50,"")</f>
        <v>990.0333333333333</v>
      </c>
      <c r="G51" s="6"/>
      <c r="H51" s="25"/>
      <c r="I51" s="6"/>
      <c r="J51" s="6"/>
      <c r="K51" s="6"/>
      <c r="L51" s="6"/>
      <c r="M51" s="7"/>
      <c r="N51" s="6"/>
    </row>
    <row r="52" spans="1:14" ht="15" customHeight="1" x14ac:dyDescent="0.25">
      <c r="A52" s="25"/>
      <c r="B52" s="109" t="str">
        <f>IF($P$41,"DSCR","")</f>
        <v>DSCR</v>
      </c>
      <c r="C52" s="96"/>
      <c r="D52" s="96"/>
      <c r="E52" s="6"/>
      <c r="F52" s="49">
        <f>IF($P$41,F51/K50,"")</f>
        <v>1.1455203468560937</v>
      </c>
      <c r="G52" s="6"/>
      <c r="H52" s="25"/>
      <c r="I52" s="6"/>
      <c r="J52" s="6"/>
      <c r="K52" s="6"/>
      <c r="L52" s="6"/>
      <c r="M52" s="7"/>
      <c r="N52" s="6"/>
    </row>
    <row r="53" spans="1:14" ht="15" customHeight="1" x14ac:dyDescent="0.25">
      <c r="A53" s="25"/>
      <c r="B53" s="109" t="str">
        <f>IF($P$41,"Monthly Cashflow","")</f>
        <v>Monthly Cashflow</v>
      </c>
      <c r="C53" s="96"/>
      <c r="D53" s="96"/>
      <c r="E53" s="6"/>
      <c r="F53" s="49">
        <f>IF($P$41,F51-K50,"")</f>
        <v>125.76816680835452</v>
      </c>
      <c r="G53" s="6"/>
      <c r="H53" s="25"/>
      <c r="I53" s="6"/>
      <c r="J53" s="6"/>
      <c r="K53" s="6"/>
      <c r="L53" s="6"/>
      <c r="M53" s="7"/>
      <c r="N53" s="6"/>
    </row>
    <row r="54" spans="1:14" ht="15" customHeight="1" x14ac:dyDescent="0.25">
      <c r="A54" s="25"/>
      <c r="B54" s="107" t="str">
        <f>IF($P$41,"Cash On Cash %","")</f>
        <v>Cash On Cash %</v>
      </c>
      <c r="C54" s="108"/>
      <c r="D54" s="108"/>
      <c r="E54" s="39"/>
      <c r="F54" s="77">
        <f>IF($P$41,(F53*12)/K48,"")</f>
        <v>-0.18865225021253179</v>
      </c>
      <c r="G54" s="6"/>
      <c r="H54" s="25"/>
      <c r="I54" s="6"/>
      <c r="J54" s="6"/>
      <c r="K54" s="6"/>
      <c r="L54" s="6"/>
      <c r="M54" s="7"/>
      <c r="N54" s="6"/>
    </row>
    <row r="55" spans="1:14" ht="15" customHeight="1" x14ac:dyDescent="0.25">
      <c r="A55" s="25"/>
      <c r="B55" s="6"/>
      <c r="C55" s="6"/>
      <c r="D55" s="6"/>
      <c r="E55" s="6"/>
      <c r="F55" s="6"/>
      <c r="G55" s="6"/>
      <c r="H55" s="25"/>
      <c r="I55" s="6"/>
      <c r="J55" s="6"/>
      <c r="K55" s="6"/>
      <c r="L55" s="6"/>
      <c r="M55" s="7"/>
      <c r="N55" s="6"/>
    </row>
    <row r="56" spans="1:14" ht="15" customHeight="1" x14ac:dyDescent="0.25">
      <c r="A56" s="4"/>
      <c r="H56" s="4"/>
    </row>
    <row r="57" spans="1:14" ht="15" customHeight="1" x14ac:dyDescent="0.25">
      <c r="A57" s="4"/>
      <c r="H57" s="4"/>
    </row>
    <row r="58" spans="1:14" ht="15" customHeight="1" x14ac:dyDescent="0.25">
      <c r="A58" s="4"/>
      <c r="H58" s="4"/>
    </row>
    <row r="59" spans="1:14" ht="15" customHeight="1" x14ac:dyDescent="0.25">
      <c r="A59" s="4"/>
      <c r="H59" s="4"/>
    </row>
    <row r="60" spans="1:14" ht="15" customHeight="1" x14ac:dyDescent="0.25">
      <c r="A60" s="4"/>
      <c r="H60" s="4"/>
    </row>
    <row r="61" spans="1:14" ht="15" customHeight="1" x14ac:dyDescent="0.25">
      <c r="A61" s="4"/>
      <c r="H61" s="4"/>
    </row>
  </sheetData>
  <sheetProtection selectLockedCells="1"/>
  <mergeCells count="41">
    <mergeCell ref="B45:D45"/>
    <mergeCell ref="B44:D44"/>
    <mergeCell ref="B43:D43"/>
    <mergeCell ref="B42:D42"/>
    <mergeCell ref="B41:F41"/>
    <mergeCell ref="I41:M41"/>
    <mergeCell ref="B28:D28"/>
    <mergeCell ref="B27:D27"/>
    <mergeCell ref="B26:D26"/>
    <mergeCell ref="I26:M26"/>
    <mergeCell ref="B32:D32"/>
    <mergeCell ref="B31:D31"/>
    <mergeCell ref="B30:D30"/>
    <mergeCell ref="B29:D29"/>
    <mergeCell ref="B40:C40"/>
    <mergeCell ref="I11:M11"/>
    <mergeCell ref="B54:D54"/>
    <mergeCell ref="B53:D53"/>
    <mergeCell ref="B52:D52"/>
    <mergeCell ref="B51:D51"/>
    <mergeCell ref="B50:D50"/>
    <mergeCell ref="B38:D38"/>
    <mergeCell ref="B37:D37"/>
    <mergeCell ref="B36:D36"/>
    <mergeCell ref="B35:D35"/>
    <mergeCell ref="B34:D34"/>
    <mergeCell ref="B33:D33"/>
    <mergeCell ref="B49:D49"/>
    <mergeCell ref="B48:D48"/>
    <mergeCell ref="B47:D47"/>
    <mergeCell ref="B46:D46"/>
    <mergeCell ref="C16:F16"/>
    <mergeCell ref="B23:D23"/>
    <mergeCell ref="B11:G12"/>
    <mergeCell ref="B13:B16"/>
    <mergeCell ref="C15:D15"/>
    <mergeCell ref="C14:D14"/>
    <mergeCell ref="C13:D13"/>
    <mergeCell ref="F13:G13"/>
    <mergeCell ref="F14:G14"/>
    <mergeCell ref="F15:G15"/>
  </mergeCells>
  <phoneticPr fontId="11" type="noConversion"/>
  <conditionalFormatting sqref="B41:M54">
    <cfRule type="expression" dxfId="1" priority="1">
      <formula>NOT($P$41)</formula>
    </cfRule>
  </conditionalFormatting>
  <conditionalFormatting sqref="F13:G15 G16 K12:K22 K27:K29 K42:K46 F19:G22">
    <cfRule type="expression" dxfId="0" priority="2">
      <formula>TRUE</formula>
    </cfRule>
  </conditionalFormatting>
  <dataValidations count="1">
    <dataValidation type="list" allowBlank="1" showInputMessage="1" showErrorMessage="1" sqref="M12:M18" xr:uid="{A2C6DEFE-9420-47CB-8B38-904E24C45CCE}">
      <formula1>$P$5:$P$7</formula1>
    </dataValidation>
  </dataValidations>
  <printOptions horizontalCentered="1"/>
  <pageMargins left="0.7" right="0.7" top="0.75" bottom="0.75" header="0" footer="0"/>
  <pageSetup scale="70" pageOrder="overThenDown" orientation="portrait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How To</vt:lpstr>
      <vt:lpstr>Calculator</vt:lpstr>
      <vt:lpstr>ElecPerMo</vt:lpstr>
      <vt:lpstr>GasPerMo</vt:lpstr>
      <vt:lpstr>InsPerMo</vt:lpstr>
      <vt:lpstr>LawnEtcPerMo</vt:lpstr>
      <vt:lpstr>LoanDownPmtPercent</vt:lpstr>
      <vt:lpstr>LoanIntRate</vt:lpstr>
      <vt:lpstr>LoanTermYears</vt:lpstr>
      <vt:lpstr>MaintCapXPercent</vt:lpstr>
      <vt:lpstr>ManagementPercent</vt:lpstr>
      <vt:lpstr>MiscPerMo</vt:lpstr>
      <vt:lpstr>PropTaxesPerMo</vt:lpstr>
      <vt:lpstr>RefiAfterRepairValue</vt:lpstr>
      <vt:lpstr>RefiDownPmtPercent</vt:lpstr>
      <vt:lpstr>RefiIntRate</vt:lpstr>
      <vt:lpstr>RefiLoanTermYears</vt:lpstr>
      <vt:lpstr>RefiRepairBudget</vt:lpstr>
      <vt:lpstr>RepairBudgetToStabilize</vt:lpstr>
      <vt:lpstr>VacancyPercent</vt:lpstr>
      <vt:lpstr>WaterPerMo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 </cp:lastModifiedBy>
  <cp:lastPrinted>2023-01-05T22:53:22Z</cp:lastPrinted>
  <dcterms:created xsi:type="dcterms:W3CDTF">2022-11-22T17:07:41Z</dcterms:created>
  <dcterms:modified xsi:type="dcterms:W3CDTF">2023-03-09T02:19:44Z</dcterms:modified>
</cp:coreProperties>
</file>