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210" activeTab="1"/>
  </bookViews>
  <sheets>
    <sheet name="Dolares" sheetId="3" r:id="rId1"/>
    <sheet name="Colones" sheetId="4" r:id="rId2"/>
  </sheets>
  <externalReferences>
    <externalReference r:id="rId3"/>
  </externalReferences>
  <definedNames>
    <definedName name="E1FrecuenciaDePago" localSheetId="1">Colones!$B$13</definedName>
    <definedName name="E1FrecuenciaDePago" localSheetId="0">Dolares!$B$13</definedName>
    <definedName name="E1FrecuenciaDePago">#REF!</definedName>
    <definedName name="E1Interés" localSheetId="1">Colones!$B$14</definedName>
    <definedName name="E1Interés" localSheetId="0">Dolares!$B$14</definedName>
    <definedName name="E1Interés">#REF!</definedName>
    <definedName name="E1InterésTotal" localSheetId="1">Colones!$B$17</definedName>
    <definedName name="E1InterésTotal" localSheetId="0">Dolares!$B$17</definedName>
    <definedName name="E1InterésTotal">#REF!</definedName>
    <definedName name="E1PagoProgramado" localSheetId="1">Colones!$B$15</definedName>
    <definedName name="E1PagoProgramado" localSheetId="0">Dolares!$B$15</definedName>
    <definedName name="E1PagoProgramado">#REF!</definedName>
    <definedName name="E1PlazoDelPréstamo" localSheetId="1">Colones!$B$12</definedName>
    <definedName name="E1PlazoDelPréstamo" localSheetId="0">Dolares!$B$12</definedName>
    <definedName name="E1PlazoDelPréstamo">#REF!</definedName>
    <definedName name="E1TotalDePagos" localSheetId="1">Colones!$B$16</definedName>
    <definedName name="E1TotalDePagos" localSheetId="0">Dolares!$B$16</definedName>
    <definedName name="E1TotalDePagos">#REF!</definedName>
    <definedName name="E2FrecuenciaDePago" localSheetId="1">Colones!$C$13</definedName>
    <definedName name="E2FrecuenciaDePago" localSheetId="0">Dolares!$C$13</definedName>
    <definedName name="E2FrecuenciaDePago">#REF!</definedName>
    <definedName name="E2Interés" localSheetId="1">Colones!$C$14</definedName>
    <definedName name="E2Interés" localSheetId="0">Dolares!$C$14</definedName>
    <definedName name="E2Interés">#REF!</definedName>
    <definedName name="E2InterésTotal" localSheetId="1">Colones!$C$17</definedName>
    <definedName name="E2InterésTotal" localSheetId="0">Dolares!$C$17</definedName>
    <definedName name="E2InterésTotal">#REF!</definedName>
    <definedName name="E2PagoProgramado" localSheetId="1">Colones!$C$15</definedName>
    <definedName name="E2PagoProgramado" localSheetId="0">Dolares!$C$15</definedName>
    <definedName name="E2PagoProgramado">#REF!</definedName>
    <definedName name="E2PlazoDelPréstamo" localSheetId="1">Colones!$C$12</definedName>
    <definedName name="E2PlazoDelPréstamo" localSheetId="0">Dolares!$C$12</definedName>
    <definedName name="E2PlazoDelPréstamo">#REF!</definedName>
    <definedName name="E2TotalDePagos" localSheetId="1">Colones!$C$16</definedName>
    <definedName name="E2TotalDePagos" localSheetId="0">Dolares!$C$16</definedName>
    <definedName name="E2TotalDePagos">#REF!</definedName>
    <definedName name="E3FrecuenciaDePago" localSheetId="1">Colones!$D$13</definedName>
    <definedName name="E3FrecuenciaDePago" localSheetId="0">Dolares!$D$13</definedName>
    <definedName name="E3FrecuenciaDePago">#REF!</definedName>
    <definedName name="E3Interés" localSheetId="1">Colones!$D$14</definedName>
    <definedName name="E3Interés" localSheetId="0">Dolares!$D$14</definedName>
    <definedName name="E3Interés">#REF!</definedName>
    <definedName name="E3InterésTotal" localSheetId="1">Colones!$D$17</definedName>
    <definedName name="E3InterésTotal" localSheetId="0">Dolares!$D$17</definedName>
    <definedName name="E3InterésTotal">#REF!</definedName>
    <definedName name="E3PagoProgramado" localSheetId="1">Colones!$D$15</definedName>
    <definedName name="E3PagoProgramado" localSheetId="0">Dolares!$D$15</definedName>
    <definedName name="E3PagoProgramado">#REF!</definedName>
    <definedName name="E3PlazoDelPréstamo" localSheetId="1">Colones!$D$12</definedName>
    <definedName name="E3PlazoDelPréstamo" localSheetId="0">Dolares!$D$12</definedName>
    <definedName name="E3PlazoDelPréstamo">#REF!</definedName>
    <definedName name="E3TotalDePagos" localSheetId="1">Colones!$D$16</definedName>
    <definedName name="E3TotalDePagos" localSheetId="0">Dolares!$D$16</definedName>
    <definedName name="E3TotalDePagos">#REF!</definedName>
    <definedName name="Frecuencia_De_Pago" localSheetId="1">[1]!LoanLookup[FRECUENCIA]</definedName>
    <definedName name="Frecuencia_De_Pago" localSheetId="0">[1]!LoanLookup[FRECUENCIA]</definedName>
    <definedName name="Frecuencia_De_Pago">[1]!LoanLookup[FRECUENCIA]</definedName>
    <definedName name="ImporteDelPréstamo" localSheetId="1">Colones!$A$8</definedName>
    <definedName name="ImporteDelPréstamo" localSheetId="0">Dolares!$A$8</definedName>
    <definedName name="ImporteDelPréstam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E16" i="4" l="1"/>
  <c r="E15" i="4"/>
  <c r="E26" i="4"/>
  <c r="E27" i="4"/>
  <c r="E28" i="4"/>
  <c r="E25" i="4"/>
  <c r="E26" i="3"/>
  <c r="E27" i="3" s="1"/>
  <c r="E28" i="3"/>
  <c r="E25" i="3"/>
  <c r="E15" i="3"/>
  <c r="E16" i="3"/>
  <c r="B25" i="4"/>
  <c r="D25" i="4"/>
  <c r="C25" i="4"/>
  <c r="D25" i="3"/>
  <c r="C25" i="3"/>
  <c r="B25" i="3"/>
  <c r="C15" i="3"/>
  <c r="B5" i="4"/>
  <c r="E3" i="4" s="1"/>
  <c r="B16" i="3"/>
  <c r="B5" i="3"/>
  <c r="E4" i="3" s="1"/>
  <c r="D28" i="4"/>
  <c r="D26" i="4"/>
  <c r="D27" i="4" s="1"/>
  <c r="D29" i="4" s="1"/>
  <c r="D30" i="4" s="1"/>
  <c r="C24" i="4"/>
  <c r="B26" i="4"/>
  <c r="B27" i="4" s="1"/>
  <c r="C28" i="4"/>
  <c r="B28" i="4"/>
  <c r="C16" i="4"/>
  <c r="B16" i="4"/>
  <c r="C15" i="4"/>
  <c r="B15" i="4"/>
  <c r="D26" i="3"/>
  <c r="D27" i="3" s="1"/>
  <c r="C27" i="3"/>
  <c r="B26" i="3"/>
  <c r="B27" i="3" s="1"/>
  <c r="C28" i="3"/>
  <c r="D28" i="3"/>
  <c r="B28" i="3"/>
  <c r="D16" i="3"/>
  <c r="C16" i="3"/>
  <c r="D15" i="3"/>
  <c r="B15" i="3"/>
  <c r="C29" i="4" l="1"/>
  <c r="C30" i="4" s="1"/>
  <c r="B29" i="4"/>
  <c r="B30" i="4" s="1"/>
  <c r="E29" i="4"/>
  <c r="E30" i="4" s="1"/>
  <c r="C29" i="3"/>
  <c r="E18" i="3"/>
  <c r="E29" i="3"/>
  <c r="D30" i="3"/>
  <c r="E17" i="3"/>
  <c r="E30" i="3"/>
  <c r="B29" i="3"/>
  <c r="D29" i="3"/>
  <c r="E5" i="3"/>
  <c r="E3" i="3"/>
  <c r="C30" i="3"/>
  <c r="B30" i="3"/>
  <c r="E4" i="4"/>
  <c r="E5" i="4"/>
  <c r="C18" i="4"/>
  <c r="B18" i="4"/>
  <c r="B17" i="4" s="1"/>
  <c r="C17" i="3"/>
  <c r="C18" i="3" s="1"/>
  <c r="B17" i="3"/>
  <c r="B18" i="3" s="1"/>
  <c r="D17" i="3"/>
  <c r="C17" i="4" l="1"/>
  <c r="E17" i="4"/>
  <c r="E18" i="4" s="1"/>
  <c r="D18" i="3"/>
</calcChain>
</file>

<file path=xl/comments1.xml><?xml version="1.0" encoding="utf-8"?>
<comments xmlns="http://schemas.openxmlformats.org/spreadsheetml/2006/main">
  <authors>
    <author>Usuario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6.81 + tri 6M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8.60% + TRI 3M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Tasa PRIME + 3.75%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Tasa TRI12 + 5.5%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PENDIENTE DATO DE LA TASA, PUEDE MODIFICAR LA CELDA 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TBP + 4.90% TODO EL PLAZO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TRI6M + 5.81%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TBP+3.75%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TBP +6%</t>
        </r>
      </text>
    </comment>
  </commentList>
</comments>
</file>

<file path=xl/sharedStrings.xml><?xml version="1.0" encoding="utf-8"?>
<sst xmlns="http://schemas.openxmlformats.org/spreadsheetml/2006/main" count="105" uniqueCount="36">
  <si>
    <t>PLAZO DEL PRÉSTAMO EN AÑOS</t>
  </si>
  <si>
    <t>FRECUENCIA DE PAGO</t>
  </si>
  <si>
    <t>Mensual</t>
  </si>
  <si>
    <t>TASA DE INTERÉS ANUAL</t>
  </si>
  <si>
    <t>TOTAL DE PAGOS</t>
  </si>
  <si>
    <t>INTERÉS TOTAL</t>
  </si>
  <si>
    <t>Costo del préstamo</t>
  </si>
  <si>
    <t>Comparativa de préstamos Expomóvil</t>
  </si>
  <si>
    <t>Monto del préstamo</t>
  </si>
  <si>
    <t>Scotiabank</t>
  </si>
  <si>
    <t>BAC</t>
  </si>
  <si>
    <t>Banco General</t>
  </si>
  <si>
    <t>CUOTA APROXIMADA</t>
  </si>
  <si>
    <t>Banco Nacional</t>
  </si>
  <si>
    <t>BCR</t>
  </si>
  <si>
    <t>Banco Popular</t>
  </si>
  <si>
    <t>-</t>
  </si>
  <si>
    <t xml:space="preserve"> - </t>
  </si>
  <si>
    <t xml:space="preserve"> </t>
  </si>
  <si>
    <t>Condiciones</t>
  </si>
  <si>
    <t>TASA PRIME</t>
  </si>
  <si>
    <t>TASA TRI3M</t>
  </si>
  <si>
    <t>TASA TRI6M</t>
  </si>
  <si>
    <t>TASA DE INTERÉS FIJA</t>
  </si>
  <si>
    <t>TASA DE INTERÉS VARIABLE</t>
  </si>
  <si>
    <t>TASA BÁSICA PASIVA</t>
  </si>
  <si>
    <t>NO TIENE</t>
  </si>
  <si>
    <t>INGRESOS NETOS</t>
  </si>
  <si>
    <t>GASTOS MENSUALES</t>
  </si>
  <si>
    <t>LIBRE MENSUAL</t>
  </si>
  <si>
    <t>CUOTA RIESGO BAJO 10%</t>
  </si>
  <si>
    <t>CUOTA RIESGO MODERADO 11% A 20%</t>
  </si>
  <si>
    <t>CUOTA RIESGO ALTO 30%</t>
  </si>
  <si>
    <t>Que esta herramienta sea una guía, pero que tu inteligencia financiera sea tu mejor aliada. Espero que tu futuro financiero esté lleno de estabilidad, orden y oportunidades.</t>
  </si>
  <si>
    <t>Davivienda</t>
  </si>
  <si>
    <t>Lafise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</si>
</sst>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#,##0.00\ &quot;€&quot;"/>
    <numFmt numFmtId="165" formatCode="_-[$₡-140A]* #,##0.00_-;\-[$₡-140A]* #,##0.00_-;_-[$₡-140A]* &quot;-&quot;??_-;_-@_-"/>
    <numFmt numFmtId="166" formatCode="_-[$$-409]* #,##0.00_ ;_-[$$-409]* \-#,##0.00\ ;_-[$$-409]* &quot;-&quot;??_ ;_-@_ "/>
    <numFmt numFmtId="167" formatCode="_-[$₡-140A]* #,##0.000_-;\-[$₡-140A]* #,##0.000_-;_-[$₡-140A]* &quot;-&quot;??_-;_-@_-"/>
    <numFmt numFmtId="168" formatCode="_-[$₡-140A]* #,##0_-;\-[$₡-140A]* #,##0_-;_-[$₡-14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3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libri Light"/>
      <family val="2"/>
      <scheme val="major"/>
    </font>
    <font>
      <sz val="11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0"/>
      <name val="Arial Black"/>
      <family val="2"/>
    </font>
    <font>
      <b/>
      <sz val="12"/>
      <color theme="0"/>
      <name val="Arial Black"/>
      <family val="2"/>
    </font>
    <font>
      <b/>
      <sz val="11"/>
      <color theme="0"/>
      <name val="Arial Black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rgb="FF02523F"/>
      <name val="Arial Black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D601"/>
        <bgColor indexed="64"/>
      </patternFill>
    </fill>
    <fill>
      <patternFill patternType="solid">
        <fgColor rgb="FF024E5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0" borderId="0" applyNumberFormat="0" applyFill="0" applyBorder="0">
      <alignment horizontal="center" vertical="center" wrapText="1"/>
    </xf>
    <xf numFmtId="164" fontId="10" fillId="9" borderId="0">
      <alignment horizontal="left" vertical="center" indent="1"/>
      <protection locked="0"/>
    </xf>
    <xf numFmtId="0" fontId="12" fillId="10" borderId="0">
      <alignment wrapText="1"/>
    </xf>
    <xf numFmtId="164" fontId="13" fillId="11" borderId="0" applyFill="0" applyBorder="0" applyAlignment="0">
      <alignment horizontal="center" vertical="center" wrapText="1"/>
    </xf>
  </cellStyleXfs>
  <cellXfs count="63">
    <xf numFmtId="0" fontId="0" fillId="0" borderId="0" xfId="0"/>
    <xf numFmtId="0" fontId="9" fillId="0" borderId="0" xfId="0" applyFont="1" applyProtection="1"/>
    <xf numFmtId="2" fontId="8" fillId="4" borderId="0" xfId="8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8" applyNumberFormat="1" applyFont="1" applyFill="1" applyBorder="1" applyAlignment="1" applyProtection="1">
      <alignment horizontal="center" vertical="center" wrapText="1"/>
      <protection locked="0"/>
    </xf>
    <xf numFmtId="2" fontId="8" fillId="4" borderId="0" xfId="8" applyNumberFormat="1" applyFont="1" applyFill="1" applyBorder="1" applyAlignment="1" applyProtection="1">
      <alignment horizontal="center" vertical="center" wrapText="1"/>
    </xf>
    <xf numFmtId="167" fontId="8" fillId="3" borderId="0" xfId="8" applyNumberFormat="1" applyFont="1" applyFill="1" applyBorder="1" applyAlignment="1" applyProtection="1">
      <alignment horizontal="center" vertical="center" wrapText="1"/>
    </xf>
    <xf numFmtId="165" fontId="13" fillId="10" borderId="0" xfId="0" applyNumberFormat="1" applyFont="1" applyFill="1" applyProtection="1"/>
    <xf numFmtId="166" fontId="13" fillId="10" borderId="0" xfId="0" applyNumberFormat="1" applyFont="1" applyFill="1" applyProtection="1"/>
    <xf numFmtId="0" fontId="9" fillId="12" borderId="0" xfId="0" applyFont="1" applyFill="1" applyProtection="1"/>
    <xf numFmtId="2" fontId="8" fillId="4" borderId="0" xfId="8" applyNumberFormat="1" applyFont="1" applyFill="1" applyBorder="1" applyAlignment="1" applyProtection="1">
      <alignment horizontal="right" vertical="center" wrapText="1"/>
      <protection locked="0"/>
    </xf>
    <xf numFmtId="2" fontId="8" fillId="8" borderId="0" xfId="8" applyNumberFormat="1" applyFont="1" applyFill="1" applyBorder="1" applyAlignment="1" applyProtection="1">
      <alignment horizontal="right" vertical="center" wrapText="1"/>
      <protection locked="0"/>
    </xf>
    <xf numFmtId="0" fontId="8" fillId="3" borderId="0" xfId="8" applyNumberFormat="1" applyFont="1" applyFill="1" applyBorder="1" applyAlignment="1" applyProtection="1">
      <alignment horizontal="right" vertical="center" wrapText="1"/>
      <protection locked="0"/>
    </xf>
    <xf numFmtId="0" fontId="8" fillId="7" borderId="0" xfId="8" applyNumberFormat="1" applyFont="1" applyFill="1" applyBorder="1" applyAlignment="1" applyProtection="1">
      <alignment horizontal="right" vertical="center" wrapText="1"/>
      <protection locked="0"/>
    </xf>
    <xf numFmtId="2" fontId="8" fillId="8" borderId="0" xfId="8" applyNumberFormat="1" applyFont="1" applyFill="1" applyBorder="1" applyAlignment="1">
      <alignment horizontal="right" vertical="center" wrapText="1"/>
    </xf>
    <xf numFmtId="166" fontId="13" fillId="10" borderId="0" xfId="0" applyNumberFormat="1" applyFont="1" applyFill="1" applyAlignment="1" applyProtection="1">
      <alignment horizontal="right" vertical="center"/>
    </xf>
    <xf numFmtId="166" fontId="8" fillId="3" borderId="0" xfId="8" applyNumberFormat="1" applyFont="1" applyFill="1" applyBorder="1" applyAlignment="1" applyProtection="1">
      <alignment horizontal="right" vertical="center" wrapText="1"/>
    </xf>
    <xf numFmtId="166" fontId="8" fillId="7" borderId="0" xfId="8" applyNumberFormat="1" applyFont="1" applyFill="1" applyBorder="1" applyAlignment="1" applyProtection="1">
      <alignment horizontal="right" vertical="center" wrapText="1"/>
    </xf>
    <xf numFmtId="2" fontId="8" fillId="4" borderId="0" xfId="8" applyNumberFormat="1" applyFont="1" applyFill="1" applyBorder="1" applyAlignment="1" applyProtection="1">
      <alignment horizontal="right" vertical="center" wrapText="1"/>
    </xf>
    <xf numFmtId="2" fontId="8" fillId="8" borderId="0" xfId="8" applyNumberFormat="1" applyFont="1" applyFill="1" applyBorder="1" applyAlignment="1" applyProtection="1">
      <alignment horizontal="right" vertical="center" wrapText="1"/>
    </xf>
    <xf numFmtId="0" fontId="15" fillId="12" borderId="0" xfId="2" applyFont="1" applyFill="1" applyAlignment="1" applyProtection="1">
      <alignment horizontal="center" vertical="center"/>
    </xf>
    <xf numFmtId="0" fontId="0" fillId="12" borderId="0" xfId="0" applyFill="1"/>
    <xf numFmtId="0" fontId="9" fillId="12" borderId="0" xfId="0" applyFont="1" applyFill="1" applyBorder="1" applyProtection="1"/>
    <xf numFmtId="10" fontId="8" fillId="4" borderId="0" xfId="8" applyNumberFormat="1" applyFont="1" applyFill="1" applyBorder="1" applyAlignment="1" applyProtection="1">
      <alignment horizontal="center" vertical="center" wrapText="1"/>
    </xf>
    <xf numFmtId="165" fontId="8" fillId="7" borderId="0" xfId="8" applyNumberFormat="1" applyFont="1" applyFill="1" applyBorder="1" applyAlignment="1">
      <alignment horizontal="right" vertical="center" wrapText="1"/>
    </xf>
    <xf numFmtId="165" fontId="8" fillId="3" borderId="0" xfId="8" applyNumberFormat="1" applyFont="1" applyFill="1" applyBorder="1" applyAlignment="1" applyProtection="1">
      <alignment horizontal="right" vertical="center" wrapText="1"/>
    </xf>
    <xf numFmtId="165" fontId="8" fillId="7" borderId="0" xfId="8" applyNumberFormat="1" applyFont="1" applyFill="1" applyBorder="1" applyAlignment="1" applyProtection="1">
      <alignment horizontal="right" vertical="center" wrapText="1"/>
    </xf>
    <xf numFmtId="165" fontId="13" fillId="10" borderId="0" xfId="0" applyNumberFormat="1" applyFont="1" applyFill="1" applyAlignment="1" applyProtection="1">
      <alignment horizontal="right" vertical="center"/>
    </xf>
    <xf numFmtId="168" fontId="8" fillId="3" borderId="0" xfId="8" applyNumberFormat="1" applyFont="1" applyFill="1" applyBorder="1" applyAlignment="1" applyProtection="1">
      <alignment horizontal="right" vertical="center" wrapText="1"/>
    </xf>
    <xf numFmtId="168" fontId="8" fillId="7" borderId="0" xfId="8" applyNumberFormat="1" applyFont="1" applyFill="1" applyBorder="1" applyAlignment="1">
      <alignment horizontal="right" vertical="center" wrapText="1"/>
    </xf>
    <xf numFmtId="168" fontId="8" fillId="7" borderId="0" xfId="8" applyNumberFormat="1" applyFont="1" applyFill="1" applyBorder="1" applyAlignment="1" applyProtection="1">
      <alignment horizontal="right" vertical="center" wrapText="1"/>
    </xf>
    <xf numFmtId="0" fontId="16" fillId="12" borderId="0" xfId="5" applyFont="1" applyFill="1" applyBorder="1" applyAlignment="1" applyProtection="1">
      <alignment horizontal="left" vertical="center" indent="1"/>
    </xf>
    <xf numFmtId="167" fontId="13" fillId="10" borderId="0" xfId="0" applyNumberFormat="1" applyFont="1" applyFill="1" applyAlignment="1" applyProtection="1">
      <alignment horizontal="center" vertical="center"/>
    </xf>
    <xf numFmtId="168" fontId="8" fillId="3" borderId="0" xfId="8" applyNumberFormat="1" applyFont="1" applyFill="1" applyBorder="1" applyAlignment="1" applyProtection="1">
      <alignment horizontal="center" vertical="center" wrapText="1"/>
    </xf>
    <xf numFmtId="166" fontId="8" fillId="3" borderId="0" xfId="8" applyNumberFormat="1" applyFont="1" applyFill="1" applyBorder="1" applyAlignment="1" applyProtection="1">
      <alignment horizontal="right" vertical="center" wrapText="1"/>
      <protection locked="0"/>
    </xf>
    <xf numFmtId="168" fontId="8" fillId="3" borderId="0" xfId="8" applyNumberFormat="1" applyFont="1" applyFill="1" applyBorder="1" applyAlignment="1" applyProtection="1">
      <alignment horizontal="right" vertical="center" wrapText="1"/>
      <protection locked="0"/>
    </xf>
    <xf numFmtId="0" fontId="6" fillId="14" borderId="3" xfId="6" applyFont="1" applyFill="1" applyBorder="1" applyAlignment="1" applyProtection="1">
      <alignment horizontal="left" vertical="center" indent="1"/>
    </xf>
    <xf numFmtId="0" fontId="16" fillId="14" borderId="0" xfId="5" applyFont="1" applyFill="1" applyBorder="1" applyAlignment="1" applyProtection="1">
      <alignment horizontal="left" vertical="center" indent="1"/>
    </xf>
    <xf numFmtId="0" fontId="16" fillId="14" borderId="0" xfId="0" applyFont="1" applyFill="1" applyBorder="1" applyAlignment="1" applyProtection="1">
      <alignment horizontal="center" vertical="center"/>
    </xf>
    <xf numFmtId="44" fontId="20" fillId="12" borderId="0" xfId="7" applyNumberFormat="1" applyFont="1" applyFill="1" applyAlignment="1" applyProtection="1">
      <alignment horizontal="left" vertical="center" indent="1"/>
      <protection locked="0"/>
    </xf>
    <xf numFmtId="10" fontId="20" fillId="12" borderId="0" xfId="7" applyNumberFormat="1" applyFont="1" applyFill="1" applyAlignment="1" applyProtection="1">
      <alignment horizontal="center" vertical="center"/>
      <protection locked="0"/>
    </xf>
    <xf numFmtId="10" fontId="20" fillId="12" borderId="0" xfId="7" applyNumberFormat="1" applyFont="1" applyFill="1" applyBorder="1" applyAlignment="1" applyProtection="1">
      <alignment horizontal="center" vertical="center"/>
      <protection locked="0"/>
    </xf>
    <xf numFmtId="168" fontId="20" fillId="12" borderId="0" xfId="7" applyNumberFormat="1" applyFont="1" applyFill="1" applyAlignment="1" applyProtection="1">
      <alignment horizontal="left" vertical="center" indent="1"/>
      <protection locked="0"/>
    </xf>
    <xf numFmtId="10" fontId="8" fillId="3" borderId="0" xfId="1" applyNumberFormat="1" applyFont="1" applyFill="1" applyBorder="1" applyAlignment="1" applyProtection="1">
      <alignment horizontal="right" vertical="center" wrapText="1"/>
    </xf>
    <xf numFmtId="10" fontId="8" fillId="7" borderId="0" xfId="1" applyNumberFormat="1" applyFont="1" applyFill="1" applyBorder="1" applyAlignment="1" applyProtection="1">
      <alignment horizontal="right" vertical="center" wrapText="1"/>
    </xf>
    <xf numFmtId="0" fontId="18" fillId="13" borderId="0" xfId="0" applyFont="1" applyFill="1" applyAlignment="1" applyProtection="1">
      <alignment wrapText="1"/>
    </xf>
    <xf numFmtId="0" fontId="0" fillId="0" borderId="0" xfId="0" applyFill="1"/>
    <xf numFmtId="0" fontId="18" fillId="0" borderId="0" xfId="0" applyFont="1" applyFill="1" applyAlignment="1" applyProtection="1">
      <alignment wrapText="1"/>
    </xf>
    <xf numFmtId="0" fontId="0" fillId="0" borderId="0" xfId="0" applyProtection="1"/>
    <xf numFmtId="0" fontId="0" fillId="12" borderId="0" xfId="0" applyFill="1" applyProtection="1"/>
    <xf numFmtId="1" fontId="17" fillId="14" borderId="1" xfId="3" applyNumberFormat="1" applyFont="1" applyFill="1" applyAlignment="1" applyProtection="1">
      <alignment horizontal="center" vertical="center"/>
    </xf>
    <xf numFmtId="1" fontId="17" fillId="14" borderId="0" xfId="3" applyNumberFormat="1" applyFont="1" applyFill="1" applyBorder="1" applyAlignment="1" applyProtection="1">
      <alignment horizontal="center" vertical="center"/>
    </xf>
    <xf numFmtId="1" fontId="11" fillId="0" borderId="2" xfId="4" applyNumberFormat="1" applyFont="1" applyAlignment="1" applyProtection="1">
      <alignment horizontal="left" vertical="center" wrapText="1" indent="1"/>
    </xf>
    <xf numFmtId="10" fontId="8" fillId="4" borderId="0" xfId="8" applyNumberFormat="1" applyFont="1" applyFill="1" applyBorder="1" applyAlignment="1" applyProtection="1">
      <alignment horizontal="right" vertical="center" wrapText="1"/>
    </xf>
    <xf numFmtId="10" fontId="8" fillId="8" borderId="0" xfId="8" applyNumberFormat="1" applyFont="1" applyFill="1" applyBorder="1" applyAlignment="1" applyProtection="1">
      <alignment horizontal="right" vertical="center" wrapText="1"/>
    </xf>
    <xf numFmtId="1" fontId="17" fillId="14" borderId="1" xfId="0" applyNumberFormat="1" applyFont="1" applyFill="1" applyBorder="1" applyAlignment="1" applyProtection="1">
      <alignment horizontal="center" vertical="center"/>
    </xf>
    <xf numFmtId="165" fontId="14" fillId="10" borderId="0" xfId="0" applyNumberFormat="1" applyFont="1" applyFill="1" applyBorder="1" applyAlignment="1">
      <alignment horizontal="right" vertical="center"/>
    </xf>
    <xf numFmtId="168" fontId="8" fillId="12" borderId="0" xfId="8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10" fontId="8" fillId="8" borderId="0" xfId="1" applyNumberFormat="1" applyFont="1" applyFill="1" applyBorder="1" applyAlignment="1" applyProtection="1">
      <alignment horizontal="right" vertical="center" wrapText="1"/>
    </xf>
    <xf numFmtId="165" fontId="14" fillId="10" borderId="0" xfId="0" applyNumberFormat="1" applyFont="1" applyFill="1" applyProtection="1"/>
    <xf numFmtId="0" fontId="18" fillId="13" borderId="0" xfId="0" applyFont="1" applyFill="1" applyAlignment="1" applyProtection="1">
      <alignment horizontal="center" vertical="center"/>
    </xf>
    <xf numFmtId="0" fontId="15" fillId="14" borderId="0" xfId="2" applyFont="1" applyFill="1" applyAlignment="1" applyProtection="1">
      <alignment horizontal="center" vertical="center"/>
    </xf>
    <xf numFmtId="10" fontId="8" fillId="8" borderId="0" xfId="1" applyNumberFormat="1" applyFont="1" applyFill="1" applyBorder="1" applyAlignment="1" applyProtection="1">
      <alignment horizontal="right" vertical="center" wrapText="1"/>
      <protection locked="0"/>
    </xf>
  </cellXfs>
  <cellStyles count="12">
    <cellStyle name="Amounts" xfId="11"/>
    <cellStyle name="Bueno" xfId="5" builtinId="26"/>
    <cellStyle name="Costo del préstamo" xfId="10"/>
    <cellStyle name="Énfasis5" xfId="6" builtinId="45"/>
    <cellStyle name="Énfasis6" xfId="7" builtinId="49"/>
    <cellStyle name="Importe_Del_Préstamo" xfId="9"/>
    <cellStyle name="Normal" xfId="0" builtinId="0"/>
    <cellStyle name="Payment comparison table details" xfId="8"/>
    <cellStyle name="Porcentaje" xfId="1" builtinId="5"/>
    <cellStyle name="Título" xfId="2" builtinId="15"/>
    <cellStyle name="Título 2" xfId="3" builtinId="17"/>
    <cellStyle name="Título 3" xfId="4" builtinId="18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1" formatCode="0"/>
      <fill>
        <patternFill patternType="solid">
          <fgColor indexed="64"/>
          <bgColor rgb="FF024E5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7" formatCode="_-[$₡-140A]* #,##0.000_-;\-[$₡-140A]* #,##0.000_-;_-[$₡-140A]* &quot;-&quot;??_-;_-@_-"/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_-[$₡-140A]* #,##0.00_-;\-[$₡-140A]* #,##0.00_-;_-[$₡-140A]* &quot;-&quot;??_-;_-@_-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_-[$₡-140A]* #,##0.00_-;\-[$₡-140A]* #,##0.00_-;_-[$₡-140A]* &quot;-&quot;??_-;_-@_-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3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1" formatCode="0"/>
      <fill>
        <patternFill patternType="solid">
          <fgColor indexed="64"/>
          <bgColor rgb="FF024E5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_-[$₡-140A]* #,##0.00_-;\-[$₡-140A]* #,##0.00_-;_-[$₡-140A]* &quot;-&quot;??_-;_-@_-"/>
      <fill>
        <patternFill patternType="solid">
          <fgColor indexed="64"/>
          <bgColor theme="3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465926084170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protection locked="1" hidden="0"/>
    </dxf>
    <dxf>
      <numFmt numFmtId="169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_-[$₡-140A]* #,##0.00_-;\-[$₡-140A]* #,##0.00_-;_-[$₡-140A]* &quot;-&quot;??_-;_-@_-"/>
      <fill>
        <patternFill patternType="solid">
          <fgColor indexed="64"/>
          <bgColor theme="3"/>
        </patternFill>
      </fill>
      <protection locked="0" hidden="0"/>
    </dxf>
    <dxf>
      <protection locked="1" hidden="0"/>
    </dxf>
    <dxf>
      <numFmt numFmtId="169" formatCode="&quot;$&quot;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_-[$₡-140A]* #,##0.00_-;\-[$₡-140A]* #,##0.00_-;_-[$₡-140A]* &quot;-&quot;??_-;_-@_-"/>
      <fill>
        <patternFill patternType="solid">
          <fgColor indexed="64"/>
          <bgColor theme="3"/>
        </patternFill>
      </fill>
      <protection locked="0" hidden="0"/>
    </dxf>
    <dxf>
      <protection locked="1" hidden="0"/>
    </dxf>
    <dxf>
      <numFmt numFmtId="169" formatCode="&quot;$&quot;#,##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1" formatCode="0"/>
      <fill>
        <patternFill patternType="solid">
          <fgColor indexed="64"/>
          <bgColor rgb="FF024E5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ck">
          <color theme="4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alignment horizontal="left" vertical="center" textRotation="0" wrapText="1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3"/>
        <name val="Calibri Light"/>
        <scheme val="major"/>
      </font>
      <numFmt numFmtId="169" formatCode="&quot;$&quot;#,##0.0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69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protection locked="1" hidden="0"/>
    </dxf>
    <dxf>
      <numFmt numFmtId="169" formatCode="&quot;$&quot;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protection locked="1" hidden="0"/>
    </dxf>
    <dxf>
      <numFmt numFmtId="169" formatCode="&quot;$&quot;#,##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1" formatCode="0"/>
      <fill>
        <patternFill patternType="solid">
          <fgColor indexed="64"/>
          <bgColor rgb="FF024E5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" formatCode="0"/>
      <alignment horizontal="left" vertical="center" textRotation="0" wrapText="1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3"/>
        <name val="Calibri Light"/>
        <scheme val="major"/>
      </font>
      <numFmt numFmtId="169" formatCode="&quot;$&quot;#,##0.0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0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4659260841701"/>
        <name val="Calibri"/>
        <scheme val="minor"/>
      </font>
      <numFmt numFmtId="166" formatCode="_-[$$-409]* #,##0.00_ ;_-[$$-409]* \-#,##0.00\ ;_-[$$-409]* &quot;-&quot;??_ ;_-@_ 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protection locked="1" hidden="0"/>
    </dxf>
    <dxf>
      <protection locked="1" hidden="0"/>
    </dxf>
    <dxf>
      <protection locked="1" hidden="0"/>
    </dxf>
    <dxf>
      <numFmt numFmtId="169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protection locked="1" hidden="0"/>
    </dxf>
    <dxf>
      <numFmt numFmtId="169" formatCode="&quot;$&quot;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protection locked="1" hidden="0"/>
    </dxf>
    <dxf>
      <numFmt numFmtId="169" formatCode="&quot;$&quot;#,##0.00"/>
      <alignment horizontal="center" vertical="center" textRotation="0" wrapText="1" indent="0" justifyLastLine="0" shrinkToFit="0" readingOrder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3"/>
        <name val="Calibri Light"/>
        <scheme val="major"/>
      </font>
      <numFmt numFmtId="169" formatCode="&quot;$&quot;#,##0.0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69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protection locked="1" hidden="0"/>
    </dxf>
    <dxf>
      <numFmt numFmtId="169" formatCode="&quot;$&quot;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protection locked="1" hidden="0"/>
    </dxf>
    <dxf>
      <numFmt numFmtId="169" formatCode="&quot;$&quot;#,##0.00"/>
      <alignment horizontal="center" vertical="center" textRotation="0" wrapText="1" indent="0" justifyLastLine="0" shrinkToFit="0" readingOrder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3"/>
        <name val="Calibri Light"/>
        <scheme val="major"/>
      </font>
      <numFmt numFmtId="169" formatCode="&quot;$&quot;#,##0.0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0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0"/>
      </font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5" tint="0.79998168889431442"/>
        </patternFill>
      </fill>
    </dxf>
    <dxf>
      <font>
        <b val="0"/>
        <i val="0"/>
        <color theme="3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 val="0"/>
        <i val="0"/>
        <color theme="3" tint="-0.24994659260841701"/>
      </font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Payment tables" pivot="0" count="6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secondColumnStripe" dxfId="66"/>
    </tableStyle>
  </tableStyles>
  <colors>
    <mruColors>
      <color rgb="FFF9D601"/>
      <color rgb="FF024E52"/>
      <color rgb="FF025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1738312</xdr:colOff>
      <xdr:row>0</xdr:row>
      <xdr:rowOff>3037416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24" b="14195"/>
        <a:stretch/>
      </xdr:blipFill>
      <xdr:spPr>
        <a:xfrm>
          <a:off x="0" y="0"/>
          <a:ext cx="10953750" cy="3037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2167654</xdr:colOff>
      <xdr:row>0</xdr:row>
      <xdr:rowOff>3219450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24" b="14195"/>
        <a:stretch/>
      </xdr:blipFill>
      <xdr:spPr>
        <a:xfrm>
          <a:off x="0" y="0"/>
          <a:ext cx="11044954" cy="3219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adora%20de%20comparaci&#243;n%20de%20pr&#233;stamo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de pagos"/>
      <sheetName val="Programación del pago"/>
      <sheetName val="Datos de calculadora de prés..."/>
      <sheetName val="Hoja1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7" name="LoanComparisonInfo8" displayName="LoanComparisonInfo8" ref="A11:E18" headerRowCount="0" totalsRowCount="1" headerRowDxfId="65" dataDxfId="64" totalsRowDxfId="63">
  <tableColumns count="5">
    <tableColumn id="1" name="Columna1" totalsRowLabel="Costo del préstamo" headerRowDxfId="62" dataDxfId="61" totalsRowDxfId="4" dataCellStyle="Título 3"/>
    <tableColumn id="2" name="Columna2" totalsRowFunction="custom" headerRowDxfId="60" dataDxfId="59" totalsRowDxfId="3" dataCellStyle="Payment comparison table details">
      <totalsRowFormula>IFERROR(ImporteDelPréstamo+E1InterésTotal,"")</totalsRowFormula>
    </tableColumn>
    <tableColumn id="3" name="Columna3" totalsRowFunction="custom" headerRowDxfId="58" dataDxfId="57" totalsRowDxfId="2" dataCellStyle="Payment comparison table details">
      <totalsRowFormula>IFERROR(ImporteDelPréstamo+E2InterésTotal,"")</totalsRowFormula>
    </tableColumn>
    <tableColumn id="4" name="Columna4" totalsRowFunction="custom" headerRowDxfId="56" dataDxfId="55" totalsRowDxfId="1" dataCellStyle="Payment comparison table details">
      <totalsRowFormula>IFERROR(ImporteDelPréstamo+E3InterésTotal,"")</totalsRowFormula>
    </tableColumn>
    <tableColumn id="9" name="Columna5" totalsRowFunction="custom" headerRowDxfId="54" dataDxfId="53" totalsRowDxfId="0" dataCellStyle="Payment comparison table details">
      <totalsRowFormula>+E16*E15</totalsRowFormula>
    </tableColumn>
  </tableColumns>
  <tableStyleInfo name="Payment tables" showFirstColumn="1" showLastColumn="1" showRowStripes="1" showColumnStripes="0"/>
  <extLst>
    <ext xmlns:x14="http://schemas.microsoft.com/office/spreadsheetml/2009/9/main" uri="{504A1905-F514-4f6f-8877-14C23A59335A}">
      <x14:table altTextSummary="Enter loan amount in B4 and the relevant loan information in columns C, D and E"/>
    </ext>
  </extLst>
</table>
</file>

<file path=xl/tables/table2.xml><?xml version="1.0" encoding="utf-8"?>
<table xmlns="http://schemas.openxmlformats.org/spreadsheetml/2006/main" id="8" name="LoanComparisonInfo89" displayName="LoanComparisonInfo89" ref="A21:E30" headerRowCount="0" totalsRowCount="1" headerRowDxfId="52" dataDxfId="51" totalsRowDxfId="50">
  <tableColumns count="5">
    <tableColumn id="1" name="Columna1" totalsRowLabel="Costo del préstamo" headerRowDxfId="49" dataDxfId="48" totalsRowDxfId="12" dataCellStyle="Título 3"/>
    <tableColumn id="2" name="Columna2" totalsRowFunction="custom" headerRowDxfId="47" dataDxfId="46" totalsRowDxfId="11" dataCellStyle="Payment comparison table details">
      <totalsRowFormula>+(24*B25)+(72*B27)</totalsRowFormula>
    </tableColumn>
    <tableColumn id="3" name="Columna3" totalsRowFunction="custom" headerRowDxfId="45" dataDxfId="44" totalsRowDxfId="10" dataCellStyle="Payment comparison table details">
      <totalsRowFormula>+(24*C25)+(72*C27)</totalsRowFormula>
    </tableColumn>
    <tableColumn id="4" name="Columna4" totalsRowFunction="custom" headerRowDxfId="43" dataDxfId="42" totalsRowDxfId="9" dataCellStyle="Payment comparison table details">
      <totalsRowFormula>+(36*D25)+D27*60</totalsRowFormula>
    </tableColumn>
    <tableColumn id="9" name="Columna5" totalsRowFunction="custom" headerRowDxfId="41" dataDxfId="40" totalsRowDxfId="8" dataCellStyle="Payment comparison table details">
      <totalsRowFormula>+E25*60+E27*36</totalsRowFormula>
    </tableColumn>
  </tableColumns>
  <tableStyleInfo name="Payment tables" showFirstColumn="1" showLastColumn="1" showRowStripes="1" showColumnStripes="0"/>
  <extLst>
    <ext xmlns:x14="http://schemas.microsoft.com/office/spreadsheetml/2009/9/main" uri="{504A1905-F514-4f6f-8877-14C23A59335A}">
      <x14:table altTextSummary="Enter loan amount in B4 and the relevant loan information in columns C, D and E"/>
    </ext>
  </extLst>
</table>
</file>

<file path=xl/tables/table3.xml><?xml version="1.0" encoding="utf-8"?>
<table xmlns="http://schemas.openxmlformats.org/spreadsheetml/2006/main" id="9" name="LoanComparisonInfo810" displayName="LoanComparisonInfo810" ref="A11:D18" headerRowCount="0" totalsRowCount="1" headerRowDxfId="39" dataDxfId="38" totalsRowDxfId="37">
  <tableColumns count="4">
    <tableColumn id="1" name="Columna1" totalsRowLabel="Costo del préstamo" headerRowDxfId="36" dataDxfId="35" totalsRowDxfId="34" dataCellStyle="Título 2"/>
    <tableColumn id="2" name="Columna2" totalsRowFunction="custom" headerRowDxfId="33" dataDxfId="32" totalsRowDxfId="7" dataCellStyle="Payment comparison table details">
      <totalsRowFormula>+E1TotalDePagos*E1PagoProgramado</totalsRowFormula>
    </tableColumn>
    <tableColumn id="3" name="Columna3" totalsRowFunction="custom" headerRowDxfId="31" dataDxfId="30" totalsRowDxfId="6" dataCellStyle="Payment comparison table details">
      <totalsRowFormula>+E2TotalDePagos*E2PagoProgramado</totalsRowFormula>
    </tableColumn>
    <tableColumn id="4" name="Columna4" totalsRowLabel=" - " headerRowDxfId="29" dataDxfId="28" totalsRowDxfId="5" dataCellStyle="Payment comparison table details"/>
  </tableColumns>
  <tableStyleInfo name="Payment tables" showFirstColumn="1" showLastColumn="1" showRowStripes="1" showColumnStripes="0"/>
  <extLst>
    <ext xmlns:x14="http://schemas.microsoft.com/office/spreadsheetml/2009/9/main" uri="{504A1905-F514-4f6f-8877-14C23A59335A}">
      <x14:table altTextSummary="Enter loan amount in B4 and the relevant loan information in columns C, D and E"/>
    </ext>
  </extLst>
</table>
</file>

<file path=xl/tables/table4.xml><?xml version="1.0" encoding="utf-8"?>
<table xmlns="http://schemas.openxmlformats.org/spreadsheetml/2006/main" id="10" name="LoanComparisonInfo8911" displayName="LoanComparisonInfo8911" ref="A21:D30" headerRowCount="0" totalsRowCount="1" headerRowDxfId="27" dataDxfId="26" totalsRowDxfId="25">
  <tableColumns count="4">
    <tableColumn id="1" name="Columna1" totalsRowLabel="Costo del préstamo" headerRowDxfId="24" dataDxfId="23" totalsRowDxfId="22" dataCellStyle="Título 3"/>
    <tableColumn id="2" name="Columna2" totalsRowFunction="custom" headerRowDxfId="21" dataDxfId="20" totalsRowDxfId="19" dataCellStyle="Payment comparison table details">
      <totalsRowFormula>+B29+ImporteDelPréstamo</totalsRowFormula>
    </tableColumn>
    <tableColumn id="3" name="Columna3" totalsRowFunction="custom" headerRowDxfId="18" dataDxfId="17" totalsRowDxfId="16" dataCellStyle="Payment comparison table details">
      <totalsRowFormula>+C29+ImporteDelPréstamo</totalsRowFormula>
    </tableColumn>
    <tableColumn id="4" name="Columna4" totalsRowFunction="custom" headerRowDxfId="15" dataDxfId="14" totalsRowDxfId="13" dataCellStyle="Payment comparison table details">
      <totalsRowFormula>+D29+ImporteDelPréstamo</totalsRowFormula>
    </tableColumn>
  </tableColumns>
  <tableStyleInfo name="Payment tables" showFirstColumn="1" showLastColumn="1" showRowStripes="1" showColumnStripes="0"/>
  <extLst>
    <ext xmlns:x14="http://schemas.microsoft.com/office/spreadsheetml/2009/9/main" uri="{504A1905-F514-4f6f-8877-14C23A59335A}">
      <x14:table altTextSummary="Enter loan amount in B4 and the relevant loan information in columns C, D and E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EV39"/>
  <sheetViews>
    <sheetView topLeftCell="A2" zoomScale="90" zoomScaleNormal="90" workbookViewId="0">
      <selection activeCell="E17" sqref="E17"/>
    </sheetView>
  </sheetViews>
  <sheetFormatPr baseColWidth="10" defaultColWidth="31.7109375" defaultRowHeight="15" zeroHeight="1" x14ac:dyDescent="0.25"/>
  <cols>
    <col min="1" max="2" width="31.7109375" customWidth="1"/>
    <col min="3" max="3" width="37.140625" bestFit="1" customWidth="1"/>
    <col min="4" max="4" width="37.5703125" customWidth="1"/>
    <col min="6" max="152" width="0" hidden="1" customWidth="1"/>
    <col min="153" max="16384" width="31.7109375" style="45"/>
  </cols>
  <sheetData>
    <row r="1" spans="1:152" ht="240" customHeight="1" x14ac:dyDescent="0.25"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</row>
    <row r="2" spans="1:152" ht="33.75" x14ac:dyDescent="0.25">
      <c r="A2" s="61" t="s">
        <v>7</v>
      </c>
      <c r="B2" s="61"/>
      <c r="C2" s="61"/>
      <c r="D2" s="61"/>
      <c r="E2" s="6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</row>
    <row r="3" spans="1:152" ht="21.75" customHeight="1" x14ac:dyDescent="0.25">
      <c r="A3" s="35" t="s">
        <v>27</v>
      </c>
      <c r="B3" s="33">
        <v>2000</v>
      </c>
      <c r="C3" s="47"/>
      <c r="D3" s="35" t="s">
        <v>30</v>
      </c>
      <c r="E3" s="15">
        <f>+$B$5*10%</f>
        <v>150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</row>
    <row r="4" spans="1:152" ht="21.75" customHeight="1" x14ac:dyDescent="0.25">
      <c r="A4" s="35" t="s">
        <v>28</v>
      </c>
      <c r="B4" s="33">
        <v>500</v>
      </c>
      <c r="C4" s="47"/>
      <c r="D4" s="35" t="s">
        <v>31</v>
      </c>
      <c r="E4" s="15">
        <f>+$B$5*20%</f>
        <v>300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</row>
    <row r="5" spans="1:152" ht="21.75" customHeight="1" x14ac:dyDescent="0.25">
      <c r="A5" s="35" t="s">
        <v>29</v>
      </c>
      <c r="B5" s="33">
        <f>+B3-B4</f>
        <v>1500</v>
      </c>
      <c r="C5" s="47"/>
      <c r="D5" s="35" t="s">
        <v>32</v>
      </c>
      <c r="E5" s="15">
        <f>+$B$5*30%</f>
        <v>450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</row>
    <row r="6" spans="1:152" ht="21.75" customHeight="1" x14ac:dyDescent="0.25">
      <c r="A6" s="19"/>
      <c r="B6" s="19"/>
      <c r="C6" s="19"/>
      <c r="D6" s="47"/>
      <c r="E6" s="47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</row>
    <row r="7" spans="1:152" ht="19.5" x14ac:dyDescent="0.25">
      <c r="A7" s="36" t="s">
        <v>8</v>
      </c>
      <c r="B7" s="37" t="s">
        <v>20</v>
      </c>
      <c r="C7" s="37" t="s">
        <v>21</v>
      </c>
      <c r="D7" s="37" t="s">
        <v>22</v>
      </c>
      <c r="E7" s="37" t="s">
        <v>22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</row>
    <row r="8" spans="1:152" ht="24.75" x14ac:dyDescent="0.25">
      <c r="A8" s="38">
        <v>13000</v>
      </c>
      <c r="B8" s="39">
        <v>7.4999999999999997E-2</v>
      </c>
      <c r="C8" s="40">
        <v>2.93E-2</v>
      </c>
      <c r="D8" s="40">
        <v>4.7899999999999998E-2</v>
      </c>
      <c r="E8" s="40">
        <v>4.0899999999999999E-2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</row>
    <row r="9" spans="1:152" x14ac:dyDescent="0.25">
      <c r="A9" s="48"/>
      <c r="B9" s="48"/>
      <c r="C9" s="21"/>
      <c r="D9" s="21"/>
      <c r="E9" s="4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</row>
    <row r="10" spans="1:152" x14ac:dyDescent="0.25">
      <c r="A10" s="48"/>
      <c r="B10" s="48"/>
      <c r="C10" s="21"/>
      <c r="D10" s="21"/>
      <c r="E10" s="4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</row>
    <row r="11" spans="1:152" ht="25.5" customHeight="1" thickBot="1" x14ac:dyDescent="0.3">
      <c r="A11" s="49" t="s">
        <v>19</v>
      </c>
      <c r="B11" s="49" t="s">
        <v>9</v>
      </c>
      <c r="C11" s="50" t="s">
        <v>10</v>
      </c>
      <c r="D11" s="50" t="s">
        <v>11</v>
      </c>
      <c r="E11" s="50" t="s">
        <v>34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</row>
    <row r="12" spans="1:152" ht="22.5" thickTop="1" thickBot="1" x14ac:dyDescent="0.3">
      <c r="A12" s="51" t="s">
        <v>0</v>
      </c>
      <c r="B12" s="9">
        <v>8</v>
      </c>
      <c r="C12" s="10">
        <v>8.3330000000000002</v>
      </c>
      <c r="D12" s="9">
        <v>8</v>
      </c>
      <c r="E12" s="9">
        <v>8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</row>
    <row r="13" spans="1:152" ht="21.75" thickBot="1" x14ac:dyDescent="0.3">
      <c r="A13" s="51" t="s">
        <v>1</v>
      </c>
      <c r="B13" s="11" t="s">
        <v>2</v>
      </c>
      <c r="C13" s="12" t="s">
        <v>2</v>
      </c>
      <c r="D13" s="11" t="s">
        <v>2</v>
      </c>
      <c r="E13" s="11" t="s">
        <v>2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</row>
    <row r="14" spans="1:152" ht="21.75" thickBot="1" x14ac:dyDescent="0.3">
      <c r="A14" s="51" t="s">
        <v>3</v>
      </c>
      <c r="B14" s="52">
        <v>7.7499999999999999E-2</v>
      </c>
      <c r="C14" s="53">
        <v>7.6499999999999999E-2</v>
      </c>
      <c r="D14" s="52">
        <v>7.9000000000000001E-2</v>
      </c>
      <c r="E14" s="52">
        <v>7.7499999999999999E-2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</row>
    <row r="15" spans="1:152" ht="21.75" thickBot="1" x14ac:dyDescent="0.3">
      <c r="A15" s="51" t="s">
        <v>12</v>
      </c>
      <c r="B15" s="15">
        <f>IFERROR(-PMT(E1Interés/VLOOKUP(E1FrecuenciaDePago,[1]!LoanLookup[#Data],5,FALSE),E1PlazoDelPréstamo*VLOOKUP(E1FrecuenciaDePago,[1]!LoanLookup[#Data],5,FALSE),ImporteDelPréstamo),"")</f>
        <v>182.12927075319004</v>
      </c>
      <c r="C15" s="16">
        <f>IFERROR(-PMT(E2Interés/VLOOKUP(E2FrecuenciaDePago,[1]!LoanLookup[#Data],5,FALSE),E2PlazoDelPréstamo*VLOOKUP(E2FrecuenciaDePago,[1]!LoanLookup[#Data],5,FALSE),ImporteDelPréstamo),"")</f>
        <v>176.21598343946863</v>
      </c>
      <c r="D15" s="15">
        <f>IFERROR(-PMT(E3Interés/VLOOKUP(E3FrecuenciaDePago,[1]!LoanLookup[#Data],5,FALSE),E3PlazoDelPréstamo*VLOOKUP(E3FrecuenciaDePago,[1]!LoanLookup[#Data],5,FALSE),ImporteDelPréstamo),"")</f>
        <v>183.11677526391634</v>
      </c>
      <c r="E15" s="15">
        <f>IFERROR(-PMT(E14/VLOOKUP(E13,[1]!LoanLookup[#Data],5,FALSE),E12*VLOOKUP(E13,[1]!LoanLookup[#Data],5,FALSE),ImporteDelPréstamo),"")</f>
        <v>182.12927075319004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</row>
    <row r="16" spans="1:152" ht="21.75" thickBot="1" x14ac:dyDescent="0.3">
      <c r="A16" s="51" t="s">
        <v>4</v>
      </c>
      <c r="B16" s="17">
        <f>IFERROR(E1PlazoDelPréstamo*VLOOKUP(E1FrecuenciaDePago,[1]!LoanLookup[#Data],5,FALSE),"")</f>
        <v>96</v>
      </c>
      <c r="C16" s="18">
        <f>IFERROR(E2PlazoDelPréstamo*VLOOKUP(E2FrecuenciaDePago,[1]!LoanLookup[#Data],5,FALSE),"")</f>
        <v>99.996000000000009</v>
      </c>
      <c r="D16" s="17">
        <f>IFERROR(E3PlazoDelPréstamo*VLOOKUP(E3FrecuenciaDePago,[1]!LoanLookup[#Data],5,FALSE),"")</f>
        <v>96</v>
      </c>
      <c r="E16" s="17">
        <f>IFERROR(E3PlazoDelPréstamo*VLOOKUP(E3FrecuenciaDePago,[1]!LoanLookup[#Data],5,FALSE),"")</f>
        <v>96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</row>
    <row r="17" spans="1:6" s="45" customFormat="1" ht="21.75" thickBot="1" x14ac:dyDescent="0.3">
      <c r="A17" s="51" t="s">
        <v>5</v>
      </c>
      <c r="B17" s="15">
        <f>IFERROR((E1PagoProgramado*E1TotalDePagos)-ImporteDelPréstamo,"")</f>
        <v>4484.4099923062458</v>
      </c>
      <c r="C17" s="16">
        <f>IFERROR((E2PagoProgramado*E2TotalDePagos)-ImporteDelPréstamo,"")</f>
        <v>4620.8934800131065</v>
      </c>
      <c r="D17" s="15">
        <f>IFERROR((E3PagoProgramado*E3TotalDePagos)-ImporteDelPréstamo,"")</f>
        <v>4579.2104253359685</v>
      </c>
      <c r="E17" s="15">
        <f>+E15*E16-ImporteDelPréstamo</f>
        <v>4484.4099923062458</v>
      </c>
      <c r="F17"/>
    </row>
    <row r="18" spans="1:6" s="45" customFormat="1" ht="21.75" thickBot="1" x14ac:dyDescent="0.3">
      <c r="A18" s="54" t="s">
        <v>6</v>
      </c>
      <c r="B18" s="14">
        <f>IFERROR(ImporteDelPréstamo+E1InterésTotal,"")</f>
        <v>17484.409992306246</v>
      </c>
      <c r="C18" s="14">
        <f>IFERROR(ImporteDelPréstamo+E2InterésTotal,"")</f>
        <v>17620.893480013106</v>
      </c>
      <c r="D18" s="14">
        <f>IFERROR(ImporteDelPréstamo+E3InterésTotal,"")</f>
        <v>17579.210425335968</v>
      </c>
      <c r="E18" s="14">
        <f>+E16*E15</f>
        <v>17484.409992306246</v>
      </c>
      <c r="F18"/>
    </row>
    <row r="19" spans="1:6" s="45" customFormat="1" ht="15.75" thickTop="1" x14ac:dyDescent="0.25">
      <c r="A19" s="8"/>
      <c r="B19" s="8"/>
      <c r="C19" s="8"/>
      <c r="D19" s="8"/>
      <c r="E19" s="47"/>
      <c r="F19"/>
    </row>
    <row r="20" spans="1:6" s="45" customFormat="1" x14ac:dyDescent="0.25">
      <c r="A20" s="8"/>
      <c r="B20" s="8"/>
      <c r="C20" s="8"/>
      <c r="D20" s="8"/>
      <c r="E20" s="47"/>
      <c r="F20"/>
    </row>
    <row r="21" spans="1:6" s="45" customFormat="1" ht="19.5" thickBot="1" x14ac:dyDescent="0.3">
      <c r="A21" s="49" t="s">
        <v>19</v>
      </c>
      <c r="B21" s="49" t="s">
        <v>15</v>
      </c>
      <c r="C21" s="50" t="s">
        <v>13</v>
      </c>
      <c r="D21" s="50" t="s">
        <v>14</v>
      </c>
      <c r="E21" s="50" t="s">
        <v>35</v>
      </c>
      <c r="F21"/>
    </row>
    <row r="22" spans="1:6" s="45" customFormat="1" ht="22.5" thickTop="1" thickBot="1" x14ac:dyDescent="0.3">
      <c r="A22" s="51" t="s">
        <v>0</v>
      </c>
      <c r="B22" s="9">
        <v>8</v>
      </c>
      <c r="C22" s="10">
        <v>8</v>
      </c>
      <c r="D22" s="9">
        <v>8</v>
      </c>
      <c r="E22" s="9">
        <v>8</v>
      </c>
      <c r="F22"/>
    </row>
    <row r="23" spans="1:6" s="45" customFormat="1" ht="21.75" thickBot="1" x14ac:dyDescent="0.3">
      <c r="A23" s="51" t="s">
        <v>1</v>
      </c>
      <c r="B23" s="11" t="s">
        <v>2</v>
      </c>
      <c r="C23" s="12" t="s">
        <v>2</v>
      </c>
      <c r="D23" s="11" t="s">
        <v>2</v>
      </c>
      <c r="E23" s="11" t="s">
        <v>2</v>
      </c>
      <c r="F23"/>
    </row>
    <row r="24" spans="1:6" s="45" customFormat="1" ht="21.75" thickBot="1" x14ac:dyDescent="0.3">
      <c r="A24" s="51" t="s">
        <v>23</v>
      </c>
      <c r="B24" s="52">
        <v>5.9499999999999997E-2</v>
      </c>
      <c r="C24" s="53">
        <v>8.8999999999999996E-2</v>
      </c>
      <c r="D24" s="52">
        <v>5.9499999999999997E-2</v>
      </c>
      <c r="E24" s="52">
        <v>7.2499999999999995E-2</v>
      </c>
      <c r="F24"/>
    </row>
    <row r="25" spans="1:6" s="45" customFormat="1" ht="21.75" thickBot="1" x14ac:dyDescent="0.3">
      <c r="A25" s="51" t="s">
        <v>12</v>
      </c>
      <c r="B25" s="15">
        <f>IFERROR(-PMT(B24/VLOOKUP(B23,[1]!LoanLookup[#Data],5,FALSE),B22*VLOOKUP(B23,[1]!LoanLookup[#Data],5,FALSE),A8),"")</f>
        <v>170.52227353708685</v>
      </c>
      <c r="C25" s="16">
        <f>IFERROR(-PMT(C24/VLOOKUP(C23,[1]!LoanLookup[#Data],5,FALSE),C22*VLOOKUP(C23,[1]!LoanLookup[#Data],5,FALSE),A8),"")</f>
        <v>189.7789278327545</v>
      </c>
      <c r="D25" s="15">
        <f>IFERROR(-PMT(D24/VLOOKUP(D23,[1]!LoanLookup[#Data],5,FALSE),E3PlazoDelPréstamo*VLOOKUP(D23,[1]!LoanLookup[#Data],5,FALSE),ImporteDelPréstamo),"")</f>
        <v>170.52227353708685</v>
      </c>
      <c r="E25" s="15">
        <f>IFERROR(-PMT(E1Interés/VLOOKUP(E1FrecuenciaDePago,[1]!LoanLookup[#Data],5,FALSE),E1PlazoDelPréstamo*VLOOKUP(E1FrecuenciaDePago,[1]!LoanLookup[#Data],5,FALSE),ImporteDelPréstamo),"")</f>
        <v>182.12927075319004</v>
      </c>
      <c r="F25"/>
    </row>
    <row r="26" spans="1:6" s="45" customFormat="1" ht="21.75" thickBot="1" x14ac:dyDescent="0.3">
      <c r="A26" s="51" t="s">
        <v>24</v>
      </c>
      <c r="B26" s="42">
        <f>6.81%+D8</f>
        <v>0.11599999999999999</v>
      </c>
      <c r="C26" s="43">
        <f>8.6%+C8</f>
        <v>0.11529999999999999</v>
      </c>
      <c r="D26" s="42">
        <f>3.75%+B8</f>
        <v>0.11249999999999999</v>
      </c>
      <c r="E26" s="43">
        <f>5.5%+E8</f>
        <v>9.5899999999999999E-2</v>
      </c>
      <c r="F26"/>
    </row>
    <row r="27" spans="1:6" s="45" customFormat="1" ht="21.75" thickBot="1" x14ac:dyDescent="0.3">
      <c r="A27" s="51" t="s">
        <v>12</v>
      </c>
      <c r="B27" s="15">
        <f>IFERROR(-PMT(B26/VLOOKUP(B23,[1]!LoanLookup[#Data],5,FALSE),B22*VLOOKUP(B23,[1]!LoanLookup[#Data],5,FALSE),A8),"")</f>
        <v>208.44026326492434</v>
      </c>
      <c r="C27" s="16">
        <f>IFERROR(-PMT(C26/VLOOKUP(C23,[1]!LoanLookup[#Data],5,FALSE),C22*VLOOKUP(C23,[1]!LoanLookup[#Data],5,FALSE),A8),"")</f>
        <v>207.94424319755507</v>
      </c>
      <c r="D27" s="15">
        <f>IFERROR(-PMT(D26/VLOOKUP(D23,[1]!LoanLookup[#Data],5,FALSE),D22*VLOOKUP(D23,[1]!LoanLookup[#Data],5,FALSE),A8),"")</f>
        <v>205.96658659194929</v>
      </c>
      <c r="E27" s="16">
        <f>IFERROR(-PMT(E26/VLOOKUP(E23,[1]!LoanLookup[#Data],5,FALSE),E22*VLOOKUP(E23,[1]!LoanLookup[#Data],5,FALSE),A8),"")</f>
        <v>194.45512201022106</v>
      </c>
      <c r="F27"/>
    </row>
    <row r="28" spans="1:6" s="45" customFormat="1" ht="21.75" thickBot="1" x14ac:dyDescent="0.3">
      <c r="A28" s="51" t="s">
        <v>4</v>
      </c>
      <c r="B28" s="17">
        <f>IFERROR(E1PlazoDelPréstamo*VLOOKUP(E1FrecuenciaDePago,[1]!LoanLookup[#Data],5,FALSE),"")</f>
        <v>96</v>
      </c>
      <c r="C28" s="18">
        <f>IFERROR(C22*VLOOKUP(C23,[1]!LoanLookup[#Data],5,FALSE),"")</f>
        <v>96</v>
      </c>
      <c r="D28" s="17">
        <f>IFERROR(E3PlazoDelPréstamo*VLOOKUP(E3FrecuenciaDePago,[1]!LoanLookup[#Data],5,FALSE),"")</f>
        <v>96</v>
      </c>
      <c r="E28" s="18">
        <f>IFERROR(E22*VLOOKUP(E23,[1]!LoanLookup[#Data],5,FALSE),"")</f>
        <v>96</v>
      </c>
      <c r="F28"/>
    </row>
    <row r="29" spans="1:6" s="45" customFormat="1" ht="21.75" thickBot="1" x14ac:dyDescent="0.3">
      <c r="A29" s="51" t="s">
        <v>5</v>
      </c>
      <c r="B29" s="15">
        <f>+B25*24+B27*72-ImporteDelPréstamo</f>
        <v>6100.2335199646368</v>
      </c>
      <c r="C29" s="16">
        <f>+C25*24+C27*72-ImporteDelPréstamo</f>
        <v>6526.679778210073</v>
      </c>
      <c r="D29" s="15">
        <f>+D25*36+D27*60-ImporteDelPréstamo</f>
        <v>5496.7970428520857</v>
      </c>
      <c r="E29" s="16">
        <f>+E25*60+E27*36-ImporteDelPréstamo</f>
        <v>4928.1406375593579</v>
      </c>
      <c r="F29"/>
    </row>
    <row r="30" spans="1:6" s="45" customFormat="1" ht="21.75" thickBot="1" x14ac:dyDescent="0.4">
      <c r="A30" s="54" t="s">
        <v>6</v>
      </c>
      <c r="B30" s="7">
        <f>+(24*B25)+(72*B27)</f>
        <v>19100.233519964637</v>
      </c>
      <c r="C30" s="7">
        <f>+(24*C25)+(72*C27)</f>
        <v>19526.679778210073</v>
      </c>
      <c r="D30" s="7">
        <f>+(36*D25)+D27*60</f>
        <v>18496.797042852086</v>
      </c>
      <c r="E30" s="7">
        <f>+E25*60+E27*36</f>
        <v>17928.140637559358</v>
      </c>
      <c r="F30"/>
    </row>
    <row r="31" spans="1:6" s="46" customFormat="1" ht="30" customHeight="1" thickTop="1" x14ac:dyDescent="0.25">
      <c r="A31" s="60" t="s">
        <v>33</v>
      </c>
      <c r="B31" s="60"/>
      <c r="C31" s="60"/>
      <c r="D31" s="60"/>
      <c r="E31" s="60"/>
      <c r="F31" s="44"/>
    </row>
    <row r="32" spans="1:6" s="45" customFormat="1" hidden="1" x14ac:dyDescent="0.25">
      <c r="A32" s="1"/>
      <c r="B32" s="1"/>
      <c r="C32" s="1"/>
      <c r="D32" s="1" t="s">
        <v>18</v>
      </c>
      <c r="E32"/>
      <c r="F32"/>
    </row>
    <row r="33" spans="1:6" s="45" customFormat="1" hidden="1" x14ac:dyDescent="0.25">
      <c r="A33" s="1"/>
      <c r="B33" s="1"/>
      <c r="C33" s="1"/>
      <c r="D33" s="1"/>
      <c r="E33"/>
      <c r="F33"/>
    </row>
    <row r="34" spans="1:6" s="45" customFormat="1" hidden="1" x14ac:dyDescent="0.25">
      <c r="A34" s="1"/>
      <c r="B34" s="1"/>
      <c r="C34" s="1"/>
      <c r="D34" s="1"/>
      <c r="E34"/>
      <c r="F34"/>
    </row>
    <row r="35" spans="1:6" s="45" customFormat="1" hidden="1" x14ac:dyDescent="0.25">
      <c r="A35" s="1"/>
      <c r="B35" s="1"/>
      <c r="C35" s="1"/>
      <c r="D35" s="1"/>
      <c r="E35"/>
      <c r="F35"/>
    </row>
    <row r="36" spans="1:6" s="45" customFormat="1" hidden="1" x14ac:dyDescent="0.25">
      <c r="A36" s="1"/>
      <c r="B36" s="1"/>
      <c r="C36" s="1"/>
      <c r="D36" s="1"/>
      <c r="E36"/>
      <c r="F36"/>
    </row>
    <row r="37" spans="1:6" s="45" customFormat="1" hidden="1" x14ac:dyDescent="0.25">
      <c r="A37" s="1"/>
      <c r="B37" s="1"/>
      <c r="C37" s="1"/>
      <c r="D37" s="1"/>
      <c r="E37"/>
      <c r="F37"/>
    </row>
    <row r="38" spans="1:6" s="45" customFormat="1" hidden="1" x14ac:dyDescent="0.25">
      <c r="A38" s="1"/>
      <c r="B38" s="1"/>
      <c r="C38" s="1"/>
      <c r="D38" s="1"/>
      <c r="E38"/>
      <c r="F38"/>
    </row>
    <row r="39" spans="1:6" s="45" customFormat="1" hidden="1" x14ac:dyDescent="0.25">
      <c r="A39" s="1"/>
      <c r="B39" s="1"/>
      <c r="C39" s="1"/>
      <c r="D39" s="1"/>
      <c r="E39"/>
      <c r="F39"/>
    </row>
  </sheetData>
  <mergeCells count="2">
    <mergeCell ref="A31:E31"/>
    <mergeCell ref="A2:E2"/>
  </mergeCells>
  <conditionalFormatting sqref="B18:D1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E3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D18 B30:E3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 B27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C25 C2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25 D27">
    <cfRule type="iconSet" priority="16">
      <iconSet>
        <cfvo type="percent" val="0"/>
        <cfvo type="percent" val="33"/>
        <cfvo type="percent" val="67"/>
      </iconSet>
    </cfRule>
  </conditionalFormatting>
  <conditionalFormatting sqref="E3:E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E18 B30:E3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iconSet" priority="2">
      <iconSet iconSet="3Arrows">
        <cfvo type="percent" val="0"/>
        <cfvo type="percent" val="33"/>
        <cfvo type="percent" val="67"/>
      </iconSet>
    </cfRule>
  </conditionalFormatting>
  <dataValidations count="24">
    <dataValidation allowBlank="1" showInputMessage="1" showErrorMessage="1" prompt="Escriba el importe del préstamo en esta celda." sqref="A8"/>
    <dataValidation allowBlank="1" showInputMessage="1" showErrorMessage="1" prompt="Escriba el periodo del préstamo en años correspondiente al escenario 1 en esta celda." sqref="B12 B22 E22"/>
    <dataValidation allowBlank="1" showInputMessage="1" showErrorMessage="1" prompt="Escriba la tasa de interés anual correspondiente al escenario 1 en esta celda." sqref="B14 B24 E24"/>
    <dataValidation allowBlank="1" showInputMessage="1" showErrorMessage="1" prompt="El pago programado se calcula automáticamente a partir de las entradas especificadas para el escario 1 en esta celda." sqref="B15 B25:B26 E25"/>
    <dataValidation allowBlank="1" showInputMessage="1" showErrorMessage="1" prompt="El total de pagos se calcula automáticamente a partir de las entradas especificadas para el escario 1 en esta celda." sqref="B16 B28"/>
    <dataValidation allowBlank="1" showInputMessage="1" showErrorMessage="1" prompt="El total de intereses se calcula automáticamente a partir de las entradas especificadas para el escario 1 en esta celda." sqref="B17 B29"/>
    <dataValidation allowBlank="1" showInputMessage="1" showErrorMessage="1" prompt="Escriba el periodo del préstamo en años correspondiente al escenario 2 en esta celda." sqref="C12 C22"/>
    <dataValidation allowBlank="1" showInputMessage="1" showErrorMessage="1" prompt="Escriba el periodo del préstamo en años correspondiente al escenario 3 en esta celda." sqref="D12:E12 D22"/>
    <dataValidation allowBlank="1" showInputMessage="1" showErrorMessage="1" prompt="Escriba la tasa de interés anual correspondiente al escenario 3 en esta celda." sqref="D14:E14 D24"/>
    <dataValidation allowBlank="1" showInputMessage="1" showErrorMessage="1" prompt="El pago programado se calcula automáticamente a partir de las entradas especificadas para el escario 2 en esta celda." sqref="C15 C25:C26"/>
    <dataValidation allowBlank="1" showInputMessage="1" showErrorMessage="1" prompt="El pago programado se calcula automáticamente a partir de las entradas especificadas para el escario 3 en esta celda." sqref="D15:E15 D25:D27 B27:C27 E27"/>
    <dataValidation allowBlank="1" showInputMessage="1" showErrorMessage="1" prompt="El total de pagos se calcula automáticamente a partir de las entradas especificadas para el escario 2 en esta celda." sqref="C16 C28"/>
    <dataValidation allowBlank="1" showInputMessage="1" showErrorMessage="1" prompt="El total de pagos se calcula automáticamente a partir de las entradas especificadas para el escario 3 en esta celda." sqref="D16:E16 D28"/>
    <dataValidation allowBlank="1" showInputMessage="1" showErrorMessage="1" prompt="El total de intereses se calcula automáticamente a partir de las entradas especificadas para el escario 2 en esta celda." sqref="C17 C29 E29"/>
    <dataValidation allowBlank="1" showInputMessage="1" showErrorMessage="1" prompt="El total de intereses se calcula automáticamente a partir de las entradas especificadas para el escario 3 en esta celda." sqref="D17:E17 D29"/>
    <dataValidation allowBlank="1" showInputMessage="1" showErrorMessage="1" prompt="Escriba la información del préstamo del escenario 1 en esta columna. El gráfico de la derecha en la celda G3 se actualizará automáticamente junto con el pago programado, y el total de pagos e intereses." sqref="B11 B21"/>
    <dataValidation allowBlank="1" showInputMessage="1" showErrorMessage="1" prompt="Escriba la información del préstamo del escenario 3 en esta columna. El gráfico de la derecha en la celda G3 se actualizará automáticamente junto con el pago programado, y el total de pagos e intereses." sqref="D11 D21"/>
    <dataValidation allowBlank="1" showInputMessage="1" showErrorMessage="1" prompt="Escriba la información del préstamo del escenario 2 en esta columna. El gráfico de la derecha en la celda G3 se actualizará automáticamente junto con el pago programado, y el total de pagos e intereses." sqref="C11 C21"/>
    <dataValidation allowBlank="1" showInputMessage="1" showErrorMessage="1" prompt="Escriba la información del préstamo en la tabla Información de comparación de préstamos siguiente." sqref="A7 A9:A10 A3:A4"/>
    <dataValidation allowBlank="1" showInputMessage="1" showErrorMessage="1" prompt="El título de la hoja de cálculo se encuentra en esta celda." sqref="A2 A6"/>
    <dataValidation type="list" allowBlank="1" showInputMessage="1" showErrorMessage="1" prompt="Escriba la frecuencia de pago del escenario 2 en esta celda. Presione ALT+FLECHA ABAJO para abrir la lista desplegable y, luego, presione ENTRAR para seleccionar la frecuencia de pago en esta celda." sqref="C13 C23">
      <formula1>Frecuencia_De_Pago</formula1>
    </dataValidation>
    <dataValidation type="list" allowBlank="1" showInputMessage="1" showErrorMessage="1" prompt="Escriba la frecuencia de pago del escenario 1 en esta celda. Presione ALT+FLECHA ABAJO para abrir la lista desplegable y, luego, presione ENTRAR para seleccionar la frecuencia de pago en esta celda." sqref="B13 B23 E23">
      <formula1>Frecuencia_De_Pago</formula1>
    </dataValidation>
    <dataValidation type="list" allowBlank="1" showInputMessage="1" showErrorMessage="1" prompt="Escriba la frecuencia de pago del escenario 3 en esta celda. Presione ALT+FLECHA ABAJO para abrir la lista desplegable y, luego, presione ENTRAR para seleccionar la frecuencia de pago en esta celda." sqref="D13:E13 D23">
      <formula1>Frecuencia_De_Pago</formula1>
    </dataValidation>
    <dataValidation allowBlank="1" showInputMessage="1" showErrorMessage="1" prompt="Escriba la tasa de interés anual correspondiente al escenario 2 en esta celda." sqref="C14 C24"/>
  </dataValidations>
  <pageMargins left="0.7" right="0.7" top="0.75" bottom="0.75" header="0.3" footer="0.3"/>
  <drawing r:id="rId1"/>
  <legacy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169E6243-A5D8-46B9-90F9-EF9F7864A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B25 B27</xm:sqref>
        </x14:conditionalFormatting>
        <x14:conditionalFormatting xmlns:xm="http://schemas.microsoft.com/office/excel/2006/main">
          <x14:cfRule type="iconSet" priority="17" id="{E15E8BE8-F9CA-4CDC-AF0E-934448AA97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C25 C27</xm:sqref>
        </x14:conditionalFormatting>
        <x14:conditionalFormatting xmlns:xm="http://schemas.microsoft.com/office/excel/2006/main">
          <x14:cfRule type="iconSet" priority="15" id="{703701B2-4EDE-4C0A-9629-E4C50B38D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D25 D27</xm:sqref>
        </x14:conditionalFormatting>
        <x14:conditionalFormatting xmlns:xm="http://schemas.microsoft.com/office/excel/2006/main">
          <x14:cfRule type="iconSet" priority="1" id="{978706B9-7B83-4588-B628-AA22EA125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E39"/>
  <sheetViews>
    <sheetView tabSelected="1" topLeftCell="A2" zoomScale="80" zoomScaleNormal="80" workbookViewId="0">
      <selection activeCell="B5" sqref="B5"/>
    </sheetView>
  </sheetViews>
  <sheetFormatPr baseColWidth="10" defaultColWidth="31.7109375" defaultRowHeight="15" zeroHeight="1" x14ac:dyDescent="0.25"/>
  <cols>
    <col min="1" max="1" width="32.5703125" style="20" bestFit="1" customWidth="1"/>
    <col min="2" max="2" width="31.7109375" style="20"/>
    <col min="3" max="3" width="37.140625" style="20" bestFit="1" customWidth="1"/>
    <col min="4" max="4" width="31.7109375" style="20"/>
    <col min="5" max="5" width="32.7109375" style="20" customWidth="1"/>
    <col min="6" max="16384" width="31.7109375" style="20"/>
  </cols>
  <sheetData>
    <row r="1" spans="1:5" ht="254.25" customHeight="1" x14ac:dyDescent="0.25">
      <c r="A1" s="48"/>
      <c r="B1" s="48"/>
      <c r="C1" s="48"/>
      <c r="D1" s="48"/>
      <c r="E1" s="48"/>
    </row>
    <row r="2" spans="1:5" ht="33.75" x14ac:dyDescent="0.25">
      <c r="A2" s="61" t="s">
        <v>7</v>
      </c>
      <c r="B2" s="61"/>
      <c r="C2" s="61"/>
      <c r="D2" s="61"/>
      <c r="E2" s="61"/>
    </row>
    <row r="3" spans="1:5" ht="21" x14ac:dyDescent="0.25">
      <c r="A3" s="35" t="s">
        <v>27</v>
      </c>
      <c r="B3" s="34">
        <v>1000000</v>
      </c>
      <c r="C3" s="48"/>
      <c r="D3" s="35" t="s">
        <v>30</v>
      </c>
      <c r="E3" s="27">
        <f>+$B$5*10%</f>
        <v>85000</v>
      </c>
    </row>
    <row r="4" spans="1:5" ht="21" x14ac:dyDescent="0.25">
      <c r="A4" s="35" t="s">
        <v>28</v>
      </c>
      <c r="B4" s="34">
        <v>150000</v>
      </c>
      <c r="C4" s="48"/>
      <c r="D4" s="35" t="s">
        <v>31</v>
      </c>
      <c r="E4" s="27">
        <f>+$B$5*20%</f>
        <v>170000</v>
      </c>
    </row>
    <row r="5" spans="1:5" ht="21" x14ac:dyDescent="0.25">
      <c r="A5" s="35" t="s">
        <v>29</v>
      </c>
      <c r="B5" s="34">
        <f>+B3-B4</f>
        <v>850000</v>
      </c>
      <c r="C5" s="48"/>
      <c r="D5" s="35" t="s">
        <v>32</v>
      </c>
      <c r="E5" s="27">
        <f>+$B$5*30%</f>
        <v>255000</v>
      </c>
    </row>
    <row r="6" spans="1:5" ht="21" x14ac:dyDescent="0.25">
      <c r="A6" s="30"/>
      <c r="B6" s="56"/>
      <c r="C6" s="30"/>
      <c r="D6" s="56"/>
      <c r="E6" s="48"/>
    </row>
    <row r="7" spans="1:5" ht="19.5" x14ac:dyDescent="0.25">
      <c r="A7" s="36" t="s">
        <v>8</v>
      </c>
      <c r="B7" s="37" t="s">
        <v>25</v>
      </c>
      <c r="C7" s="37" t="s">
        <v>22</v>
      </c>
      <c r="D7" s="21"/>
      <c r="E7" s="48"/>
    </row>
    <row r="8" spans="1:5" ht="24.75" x14ac:dyDescent="0.25">
      <c r="A8" s="41">
        <v>15000000</v>
      </c>
      <c r="B8" s="39">
        <v>4.0399999999999998E-2</v>
      </c>
      <c r="C8" s="40">
        <v>3.4700000000000002E-2</v>
      </c>
      <c r="D8" s="48"/>
      <c r="E8" s="48"/>
    </row>
    <row r="9" spans="1:5" x14ac:dyDescent="0.25">
      <c r="A9" s="48"/>
      <c r="B9" s="48"/>
      <c r="C9" s="47"/>
      <c r="D9" s="48"/>
      <c r="E9" s="48"/>
    </row>
    <row r="10" spans="1:5" x14ac:dyDescent="0.25">
      <c r="A10" s="48"/>
      <c r="B10" s="48"/>
      <c r="C10" s="21"/>
      <c r="D10" s="21"/>
      <c r="E10" s="48"/>
    </row>
    <row r="11" spans="1:5" ht="19.5" thickBot="1" x14ac:dyDescent="0.3">
      <c r="A11" s="49" t="s">
        <v>19</v>
      </c>
      <c r="B11" s="49" t="s">
        <v>9</v>
      </c>
      <c r="C11" s="50" t="s">
        <v>10</v>
      </c>
      <c r="D11" s="50" t="s">
        <v>11</v>
      </c>
      <c r="E11" s="50" t="s">
        <v>34</v>
      </c>
    </row>
    <row r="12" spans="1:5" ht="22.5" thickTop="1" thickBot="1" x14ac:dyDescent="0.3">
      <c r="A12" s="51" t="s">
        <v>0</v>
      </c>
      <c r="B12" s="9">
        <v>8</v>
      </c>
      <c r="C12" s="10">
        <v>8.3330000000000002</v>
      </c>
      <c r="D12" s="2" t="s">
        <v>26</v>
      </c>
      <c r="E12" s="10">
        <v>8</v>
      </c>
    </row>
    <row r="13" spans="1:5" ht="21.75" thickBot="1" x14ac:dyDescent="0.3">
      <c r="A13" s="51" t="s">
        <v>1</v>
      </c>
      <c r="B13" s="11" t="s">
        <v>2</v>
      </c>
      <c r="C13" s="12" t="s">
        <v>2</v>
      </c>
      <c r="D13" s="3" t="s">
        <v>2</v>
      </c>
      <c r="E13" s="12" t="s">
        <v>2</v>
      </c>
    </row>
    <row r="14" spans="1:5" ht="21.75" thickBot="1" x14ac:dyDescent="0.3">
      <c r="A14" s="51" t="s">
        <v>3</v>
      </c>
      <c r="B14" s="52">
        <v>9.1999999999999998E-2</v>
      </c>
      <c r="C14" s="53">
        <v>0.09</v>
      </c>
      <c r="D14" s="22" t="s">
        <v>26</v>
      </c>
      <c r="E14" s="62">
        <v>0.09</v>
      </c>
    </row>
    <row r="15" spans="1:5" ht="21.75" thickBot="1" x14ac:dyDescent="0.3">
      <c r="A15" s="51" t="s">
        <v>12</v>
      </c>
      <c r="B15" s="27">
        <f>IFERROR(-PMT(E1Interés/VLOOKUP(E1FrecuenciaDePago,[1]!LoanLookup[#Data],5,FALSE),E1PlazoDelPréstamo*VLOOKUP(E1FrecuenciaDePago,[1]!LoanLookup[#Data],5,FALSE),ImporteDelPréstamo),"")</f>
        <v>221312.47039769083</v>
      </c>
      <c r="C15" s="29">
        <f>IFERROR(-PMT(E2Interés/VLOOKUP(E2FrecuenciaDePago,[1]!LoanLookup[#Data],5,FALSE),E2PlazoDelPréstamo*VLOOKUP(E2FrecuenciaDePago,[1]!LoanLookup[#Data],5,FALSE),ImporteDelPréstamo),"")</f>
        <v>213758.23530152414</v>
      </c>
      <c r="D15" s="5" t="s">
        <v>26</v>
      </c>
      <c r="E15" s="28">
        <f>IFERROR(-PMT(E14/VLOOKUP(E13,[1]!LoanLookup[#Data],5,FALSE),E12*VLOOKUP(E13,[1]!LoanLookup[#Data],5,FALSE),ImporteDelPréstamo),"")</f>
        <v>219753.04910539452</v>
      </c>
    </row>
    <row r="16" spans="1:5" ht="21.75" thickBot="1" x14ac:dyDescent="0.3">
      <c r="A16" s="51" t="s">
        <v>4</v>
      </c>
      <c r="B16" s="17">
        <f>IFERROR(E1PlazoDelPréstamo*VLOOKUP(E1FrecuenciaDePago,[1]!LoanLookup[#Data],5,FALSE),"")</f>
        <v>96</v>
      </c>
      <c r="C16" s="18">
        <f>IFERROR(E2PlazoDelPréstamo*VLOOKUP(E2FrecuenciaDePago,[1]!LoanLookup[#Data],5,FALSE),"")</f>
        <v>99.996000000000009</v>
      </c>
      <c r="D16" s="4" t="s">
        <v>26</v>
      </c>
      <c r="E16" s="13">
        <f>12*E12</f>
        <v>96</v>
      </c>
    </row>
    <row r="17" spans="1:5" ht="21.75" thickBot="1" x14ac:dyDescent="0.3">
      <c r="A17" s="51" t="s">
        <v>5</v>
      </c>
      <c r="B17" s="24">
        <f>+LoanComparisonInfo810[[#Totals],[Columna2]]-ImporteDelPréstamo</f>
        <v>6245997.158178322</v>
      </c>
      <c r="C17" s="25">
        <f>+LoanComparisonInfo810[[#Totals],[Columna3]]-ImporteDelPréstamo</f>
        <v>6374968.4972112104</v>
      </c>
      <c r="D17" s="32" t="s">
        <v>26</v>
      </c>
      <c r="E17" s="23">
        <f>+LoanComparisonInfo810[[#Totals],[Columna3]]-ImporteDelPréstamo</f>
        <v>6374968.4972112104</v>
      </c>
    </row>
    <row r="18" spans="1:5" ht="21.75" thickBot="1" x14ac:dyDescent="0.3">
      <c r="A18" s="49" t="s">
        <v>6</v>
      </c>
      <c r="B18" s="26">
        <f>+E1TotalDePagos*E1PagoProgramado</f>
        <v>21245997.158178322</v>
      </c>
      <c r="C18" s="26">
        <f>+E2TotalDePagos*E2PagoProgramado</f>
        <v>21374968.49721121</v>
      </c>
      <c r="D18" s="31" t="s">
        <v>17</v>
      </c>
      <c r="E18" s="55">
        <f>+ImporteDelPréstamo+E17</f>
        <v>21374968.49721121</v>
      </c>
    </row>
    <row r="19" spans="1:5" ht="15.75" thickTop="1" x14ac:dyDescent="0.25">
      <c r="A19" s="8"/>
      <c r="B19" s="8"/>
      <c r="C19" s="8"/>
      <c r="D19" s="8"/>
      <c r="E19" s="57"/>
    </row>
    <row r="20" spans="1:5" x14ac:dyDescent="0.25">
      <c r="A20" s="8"/>
      <c r="B20" s="8"/>
      <c r="C20" s="8"/>
      <c r="D20" s="8"/>
      <c r="E20" s="57"/>
    </row>
    <row r="21" spans="1:5" ht="19.5" thickBot="1" x14ac:dyDescent="0.3">
      <c r="A21" s="49" t="s">
        <v>19</v>
      </c>
      <c r="B21" s="49" t="s">
        <v>15</v>
      </c>
      <c r="C21" s="50" t="s">
        <v>13</v>
      </c>
      <c r="D21" s="50" t="s">
        <v>14</v>
      </c>
      <c r="E21" s="50" t="s">
        <v>35</v>
      </c>
    </row>
    <row r="22" spans="1:5" ht="22.5" thickTop="1" thickBot="1" x14ac:dyDescent="0.3">
      <c r="A22" s="51" t="s">
        <v>0</v>
      </c>
      <c r="B22" s="9">
        <v>8</v>
      </c>
      <c r="C22" s="10">
        <v>8</v>
      </c>
      <c r="D22" s="9">
        <v>8</v>
      </c>
      <c r="E22" s="10">
        <v>8</v>
      </c>
    </row>
    <row r="23" spans="1:5" ht="21.75" thickBot="1" x14ac:dyDescent="0.3">
      <c r="A23" s="51" t="s">
        <v>1</v>
      </c>
      <c r="B23" s="11" t="s">
        <v>2</v>
      </c>
      <c r="C23" s="12" t="s">
        <v>2</v>
      </c>
      <c r="D23" s="11" t="s">
        <v>2</v>
      </c>
      <c r="E23" s="12" t="s">
        <v>2</v>
      </c>
    </row>
    <row r="24" spans="1:5" ht="21.75" thickBot="1" x14ac:dyDescent="0.3">
      <c r="A24" s="51" t="s">
        <v>23</v>
      </c>
      <c r="B24" s="52">
        <v>7.9000000000000001E-2</v>
      </c>
      <c r="C24" s="58">
        <f>4.9%+B8</f>
        <v>8.9400000000000007E-2</v>
      </c>
      <c r="D24" s="52">
        <v>7.9000000000000001E-2</v>
      </c>
      <c r="E24" s="58">
        <v>9.2499999999999999E-2</v>
      </c>
    </row>
    <row r="25" spans="1:5" ht="21.75" thickBot="1" x14ac:dyDescent="0.3">
      <c r="A25" s="51" t="s">
        <v>12</v>
      </c>
      <c r="B25" s="24">
        <f>IFERROR(-PMT(B24/VLOOKUP(B23,[1]!LoanLookup[#Data],5,FALSE),B22*VLOOKUP(B23,[1]!LoanLookup[#Data],5,FALSE),A8),"")</f>
        <v>211288.58684298038</v>
      </c>
      <c r="C25" s="16">
        <f>IFERROR(-PMT(C24/VLOOKUP(C23,[1]!LoanLookup[#Data],5,FALSE),C22*VLOOKUP(C23,[1]!LoanLookup[#Data],5,FALSE),A8),"")</f>
        <v>219286.44321448976</v>
      </c>
      <c r="D25" s="24">
        <f>IFERROR(-PMT(D24/VLOOKUP(D23,[1]!LoanLookup[#Data],5,FALSE),D22*VLOOKUP(D23,[1]!LoanLookup[#Data],5,FALSE),A8),"")</f>
        <v>211288.58684298038</v>
      </c>
      <c r="E25" s="25">
        <f>IFERROR(-PMT(E1Interés/VLOOKUP(E1FrecuenciaDePago,[1]!LoanLookup[#Data],5,FALSE),E1PlazoDelPréstamo*VLOOKUP(E1FrecuenciaDePago,[1]!LoanLookup[#Data],5,FALSE),ImporteDelPréstamo),"")</f>
        <v>221312.47039769083</v>
      </c>
    </row>
    <row r="26" spans="1:5" ht="21.75" thickBot="1" x14ac:dyDescent="0.3">
      <c r="A26" s="51" t="s">
        <v>24</v>
      </c>
      <c r="B26" s="42">
        <f>+C8+5.18%</f>
        <v>8.6499999999999994E-2</v>
      </c>
      <c r="C26" s="43" t="s">
        <v>16</v>
      </c>
      <c r="D26" s="42">
        <f>3.75%+B8</f>
        <v>7.7899999999999997E-2</v>
      </c>
      <c r="E26" s="43">
        <f>6%+B8</f>
        <v>0.10039999999999999</v>
      </c>
    </row>
    <row r="27" spans="1:5" ht="21.75" thickBot="1" x14ac:dyDescent="0.3">
      <c r="A27" s="51" t="s">
        <v>12</v>
      </c>
      <c r="B27" s="24">
        <f>IFERROR(-PMT(B26/VLOOKUP(B23,[1]!LoanLookup[#Data],5,FALSE),B22*VLOOKUP(B23,[1]!LoanLookup[#Data],5,FALSE),A8),"")+6000</f>
        <v>223039.14062054746</v>
      </c>
      <c r="C27" s="16"/>
      <c r="D27" s="24">
        <f>IFERROR(-PMT(D26/VLOOKUP(D23,[1]!LoanLookup[#Data],5,FALSE),D22*VLOOKUP(D23,[1]!LoanLookup[#Data],5,FALSE),A8),"")</f>
        <v>210452.65680186535</v>
      </c>
      <c r="E27" s="25">
        <f>IFERROR(-PMT(E26/VLOOKUP(E23,[1]!LoanLookup[#Data],5,FALSE),E22*VLOOKUP(E23,[1]!LoanLookup[#Data],5,FALSE),A8),"")</f>
        <v>227930.06591952601</v>
      </c>
    </row>
    <row r="28" spans="1:5" ht="21.75" thickBot="1" x14ac:dyDescent="0.3">
      <c r="A28" s="51" t="s">
        <v>4</v>
      </c>
      <c r="B28" s="17">
        <f>IFERROR(E1PlazoDelPréstamo*VLOOKUP(E1FrecuenciaDePago,[1]!LoanLookup[#Data],5,FALSE),"")</f>
        <v>96</v>
      </c>
      <c r="C28" s="18">
        <f>IFERROR(C22*VLOOKUP(C23,[1]!LoanLookup[#Data],5,FALSE),"")</f>
        <v>96</v>
      </c>
      <c r="D28" s="17">
        <f>+D22*12</f>
        <v>96</v>
      </c>
      <c r="E28" s="18">
        <f>IFERROR(E22*VLOOKUP(E23,[1]!LoanLookup[#Data],5,FALSE),"")</f>
        <v>96</v>
      </c>
    </row>
    <row r="29" spans="1:5" ht="21.75" thickBot="1" x14ac:dyDescent="0.3">
      <c r="A29" s="51" t="s">
        <v>5</v>
      </c>
      <c r="B29" s="24">
        <f>+B25*24+B27*72-ImporteDelPréstamo</f>
        <v>6129744.2089109458</v>
      </c>
      <c r="C29" s="25">
        <f>+C25*C28-A8</f>
        <v>6051498.5485910177</v>
      </c>
      <c r="D29" s="24">
        <f>+D25*48+D27*48-ImporteDelPréstamo</f>
        <v>5243579.694952596</v>
      </c>
      <c r="E29" s="25">
        <f>+E25*60+E27*36-ImporteDelPréstamo</f>
        <v>6484230.5969643854</v>
      </c>
    </row>
    <row r="30" spans="1:5" ht="21.75" thickBot="1" x14ac:dyDescent="0.4">
      <c r="A30" s="54" t="s">
        <v>6</v>
      </c>
      <c r="B30" s="6">
        <f>+B29+ImporteDelPréstamo</f>
        <v>21129744.208910946</v>
      </c>
      <c r="C30" s="6">
        <f>+C29+ImporteDelPréstamo</f>
        <v>21051498.548591018</v>
      </c>
      <c r="D30" s="6">
        <f>+D29+ImporteDelPréstamo</f>
        <v>20243579.694952596</v>
      </c>
      <c r="E30" s="59">
        <f>+E29+ImporteDelPréstamo</f>
        <v>21484230.596964385</v>
      </c>
    </row>
    <row r="31" spans="1:5" ht="15.75" thickTop="1" x14ac:dyDescent="0.25">
      <c r="A31" s="60" t="s">
        <v>33</v>
      </c>
      <c r="B31" s="60"/>
      <c r="C31" s="60"/>
      <c r="D31" s="60"/>
      <c r="E31" s="60"/>
    </row>
    <row r="32" spans="1:5" hidden="1" x14ac:dyDescent="0.25">
      <c r="A32" s="8"/>
      <c r="B32" s="8"/>
      <c r="C32" s="8"/>
      <c r="D32" s="8" t="s">
        <v>18</v>
      </c>
    </row>
    <row r="33" spans="1:4" hidden="1" x14ac:dyDescent="0.25">
      <c r="A33" s="8"/>
      <c r="B33" s="8"/>
      <c r="C33" s="8"/>
      <c r="D33" s="8" t="s">
        <v>18</v>
      </c>
    </row>
    <row r="34" spans="1:4" hidden="1" x14ac:dyDescent="0.25">
      <c r="A34" s="8"/>
      <c r="B34" s="8"/>
      <c r="C34" s="8"/>
      <c r="D34" s="8" t="s">
        <v>18</v>
      </c>
    </row>
    <row r="35" spans="1:4" hidden="1" x14ac:dyDescent="0.25">
      <c r="A35" s="8"/>
      <c r="B35" s="8"/>
      <c r="C35" s="8"/>
      <c r="D35" s="8" t="s">
        <v>18</v>
      </c>
    </row>
    <row r="36" spans="1:4" hidden="1" x14ac:dyDescent="0.25">
      <c r="A36" s="8"/>
      <c r="B36" s="8"/>
      <c r="C36" s="8"/>
      <c r="D36" s="8" t="s">
        <v>18</v>
      </c>
    </row>
    <row r="37" spans="1:4" hidden="1" x14ac:dyDescent="0.25">
      <c r="A37" s="8"/>
      <c r="B37" s="8"/>
      <c r="C37" s="8"/>
      <c r="D37" s="8"/>
    </row>
    <row r="38" spans="1:4" hidden="1" x14ac:dyDescent="0.25">
      <c r="A38" s="8"/>
      <c r="B38" s="8"/>
      <c r="C38" s="8"/>
      <c r="D38" s="8"/>
    </row>
    <row r="39" spans="1:4" hidden="1" x14ac:dyDescent="0.25">
      <c r="A39" s="8"/>
      <c r="B39" s="8"/>
      <c r="C39" s="8"/>
      <c r="D39" s="8"/>
    </row>
  </sheetData>
  <sheetProtection algorithmName="SHA-512" hashValue="1iTzH8oNyC3ukZs+1Ac+GO5gTzvj4yW8AF9dZVpxnxpHrnqOIJYET7RNp04dDhQeBlBpXHQejh6oWvBSBO22sg==" saltValue="+a3WR4OyPDvkdD1x3yP3KA==" spinCount="100000" sheet="1" objects="1" scenarios="1"/>
  <mergeCells count="2">
    <mergeCell ref="A2:E2"/>
    <mergeCell ref="A31:E31"/>
  </mergeCells>
  <conditionalFormatting sqref="B18:D1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D3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D18 B30:D3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 B27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C27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D25 D27">
    <cfRule type="iconSet" priority="23">
      <iconSet>
        <cfvo type="percent" val="0"/>
        <cfvo type="percent" val="33"/>
        <cfvo type="percent" val="67"/>
      </iconSet>
    </cfRule>
  </conditionalFormatting>
  <conditionalFormatting sqref="E3:E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B18:D18 B30:E3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E30 B18:D18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18:C18 B30:E3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24">
    <dataValidation allowBlank="1" showInputMessage="1" showErrorMessage="1" prompt="Escriba la tasa de interés anual correspondiente al escenario 2 en esta celda." sqref="C14 C24 E14"/>
    <dataValidation type="list" allowBlank="1" showInputMessage="1" showErrorMessage="1" prompt="Escriba la frecuencia de pago del escenario 3 en esta celda. Presione ALT+FLECHA ABAJO para abrir la lista desplegable y, luego, presione ENTRAR para seleccionar la frecuencia de pago en esta celda." sqref="D23 D13">
      <formula1>Frecuencia_De_Pago</formula1>
    </dataValidation>
    <dataValidation type="list" allowBlank="1" showInputMessage="1" showErrorMessage="1" prompt="Escriba la frecuencia de pago del escenario 1 en esta celda. Presione ALT+FLECHA ABAJO para abrir la lista desplegable y, luego, presione ENTRAR para seleccionar la frecuencia de pago en esta celda." sqref="B13 B23 E23">
      <formula1>Frecuencia_De_Pago</formula1>
    </dataValidation>
    <dataValidation type="list" allowBlank="1" showInputMessage="1" showErrorMessage="1" prompt="Escriba la frecuencia de pago del escenario 2 en esta celda. Presione ALT+FLECHA ABAJO para abrir la lista desplegable y, luego, presione ENTRAR para seleccionar la frecuencia de pago en esta celda." sqref="C13 C23 E13">
      <formula1>Frecuencia_De_Pago</formula1>
    </dataValidation>
    <dataValidation allowBlank="1" showInputMessage="1" showErrorMessage="1" prompt="El título de la hoja de cálculo se encuentra en esta celda." sqref="A2"/>
    <dataValidation allowBlank="1" showInputMessage="1" showErrorMessage="1" prompt="Escriba la información del préstamo en la tabla Información de comparación de préstamos siguiente." sqref="A10 A7 A3:A4"/>
    <dataValidation allowBlank="1" showInputMessage="1" showErrorMessage="1" prompt="Escriba la información del préstamo del escenario 2 en esta columna. El gráfico de la derecha en la celda G3 se actualizará automáticamente junto con el pago programado, y el total de pagos e intereses." sqref="C11 C21"/>
    <dataValidation allowBlank="1" showInputMessage="1" showErrorMessage="1" prompt="Escriba la información del préstamo del escenario 3 en esta columna. El gráfico de la derecha en la celda G3 se actualizará automáticamente junto con el pago programado, y el total de pagos e intereses." sqref="D11 D21"/>
    <dataValidation allowBlank="1" showInputMessage="1" showErrorMessage="1" prompt="Escriba la información del préstamo del escenario 1 en esta columna. El gráfico de la derecha en la celda G3 se actualizará automáticamente junto con el pago programado, y el total de pagos e intereses." sqref="B11 B21"/>
    <dataValidation allowBlank="1" showInputMessage="1" showErrorMessage="1" prompt="El total de intereses se calcula automáticamente a partir de las entradas especificadas para el escario 3 en esta celda." sqref="D17"/>
    <dataValidation allowBlank="1" showInputMessage="1" showErrorMessage="1" prompt="El total de intereses se calcula automáticamente a partir de las entradas especificadas para el escario 2 en esta celda." sqref="C17 C29 E29 E17"/>
    <dataValidation allowBlank="1" showInputMessage="1" showErrorMessage="1" prompt="El total de pagos se calcula automáticamente a partir de las entradas especificadas para el escario 3 en esta celda." sqref="D28 D16"/>
    <dataValidation allowBlank="1" showInputMessage="1" showErrorMessage="1" prompt="El total de pagos se calcula automáticamente a partir de las entradas especificadas para el escario 2 en esta celda." sqref="C16 C28 E16"/>
    <dataValidation allowBlank="1" showInputMessage="1" showErrorMessage="1" prompt="El pago programado se calcula automáticamente a partir de las entradas especificadas para el escario 3 en esta celda." sqref="E27 D25:D27 B27:C27 D15"/>
    <dataValidation allowBlank="1" showInputMessage="1" showErrorMessage="1" prompt="El pago programado se calcula automáticamente a partir de las entradas especificadas para el escario 2 en esta celda." sqref="C15 C25:C26 E15"/>
    <dataValidation allowBlank="1" showInputMessage="1" showErrorMessage="1" prompt="Escriba la tasa de interés anual correspondiente al escenario 3 en esta celda." sqref="D24 D14"/>
    <dataValidation allowBlank="1" showInputMessage="1" showErrorMessage="1" prompt="Escriba el periodo del préstamo en años correspondiente al escenario 3 en esta celda." sqref="D12:E12 D22"/>
    <dataValidation allowBlank="1" showInputMessage="1" showErrorMessage="1" prompt="Escriba el periodo del préstamo en años correspondiente al escenario 2 en esta celda." sqref="C12 C22"/>
    <dataValidation allowBlank="1" showInputMessage="1" showErrorMessage="1" prompt="El total de intereses se calcula automáticamente a partir de las entradas especificadas para el escario 1 en esta celda." sqref="B17 B29 D29"/>
    <dataValidation allowBlank="1" showInputMessage="1" showErrorMessage="1" prompt="El total de pagos se calcula automáticamente a partir de las entradas especificadas para el escario 1 en esta celda." sqref="B16 B28"/>
    <dataValidation allowBlank="1" showInputMessage="1" showErrorMessage="1" prompt="El pago programado se calcula automáticamente a partir de las entradas especificadas para el escario 1 en esta celda." sqref="B15 B25:B26 E25"/>
    <dataValidation allowBlank="1" showInputMessage="1" showErrorMessage="1" prompt="Escriba la tasa de interés anual correspondiente al escenario 1 en esta celda." sqref="B14 B24 E24"/>
    <dataValidation allowBlank="1" showInputMessage="1" showErrorMessage="1" prompt="Escriba el periodo del préstamo en años correspondiente al escenario 1 en esta celda." sqref="B12 B22 E22"/>
    <dataValidation allowBlank="1" showInputMessage="1" showErrorMessage="1" prompt="Escriba el importe del préstamo en esta celda." sqref="A8"/>
  </dataValidations>
  <pageMargins left="0.7" right="0.7" top="0.75" bottom="0.75" header="0.3" footer="0.3"/>
  <pageSetup orientation="portrait" horizontalDpi="360" verticalDpi="360" r:id="rId1"/>
  <drawing r:id="rId2"/>
  <legacyDrawing r:id="rId3"/>
  <tableParts count="2"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57F715FA-001B-48BA-94AF-355BF9E5B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B25 B27</xm:sqref>
        </x14:conditionalFormatting>
        <x14:conditionalFormatting xmlns:xm="http://schemas.microsoft.com/office/excel/2006/main">
          <x14:cfRule type="iconSet" priority="24" id="{96E1DA07-E852-461B-935A-8A89A73C6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C27</xm:sqref>
        </x14:conditionalFormatting>
        <x14:conditionalFormatting xmlns:xm="http://schemas.microsoft.com/office/excel/2006/main">
          <x14:cfRule type="iconSet" priority="22" id="{A32F26A2-2045-4E35-A352-4CF02DB00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D25 D27</xm:sqref>
        </x14:conditionalFormatting>
        <x14:conditionalFormatting xmlns:xm="http://schemas.microsoft.com/office/excel/2006/main">
          <x14:cfRule type="iconSet" priority="12" id="{C18711C8-34B5-4691-9812-6D9D7C0EE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38</vt:i4>
      </vt:variant>
    </vt:vector>
  </HeadingPairs>
  <TitlesOfParts>
    <vt:vector size="40" baseType="lpstr">
      <vt:lpstr>Dolares</vt:lpstr>
      <vt:lpstr>Colones</vt:lpstr>
      <vt:lpstr>Colones!E1FrecuenciaDePago</vt:lpstr>
      <vt:lpstr>Dolares!E1FrecuenciaDePago</vt:lpstr>
      <vt:lpstr>Colones!E1Interés</vt:lpstr>
      <vt:lpstr>Dolares!E1Interés</vt:lpstr>
      <vt:lpstr>Colones!E1InterésTotal</vt:lpstr>
      <vt:lpstr>Dolares!E1InterésTotal</vt:lpstr>
      <vt:lpstr>Colones!E1PagoProgramado</vt:lpstr>
      <vt:lpstr>Dolares!E1PagoProgramado</vt:lpstr>
      <vt:lpstr>Colones!E1PlazoDelPréstamo</vt:lpstr>
      <vt:lpstr>Dolares!E1PlazoDelPréstamo</vt:lpstr>
      <vt:lpstr>Colones!E1TotalDePagos</vt:lpstr>
      <vt:lpstr>Dolares!E1TotalDePagos</vt:lpstr>
      <vt:lpstr>Colones!E2FrecuenciaDePago</vt:lpstr>
      <vt:lpstr>Dolares!E2FrecuenciaDePago</vt:lpstr>
      <vt:lpstr>Colones!E2Interés</vt:lpstr>
      <vt:lpstr>Dolares!E2Interés</vt:lpstr>
      <vt:lpstr>Colones!E2InterésTotal</vt:lpstr>
      <vt:lpstr>Dolares!E2InterésTotal</vt:lpstr>
      <vt:lpstr>Colones!E2PagoProgramado</vt:lpstr>
      <vt:lpstr>Dolares!E2PagoProgramado</vt:lpstr>
      <vt:lpstr>Colones!E2PlazoDelPréstamo</vt:lpstr>
      <vt:lpstr>Dolares!E2PlazoDelPréstamo</vt:lpstr>
      <vt:lpstr>Colones!E2TotalDePagos</vt:lpstr>
      <vt:lpstr>Dolares!E2TotalDePagos</vt:lpstr>
      <vt:lpstr>Colones!E3FrecuenciaDePago</vt:lpstr>
      <vt:lpstr>Dolares!E3FrecuenciaDePago</vt:lpstr>
      <vt:lpstr>Colones!E3Interés</vt:lpstr>
      <vt:lpstr>Dolares!E3Interés</vt:lpstr>
      <vt:lpstr>Colones!E3InterésTotal</vt:lpstr>
      <vt:lpstr>Dolares!E3InterésTotal</vt:lpstr>
      <vt:lpstr>Colones!E3PagoProgramado</vt:lpstr>
      <vt:lpstr>Dolares!E3PagoProgramado</vt:lpstr>
      <vt:lpstr>Colones!E3PlazoDelPréstamo</vt:lpstr>
      <vt:lpstr>Dolares!E3PlazoDelPréstamo</vt:lpstr>
      <vt:lpstr>Colones!E3TotalDePagos</vt:lpstr>
      <vt:lpstr>Dolares!E3TotalDePagos</vt:lpstr>
      <vt:lpstr>Colones!ImporteDelPréstamo</vt:lpstr>
      <vt:lpstr>Dolares!ImporteDelPréstamo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2025-03-24T15:17:46Z</dcterms:created>
  <dcterms:modified xsi:type="dcterms:W3CDTF">2025-03-29T15:19:39Z</dcterms:modified>
</cp:coreProperties>
</file>