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arr\Dropbox\Financial Freedom &amp; Success Institute\Wall Street Investments Seminar\Semana 7\"/>
    </mc:Choice>
  </mc:AlternateContent>
  <xr:revisionPtr revIDLastSave="0" documentId="8_{B53E2DC1-D80A-4866-82CD-CD1D50419A27}" xr6:coauthVersionLast="47" xr6:coauthVersionMax="47" xr10:uidLastSave="{00000000-0000-0000-0000-000000000000}"/>
  <bookViews>
    <workbookView xWindow="165" yWindow="30" windowWidth="29130" windowHeight="14985" xr2:uid="{0FEBA6E8-2D13-4B60-9E2D-CCBC985FAB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8" i="1" l="1"/>
  <c r="AC18" i="1"/>
  <c r="T18" i="1"/>
  <c r="AB15" i="1"/>
  <c r="AB5" i="1"/>
  <c r="Q47" i="1"/>
  <c r="Q31" i="1"/>
  <c r="P31" i="1"/>
  <c r="I48" i="1"/>
  <c r="I47" i="1"/>
  <c r="I30" i="1"/>
  <c r="I43" i="1"/>
  <c r="I42" i="1"/>
  <c r="P39" i="1"/>
  <c r="O39" i="1"/>
  <c r="N39" i="1"/>
  <c r="M39" i="1"/>
  <c r="L39" i="1"/>
  <c r="K39" i="1"/>
  <c r="J39" i="1"/>
  <c r="I39" i="1"/>
  <c r="Q37" i="1"/>
  <c r="P37" i="1"/>
  <c r="O37" i="1"/>
  <c r="N37" i="1"/>
  <c r="M37" i="1"/>
  <c r="L37" i="1"/>
  <c r="K37" i="1"/>
  <c r="J37" i="1"/>
  <c r="I37" i="1"/>
  <c r="Q35" i="1"/>
  <c r="P35" i="1"/>
  <c r="O35" i="1"/>
  <c r="N35" i="1"/>
  <c r="M35" i="1"/>
  <c r="L35" i="1"/>
  <c r="K35" i="1"/>
  <c r="J35" i="1"/>
  <c r="I35" i="1"/>
  <c r="Q33" i="1"/>
  <c r="P33" i="1"/>
  <c r="O33" i="1"/>
  <c r="O31" i="1"/>
  <c r="N33" i="1"/>
  <c r="N31" i="1"/>
  <c r="M33" i="1"/>
  <c r="M31" i="1"/>
  <c r="L33" i="1"/>
  <c r="L31" i="1"/>
  <c r="K33" i="1"/>
  <c r="K31" i="1"/>
  <c r="J33" i="1"/>
  <c r="J31" i="1"/>
  <c r="I33" i="1"/>
  <c r="I31" i="1"/>
  <c r="Q21" i="1"/>
  <c r="P21" i="1"/>
  <c r="R14" i="1"/>
  <c r="R13" i="1"/>
  <c r="R12" i="1"/>
  <c r="R11" i="1"/>
  <c r="R10" i="1"/>
  <c r="R9" i="1"/>
  <c r="R8" i="1"/>
  <c r="R7" i="1"/>
  <c r="R6" i="1"/>
  <c r="R5" i="1"/>
  <c r="R4" i="1"/>
  <c r="R3" i="1"/>
  <c r="Q3" i="1"/>
  <c r="Q4" i="1"/>
  <c r="Q5" i="1"/>
  <c r="Q6" i="1"/>
  <c r="Q7" i="1"/>
  <c r="Q8" i="1"/>
  <c r="Q9" i="1"/>
  <c r="Q10" i="1"/>
  <c r="Q11" i="1"/>
  <c r="Q12" i="1"/>
  <c r="Q13" i="1"/>
  <c r="Q14" i="1"/>
  <c r="R15" i="1"/>
  <c r="Q15" i="1"/>
  <c r="E16" i="1"/>
  <c r="D16" i="1" s="1"/>
  <c r="T16" i="1"/>
  <c r="E15" i="1"/>
  <c r="D15" i="1" s="1"/>
  <c r="T15" i="1"/>
  <c r="E14" i="1"/>
  <c r="D14" i="1" s="1"/>
  <c r="T14" i="1"/>
  <c r="Z14" i="1" s="1"/>
  <c r="E13" i="1"/>
  <c r="D13" i="1" s="1"/>
  <c r="T13" i="1"/>
  <c r="U13" i="1" s="1"/>
  <c r="U16" i="1"/>
  <c r="U15" i="1"/>
  <c r="E12" i="1"/>
  <c r="D12" i="1" s="1"/>
  <c r="T12" i="1"/>
  <c r="U12" i="1" s="1"/>
  <c r="T11" i="1"/>
  <c r="U11" i="1" s="1"/>
  <c r="E10" i="1"/>
  <c r="D10" i="1" s="1"/>
  <c r="T10" i="1"/>
  <c r="U10" i="1" s="1"/>
  <c r="E9" i="1"/>
  <c r="T9" i="1"/>
  <c r="U9" i="1" s="1"/>
  <c r="D11" i="1"/>
  <c r="D9" i="1"/>
  <c r="E8" i="1"/>
  <c r="D8" i="1" s="1"/>
  <c r="T8" i="1"/>
  <c r="U8" i="1" s="1"/>
  <c r="V8" i="1" s="1"/>
  <c r="E7" i="1"/>
  <c r="D7" i="1" s="1"/>
  <c r="T7" i="1"/>
  <c r="E6" i="1"/>
  <c r="T6" i="1"/>
  <c r="U6" i="1" s="1"/>
  <c r="E5" i="1"/>
  <c r="T5" i="1"/>
  <c r="U5" i="1" s="1"/>
  <c r="U7" i="1"/>
  <c r="D6" i="1"/>
  <c r="D5" i="1"/>
  <c r="E4" i="1"/>
  <c r="D4" i="1" s="1"/>
  <c r="T4" i="1"/>
  <c r="U4" i="1" s="1"/>
  <c r="V4" i="1" s="1"/>
  <c r="E3" i="1"/>
  <c r="D3" i="1" s="1"/>
  <c r="T3" i="1"/>
  <c r="U3" i="1" s="1"/>
  <c r="O16" i="1"/>
  <c r="X16" i="1" s="1"/>
  <c r="O15" i="1"/>
  <c r="X15" i="1" s="1"/>
  <c r="O14" i="1"/>
  <c r="X14" i="1" s="1"/>
  <c r="O13" i="1"/>
  <c r="X13" i="1" s="1"/>
  <c r="O12" i="1"/>
  <c r="X12" i="1" s="1"/>
  <c r="O11" i="1"/>
  <c r="X11" i="1" s="1"/>
  <c r="Z11" i="1" s="1"/>
  <c r="O10" i="1"/>
  <c r="X10" i="1" s="1"/>
  <c r="O9" i="1"/>
  <c r="X9" i="1" s="1"/>
  <c r="Z9" i="1" s="1"/>
  <c r="O8" i="1"/>
  <c r="X8" i="1" s="1"/>
  <c r="O7" i="1"/>
  <c r="X7" i="1" s="1"/>
  <c r="Z7" i="1" s="1"/>
  <c r="O6" i="1"/>
  <c r="X6" i="1" s="1"/>
  <c r="Z6" i="1" s="1"/>
  <c r="O5" i="1"/>
  <c r="X5" i="1" s="1"/>
  <c r="Z5" i="1" s="1"/>
  <c r="O4" i="1"/>
  <c r="P4" i="1"/>
  <c r="P3" i="1"/>
  <c r="O3" i="1"/>
  <c r="X3" i="1" s="1"/>
  <c r="R47" i="1" l="1"/>
  <c r="Q39" i="1"/>
  <c r="Q40" i="1" s="1"/>
  <c r="R40" i="1"/>
  <c r="R31" i="1"/>
  <c r="Z10" i="1"/>
  <c r="V5" i="1"/>
  <c r="U14" i="1"/>
  <c r="V7" i="1"/>
  <c r="Z12" i="1"/>
  <c r="X4" i="1"/>
  <c r="Z4" i="1" s="1"/>
  <c r="V6" i="1"/>
  <c r="Z15" i="1"/>
  <c r="Q16" i="1"/>
  <c r="R16" i="1" s="1"/>
  <c r="V3" i="1"/>
  <c r="Z3" i="1"/>
  <c r="Z16" i="1"/>
  <c r="V14" i="1"/>
  <c r="Z8" i="1"/>
  <c r="Z13" i="1"/>
  <c r="V16" i="1"/>
  <c r="V15" i="1"/>
  <c r="V13" i="1"/>
  <c r="V12" i="1"/>
  <c r="V11" i="1"/>
  <c r="V10" i="1"/>
  <c r="V9" i="1"/>
</calcChain>
</file>

<file path=xl/sharedStrings.xml><?xml version="1.0" encoding="utf-8"?>
<sst xmlns="http://schemas.openxmlformats.org/spreadsheetml/2006/main" count="135" uniqueCount="63">
  <si>
    <t>BZH</t>
  </si>
  <si>
    <t>CALL</t>
  </si>
  <si>
    <t>PUT</t>
  </si>
  <si>
    <t>BUYER</t>
  </si>
  <si>
    <t>SELLER</t>
  </si>
  <si>
    <t>Obligation</t>
  </si>
  <si>
    <t>SELL</t>
  </si>
  <si>
    <t>shares</t>
  </si>
  <si>
    <t>Expiration</t>
  </si>
  <si>
    <t>Symbol</t>
  </si>
  <si>
    <t>Strike Price</t>
  </si>
  <si>
    <t>Current Price</t>
  </si>
  <si>
    <t>Contract</t>
  </si>
  <si>
    <t>Option Type</t>
  </si>
  <si>
    <t>Andy</t>
  </si>
  <si>
    <t>Bob</t>
  </si>
  <si>
    <t>Charlie</t>
  </si>
  <si>
    <t>Denzel</t>
  </si>
  <si>
    <t>Efren</t>
  </si>
  <si>
    <t>Fabian</t>
  </si>
  <si>
    <t>G</t>
  </si>
  <si>
    <t>H</t>
  </si>
  <si>
    <t>I</t>
  </si>
  <si>
    <t>J</t>
  </si>
  <si>
    <t>K</t>
  </si>
  <si>
    <t>L</t>
  </si>
  <si>
    <t>M</t>
  </si>
  <si>
    <t>N</t>
  </si>
  <si>
    <t>Option</t>
  </si>
  <si>
    <t>BUY</t>
  </si>
  <si>
    <t>Premium</t>
  </si>
  <si>
    <t>Call</t>
  </si>
  <si>
    <t>Todays Date</t>
  </si>
  <si>
    <t>Seller</t>
  </si>
  <si>
    <t>Ask</t>
  </si>
  <si>
    <t>Price</t>
  </si>
  <si>
    <t>Bid</t>
  </si>
  <si>
    <t>Bid/Ask</t>
  </si>
  <si>
    <t>Spread</t>
  </si>
  <si>
    <t>Intrinsic</t>
  </si>
  <si>
    <t>Value</t>
  </si>
  <si>
    <t>AT the $</t>
  </si>
  <si>
    <t>IN the $</t>
  </si>
  <si>
    <t>OUT the $</t>
  </si>
  <si>
    <t>Time</t>
  </si>
  <si>
    <t>Ask Price = Intrinsic Value + Time Value</t>
  </si>
  <si>
    <t>Intrinsic Value = Current Price - Strike Price</t>
  </si>
  <si>
    <t>Time Value = Ask Price - Intrinsic Value</t>
  </si>
  <si>
    <t>Ask Price = Ask Price</t>
  </si>
  <si>
    <t>Breakeven</t>
  </si>
  <si>
    <t>%</t>
  </si>
  <si>
    <t>Upside</t>
  </si>
  <si>
    <t>Breakeven Price = Strike Price + Ask Price</t>
  </si>
  <si>
    <t>Stock Price</t>
  </si>
  <si>
    <t>BUY Price</t>
  </si>
  <si>
    <t>Call Premium</t>
  </si>
  <si>
    <t>Profit</t>
  </si>
  <si>
    <t>Less Investment</t>
  </si>
  <si>
    <t>Bigger Upside Potential</t>
  </si>
  <si>
    <t>Buy Call Option Long Naked</t>
  </si>
  <si>
    <t>Call Spread</t>
  </si>
  <si>
    <t>SELL 1 CALL</t>
  </si>
  <si>
    <t>BUY 1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</si>
</sst>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44" fontId="0" fillId="0" borderId="0" xfId="1" applyFont="1"/>
    <xf numFmtId="0" fontId="0" fillId="3" borderId="0" xfId="0" applyFill="1"/>
    <xf numFmtId="44" fontId="0" fillId="0" borderId="0" xfId="0" applyNumberFormat="1"/>
    <xf numFmtId="44" fontId="0" fillId="5" borderId="0" xfId="0" applyNumberFormat="1" applyFill="1"/>
    <xf numFmtId="0" fontId="0" fillId="6" borderId="0" xfId="0" applyFill="1"/>
    <xf numFmtId="44" fontId="0" fillId="6" borderId="0" xfId="0" applyNumberFormat="1" applyFill="1"/>
    <xf numFmtId="44" fontId="0" fillId="6" borderId="0" xfId="1" applyFont="1" applyFill="1"/>
    <xf numFmtId="14" fontId="0" fillId="6" borderId="0" xfId="0" applyNumberFormat="1" applyFill="1"/>
    <xf numFmtId="0" fontId="2" fillId="0" borderId="0" xfId="0" applyFont="1" applyAlignment="1">
      <alignment horizontal="right"/>
    </xf>
    <xf numFmtId="44" fontId="2" fillId="0" borderId="0" xfId="1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0" borderId="0" xfId="0" applyFont="1"/>
    <xf numFmtId="44" fontId="2" fillId="0" borderId="0" xfId="1" applyFo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/>
    <xf numFmtId="14" fontId="0" fillId="0" borderId="0" xfId="0" applyNumberFormat="1" applyFill="1"/>
    <xf numFmtId="9" fontId="0" fillId="0" borderId="0" xfId="2" applyFont="1"/>
    <xf numFmtId="44" fontId="0" fillId="3" borderId="0" xfId="0" applyNumberFormat="1" applyFill="1"/>
    <xf numFmtId="9" fontId="0" fillId="3" borderId="0" xfId="2" applyFont="1" applyFill="1"/>
    <xf numFmtId="14" fontId="0" fillId="3" borderId="0" xfId="0" applyNumberFormat="1" applyFill="1"/>
    <xf numFmtId="44" fontId="0" fillId="3" borderId="0" xfId="1" applyFont="1" applyFill="1"/>
    <xf numFmtId="9" fontId="0" fillId="6" borderId="0" xfId="2" applyFont="1" applyFill="1"/>
    <xf numFmtId="0" fontId="0" fillId="7" borderId="0" xfId="0" applyFill="1"/>
    <xf numFmtId="14" fontId="0" fillId="7" borderId="0" xfId="0" applyNumberFormat="1" applyFill="1"/>
    <xf numFmtId="44" fontId="0" fillId="7" borderId="0" xfId="1" applyFont="1" applyFill="1"/>
    <xf numFmtId="44" fontId="0" fillId="7" borderId="0" xfId="0" applyNumberFormat="1" applyFill="1"/>
    <xf numFmtId="9" fontId="0" fillId="7" borderId="0" xfId="2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6601-EAD1-40DA-89DF-95791447AC22}">
  <dimension ref="A1:AC53"/>
  <sheetViews>
    <sheetView tabSelected="1" topLeftCell="K1" zoomScale="130" zoomScaleNormal="130" workbookViewId="0">
      <selection activeCell="AB18" sqref="AB18"/>
    </sheetView>
  </sheetViews>
  <sheetFormatPr defaultRowHeight="15" x14ac:dyDescent="0.25"/>
  <cols>
    <col min="4" max="4" width="11.140625" bestFit="1" customWidth="1"/>
    <col min="5" max="5" width="9.140625" style="2"/>
    <col min="7" max="7" width="10" bestFit="1" customWidth="1"/>
    <col min="9" max="9" width="12.28515625" customWidth="1"/>
    <col min="10" max="10" width="10" bestFit="1" customWidth="1"/>
    <col min="11" max="11" width="10.28515625" customWidth="1"/>
    <col min="12" max="12" width="10" bestFit="1" customWidth="1"/>
    <col min="13" max="13" width="10.85546875" customWidth="1"/>
    <col min="14" max="14" width="11.140625" bestFit="1" customWidth="1"/>
    <col min="15" max="18" width="12.140625" customWidth="1"/>
    <col min="20" max="20" width="9.140625" style="2"/>
    <col min="21" max="21" width="11.140625" style="2" bestFit="1" customWidth="1"/>
    <col min="22" max="22" width="9.42578125" bestFit="1" customWidth="1"/>
  </cols>
  <sheetData>
    <row r="1" spans="1:28" x14ac:dyDescent="0.25">
      <c r="C1" s="14" t="s">
        <v>3</v>
      </c>
      <c r="E1" s="15" t="s">
        <v>36</v>
      </c>
      <c r="J1" s="10"/>
      <c r="K1" s="10" t="s">
        <v>4</v>
      </c>
      <c r="L1" s="10"/>
      <c r="M1" s="10"/>
      <c r="N1" s="10"/>
      <c r="O1" s="10"/>
      <c r="P1" s="10"/>
      <c r="Q1" s="10" t="s">
        <v>49</v>
      </c>
      <c r="R1" s="10" t="s">
        <v>50</v>
      </c>
      <c r="S1" s="10" t="s">
        <v>31</v>
      </c>
      <c r="T1" s="11" t="s">
        <v>34</v>
      </c>
      <c r="U1" s="11"/>
      <c r="V1" s="10" t="s">
        <v>37</v>
      </c>
      <c r="W1" s="10"/>
      <c r="X1" s="10" t="s">
        <v>39</v>
      </c>
      <c r="Y1" s="10"/>
      <c r="Z1" s="10" t="s">
        <v>44</v>
      </c>
    </row>
    <row r="2" spans="1:28" x14ac:dyDescent="0.25">
      <c r="C2" s="3" t="s">
        <v>28</v>
      </c>
      <c r="D2" s="3" t="s">
        <v>29</v>
      </c>
      <c r="E2" s="15" t="s">
        <v>35</v>
      </c>
      <c r="G2" t="s">
        <v>32</v>
      </c>
      <c r="H2" t="s">
        <v>33</v>
      </c>
      <c r="I2" t="s">
        <v>13</v>
      </c>
      <c r="J2" s="10" t="s">
        <v>12</v>
      </c>
      <c r="K2" s="12" t="s">
        <v>5</v>
      </c>
      <c r="L2" s="13" t="s">
        <v>6</v>
      </c>
      <c r="M2" s="10" t="s">
        <v>9</v>
      </c>
      <c r="N2" s="10" t="s">
        <v>8</v>
      </c>
      <c r="O2" s="10" t="s">
        <v>11</v>
      </c>
      <c r="P2" s="10" t="s">
        <v>10</v>
      </c>
      <c r="Q2" s="10" t="s">
        <v>35</v>
      </c>
      <c r="R2" s="10" t="s">
        <v>51</v>
      </c>
      <c r="S2" s="10" t="s">
        <v>30</v>
      </c>
      <c r="T2" s="11" t="s">
        <v>35</v>
      </c>
      <c r="U2" s="11"/>
      <c r="V2" s="10" t="s">
        <v>38</v>
      </c>
      <c r="W2" s="10"/>
      <c r="X2" s="10" t="s">
        <v>40</v>
      </c>
      <c r="Y2" s="10"/>
      <c r="Z2" s="10" t="s">
        <v>40</v>
      </c>
    </row>
    <row r="3" spans="1:28" x14ac:dyDescent="0.25">
      <c r="A3" t="s">
        <v>0</v>
      </c>
      <c r="B3" t="s">
        <v>1</v>
      </c>
      <c r="C3">
        <v>100</v>
      </c>
      <c r="D3" s="4">
        <f>E3*100</f>
        <v>1580</v>
      </c>
      <c r="E3" s="2">
        <f>15.8</f>
        <v>15.8</v>
      </c>
      <c r="G3" s="1">
        <v>45493</v>
      </c>
      <c r="H3" t="s">
        <v>14</v>
      </c>
      <c r="I3" t="s">
        <v>1</v>
      </c>
      <c r="J3">
        <v>1</v>
      </c>
      <c r="K3">
        <v>100</v>
      </c>
      <c r="L3" t="s">
        <v>7</v>
      </c>
      <c r="M3" t="s">
        <v>0</v>
      </c>
      <c r="N3" s="1">
        <v>45709</v>
      </c>
      <c r="O3" s="2">
        <f>31.68</f>
        <v>31.68</v>
      </c>
      <c r="P3" s="2">
        <f>15</f>
        <v>15</v>
      </c>
      <c r="Q3" s="4">
        <f>P3+T3</f>
        <v>34.700000000000003</v>
      </c>
      <c r="R3" s="20">
        <f t="shared" ref="R3:R14" si="0">Q3/O3-1</f>
        <v>9.5328282828282873E-2</v>
      </c>
      <c r="T3" s="2">
        <f>19.7</f>
        <v>19.7</v>
      </c>
      <c r="U3" s="2">
        <f>T3*K3</f>
        <v>1970</v>
      </c>
      <c r="V3" s="4">
        <f>U3-D3</f>
        <v>390</v>
      </c>
      <c r="X3" s="4">
        <f>MAX(0,O3-P3)</f>
        <v>16.68</v>
      </c>
      <c r="Y3" t="s">
        <v>42</v>
      </c>
      <c r="Z3" s="4">
        <f>T3-X3</f>
        <v>3.0199999999999996</v>
      </c>
    </row>
    <row r="4" spans="1:28" x14ac:dyDescent="0.25">
      <c r="B4" t="s">
        <v>1</v>
      </c>
      <c r="C4">
        <v>100</v>
      </c>
      <c r="D4" s="4">
        <f>E4*100</f>
        <v>1260</v>
      </c>
      <c r="E4" s="2">
        <f>12.6</f>
        <v>12.6</v>
      </c>
      <c r="G4" s="1">
        <v>45493</v>
      </c>
      <c r="H4" t="s">
        <v>15</v>
      </c>
      <c r="I4" t="s">
        <v>1</v>
      </c>
      <c r="J4">
        <v>1</v>
      </c>
      <c r="K4">
        <v>100</v>
      </c>
      <c r="L4" t="s">
        <v>7</v>
      </c>
      <c r="M4" t="s">
        <v>0</v>
      </c>
      <c r="N4" s="1">
        <v>45709</v>
      </c>
      <c r="O4" s="2">
        <f t="shared" ref="O4:O16" si="1">31.68</f>
        <v>31.68</v>
      </c>
      <c r="P4" s="2">
        <f>20</f>
        <v>20</v>
      </c>
      <c r="Q4" s="4">
        <f>P4+T4</f>
        <v>34.5</v>
      </c>
      <c r="R4" s="20">
        <f t="shared" si="0"/>
        <v>8.9015151515151603E-2</v>
      </c>
      <c r="T4" s="2">
        <f>14.5</f>
        <v>14.5</v>
      </c>
      <c r="U4" s="2">
        <f>T4*K4</f>
        <v>1450</v>
      </c>
      <c r="V4" s="4">
        <f>U4-D4</f>
        <v>190</v>
      </c>
      <c r="X4" s="4">
        <f>MAX(0,O4-P4)</f>
        <v>11.68</v>
      </c>
      <c r="Y4" t="s">
        <v>42</v>
      </c>
      <c r="Z4" s="4">
        <f>T4-X4</f>
        <v>2.8200000000000003</v>
      </c>
    </row>
    <row r="5" spans="1:28" x14ac:dyDescent="0.25">
      <c r="B5" t="s">
        <v>1</v>
      </c>
      <c r="C5">
        <v>100</v>
      </c>
      <c r="D5" s="4">
        <f t="shared" ref="D5:D16" si="2">E5*100</f>
        <v>1090</v>
      </c>
      <c r="E5" s="2">
        <f>10.9</f>
        <v>10.9</v>
      </c>
      <c r="G5" s="1">
        <v>45493</v>
      </c>
      <c r="H5" t="s">
        <v>16</v>
      </c>
      <c r="I5" t="s">
        <v>1</v>
      </c>
      <c r="J5">
        <v>1</v>
      </c>
      <c r="K5" s="3">
        <v>100</v>
      </c>
      <c r="L5" s="3" t="s">
        <v>7</v>
      </c>
      <c r="M5" s="3" t="s">
        <v>0</v>
      </c>
      <c r="N5" s="23">
        <v>45709</v>
      </c>
      <c r="O5" s="24">
        <f t="shared" si="1"/>
        <v>31.68</v>
      </c>
      <c r="P5" s="24">
        <v>22</v>
      </c>
      <c r="Q5" s="21">
        <f>P5+T5</f>
        <v>33.4</v>
      </c>
      <c r="R5" s="22">
        <f t="shared" si="0"/>
        <v>5.4292929292929282E-2</v>
      </c>
      <c r="T5" s="24">
        <f>11.4</f>
        <v>11.4</v>
      </c>
      <c r="U5" s="2">
        <f t="shared" ref="U5:U7" si="3">T5*K5</f>
        <v>1140</v>
      </c>
      <c r="V5" s="4">
        <f>U5-D5</f>
        <v>50</v>
      </c>
      <c r="X5" s="4">
        <f>MAX(0,O5-P5)</f>
        <v>9.68</v>
      </c>
      <c r="Y5" t="s">
        <v>42</v>
      </c>
      <c r="Z5" s="4">
        <f>T5-X5</f>
        <v>1.7200000000000006</v>
      </c>
      <c r="AB5" s="4">
        <f>50-P5</f>
        <v>28</v>
      </c>
    </row>
    <row r="6" spans="1:28" x14ac:dyDescent="0.25">
      <c r="B6" t="s">
        <v>1</v>
      </c>
      <c r="C6">
        <v>100</v>
      </c>
      <c r="D6" s="4">
        <f t="shared" si="2"/>
        <v>950</v>
      </c>
      <c r="E6" s="2">
        <f>9.5</f>
        <v>9.5</v>
      </c>
      <c r="G6" s="1">
        <v>45493</v>
      </c>
      <c r="H6" t="s">
        <v>17</v>
      </c>
      <c r="I6" t="s">
        <v>1</v>
      </c>
      <c r="J6">
        <v>1</v>
      </c>
      <c r="K6">
        <v>100</v>
      </c>
      <c r="L6" t="s">
        <v>7</v>
      </c>
      <c r="M6" t="s">
        <v>0</v>
      </c>
      <c r="N6" s="1">
        <v>45709</v>
      </c>
      <c r="O6" s="2">
        <f t="shared" si="1"/>
        <v>31.68</v>
      </c>
      <c r="P6" s="2">
        <v>24</v>
      </c>
      <c r="Q6" s="4">
        <f>P6+T6</f>
        <v>34.5</v>
      </c>
      <c r="R6" s="20">
        <f t="shared" si="0"/>
        <v>8.9015151515151603E-2</v>
      </c>
      <c r="T6" s="2">
        <f>10.5</f>
        <v>10.5</v>
      </c>
      <c r="U6" s="2">
        <f t="shared" si="3"/>
        <v>1050</v>
      </c>
      <c r="V6" s="4">
        <f>U6-D6</f>
        <v>100</v>
      </c>
      <c r="X6" s="4">
        <f>MAX(0,O6-P6)</f>
        <v>7.68</v>
      </c>
      <c r="Y6" t="s">
        <v>42</v>
      </c>
      <c r="Z6" s="4">
        <f>T6-X6</f>
        <v>2.8200000000000003</v>
      </c>
    </row>
    <row r="7" spans="1:28" x14ac:dyDescent="0.25">
      <c r="B7" t="s">
        <v>1</v>
      </c>
      <c r="C7">
        <v>100</v>
      </c>
      <c r="D7" s="4">
        <f t="shared" si="2"/>
        <v>760</v>
      </c>
      <c r="E7" s="2">
        <f>7.6</f>
        <v>7.6</v>
      </c>
      <c r="G7" s="1">
        <v>45493</v>
      </c>
      <c r="H7" t="s">
        <v>18</v>
      </c>
      <c r="I7" t="s">
        <v>1</v>
      </c>
      <c r="J7">
        <v>1</v>
      </c>
      <c r="K7">
        <v>100</v>
      </c>
      <c r="L7" t="s">
        <v>7</v>
      </c>
      <c r="M7" t="s">
        <v>0</v>
      </c>
      <c r="N7" s="1">
        <v>45709</v>
      </c>
      <c r="O7" s="2">
        <f t="shared" si="1"/>
        <v>31.68</v>
      </c>
      <c r="P7" s="2">
        <v>25</v>
      </c>
      <c r="Q7" s="4">
        <f>P7+T7</f>
        <v>36.200000000000003</v>
      </c>
      <c r="R7" s="20">
        <f t="shared" si="0"/>
        <v>0.14267676767676774</v>
      </c>
      <c r="T7" s="2">
        <f>11.2</f>
        <v>11.2</v>
      </c>
      <c r="U7" s="2">
        <f t="shared" si="3"/>
        <v>1120</v>
      </c>
      <c r="V7" s="4">
        <f>U7-D7</f>
        <v>360</v>
      </c>
      <c r="X7" s="4">
        <f>MAX(0,O7-P7)</f>
        <v>6.68</v>
      </c>
      <c r="Y7" t="s">
        <v>42</v>
      </c>
      <c r="Z7" s="4">
        <f>T7-X7</f>
        <v>4.5199999999999996</v>
      </c>
    </row>
    <row r="8" spans="1:28" x14ac:dyDescent="0.25">
      <c r="B8" t="s">
        <v>1</v>
      </c>
      <c r="C8">
        <v>100</v>
      </c>
      <c r="D8" s="4">
        <f t="shared" si="2"/>
        <v>810</v>
      </c>
      <c r="E8" s="2">
        <f>8.1</f>
        <v>8.1</v>
      </c>
      <c r="G8" s="1">
        <v>45493</v>
      </c>
      <c r="H8" t="s">
        <v>19</v>
      </c>
      <c r="I8" t="s">
        <v>1</v>
      </c>
      <c r="J8">
        <v>1</v>
      </c>
      <c r="K8">
        <v>100</v>
      </c>
      <c r="L8" t="s">
        <v>7</v>
      </c>
      <c r="M8" t="s">
        <v>0</v>
      </c>
      <c r="N8" s="1">
        <v>45709</v>
      </c>
      <c r="O8" s="2">
        <f t="shared" si="1"/>
        <v>31.68</v>
      </c>
      <c r="P8" s="2">
        <v>26</v>
      </c>
      <c r="Q8" s="4">
        <f>P8+T8</f>
        <v>34.4</v>
      </c>
      <c r="R8" s="20">
        <f t="shared" si="0"/>
        <v>8.5858585858585856E-2</v>
      </c>
      <c r="T8" s="2">
        <f>8.4</f>
        <v>8.4</v>
      </c>
      <c r="U8" s="2">
        <f t="shared" ref="U8:U12" si="4">T8*K8</f>
        <v>840</v>
      </c>
      <c r="V8" s="4">
        <f t="shared" ref="V8:V12" si="5">U8-D8</f>
        <v>30</v>
      </c>
      <c r="X8" s="4">
        <f>MAX(0,O8-P8)</f>
        <v>5.68</v>
      </c>
      <c r="Y8" t="s">
        <v>42</v>
      </c>
      <c r="Z8" s="4">
        <f>T8-X8</f>
        <v>2.7200000000000006</v>
      </c>
    </row>
    <row r="9" spans="1:28" x14ac:dyDescent="0.25">
      <c r="B9" t="s">
        <v>1</v>
      </c>
      <c r="C9">
        <v>100</v>
      </c>
      <c r="D9" s="4">
        <f t="shared" si="2"/>
        <v>620</v>
      </c>
      <c r="E9" s="2">
        <f>6.2</f>
        <v>6.2</v>
      </c>
      <c r="G9" s="1">
        <v>45493</v>
      </c>
      <c r="H9" t="s">
        <v>20</v>
      </c>
      <c r="I9" t="s">
        <v>1</v>
      </c>
      <c r="J9">
        <v>1</v>
      </c>
      <c r="K9">
        <v>100</v>
      </c>
      <c r="L9" t="s">
        <v>7</v>
      </c>
      <c r="M9" t="s">
        <v>0</v>
      </c>
      <c r="N9" s="1">
        <v>45709</v>
      </c>
      <c r="O9" s="2">
        <f t="shared" si="1"/>
        <v>31.68</v>
      </c>
      <c r="P9" s="2">
        <v>28</v>
      </c>
      <c r="Q9" s="4">
        <f>P9+T9</f>
        <v>37</v>
      </c>
      <c r="R9" s="20">
        <f t="shared" si="0"/>
        <v>0.16792929292929304</v>
      </c>
      <c r="T9" s="2">
        <f>9</f>
        <v>9</v>
      </c>
      <c r="U9" s="2">
        <f t="shared" si="4"/>
        <v>900</v>
      </c>
      <c r="V9" s="4">
        <f t="shared" si="5"/>
        <v>280</v>
      </c>
      <c r="X9" s="4">
        <f>MAX(0,O9-P9)</f>
        <v>3.6799999999999997</v>
      </c>
      <c r="Y9" t="s">
        <v>42</v>
      </c>
      <c r="Z9" s="4">
        <f>T9-X9</f>
        <v>5.32</v>
      </c>
    </row>
    <row r="10" spans="1:28" x14ac:dyDescent="0.25">
      <c r="B10" t="s">
        <v>1</v>
      </c>
      <c r="C10">
        <v>100</v>
      </c>
      <c r="D10" s="4">
        <f t="shared" si="2"/>
        <v>580</v>
      </c>
      <c r="E10" s="2">
        <f>5.8</f>
        <v>5.8</v>
      </c>
      <c r="G10" s="1">
        <v>45493</v>
      </c>
      <c r="H10" t="s">
        <v>21</v>
      </c>
      <c r="I10" t="s">
        <v>1</v>
      </c>
      <c r="J10">
        <v>1</v>
      </c>
      <c r="K10">
        <v>100</v>
      </c>
      <c r="L10" t="s">
        <v>7</v>
      </c>
      <c r="M10" t="s">
        <v>0</v>
      </c>
      <c r="N10" s="1">
        <v>45709</v>
      </c>
      <c r="O10" s="2">
        <f t="shared" si="1"/>
        <v>31.68</v>
      </c>
      <c r="P10" s="2">
        <v>29</v>
      </c>
      <c r="Q10" s="4">
        <f>P10+T10</f>
        <v>36.9</v>
      </c>
      <c r="R10" s="20">
        <f t="shared" si="0"/>
        <v>0.16477272727272729</v>
      </c>
      <c r="T10" s="2">
        <f>7.9</f>
        <v>7.9</v>
      </c>
      <c r="U10" s="2">
        <f t="shared" si="4"/>
        <v>790</v>
      </c>
      <c r="V10" s="4">
        <f t="shared" si="5"/>
        <v>210</v>
      </c>
      <c r="X10" s="4">
        <f>MAX(0,O10-P10)</f>
        <v>2.6799999999999997</v>
      </c>
      <c r="Y10" t="s">
        <v>42</v>
      </c>
      <c r="Z10" s="4">
        <f>T10-X10</f>
        <v>5.2200000000000006</v>
      </c>
    </row>
    <row r="11" spans="1:28" s="6" customFormat="1" x14ac:dyDescent="0.25">
      <c r="B11" s="6" t="s">
        <v>1</v>
      </c>
      <c r="C11" s="6">
        <v>100</v>
      </c>
      <c r="D11" s="7">
        <f t="shared" si="2"/>
        <v>560</v>
      </c>
      <c r="E11" s="8">
        <v>5.6</v>
      </c>
      <c r="G11" s="9">
        <v>45493</v>
      </c>
      <c r="H11" s="6" t="s">
        <v>22</v>
      </c>
      <c r="I11" s="6" t="s">
        <v>1</v>
      </c>
      <c r="J11" s="6">
        <v>1</v>
      </c>
      <c r="K11" s="6">
        <v>100</v>
      </c>
      <c r="L11" s="6" t="s">
        <v>7</v>
      </c>
      <c r="M11" s="6" t="s">
        <v>0</v>
      </c>
      <c r="N11" s="9">
        <v>45709</v>
      </c>
      <c r="O11" s="8">
        <f t="shared" si="1"/>
        <v>31.68</v>
      </c>
      <c r="P11" s="8">
        <v>30</v>
      </c>
      <c r="Q11" s="7">
        <f>P11+T11</f>
        <v>37.299999999999997</v>
      </c>
      <c r="R11" s="25">
        <f t="shared" si="0"/>
        <v>0.17739898989898983</v>
      </c>
      <c r="T11" s="8">
        <f>7.3</f>
        <v>7.3</v>
      </c>
      <c r="U11" s="8">
        <f t="shared" si="4"/>
        <v>730</v>
      </c>
      <c r="V11" s="7">
        <f t="shared" si="5"/>
        <v>170</v>
      </c>
      <c r="X11" s="7">
        <f>MAX(0,O11-P11)</f>
        <v>1.6799999999999997</v>
      </c>
      <c r="Y11" s="6" t="s">
        <v>41</v>
      </c>
      <c r="Z11" s="7">
        <f>T11-X11</f>
        <v>5.62</v>
      </c>
    </row>
    <row r="12" spans="1:28" s="16" customFormat="1" x14ac:dyDescent="0.25">
      <c r="B12" s="16" t="s">
        <v>1</v>
      </c>
      <c r="C12" s="16">
        <v>100</v>
      </c>
      <c r="D12" s="17">
        <f t="shared" si="2"/>
        <v>459.99999999999994</v>
      </c>
      <c r="E12" s="18">
        <f>4.6</f>
        <v>4.5999999999999996</v>
      </c>
      <c r="G12" s="19">
        <v>45493</v>
      </c>
      <c r="H12" s="16" t="s">
        <v>23</v>
      </c>
      <c r="I12" s="16" t="s">
        <v>1</v>
      </c>
      <c r="J12" s="16">
        <v>1</v>
      </c>
      <c r="K12" s="16">
        <v>100</v>
      </c>
      <c r="L12" s="16" t="s">
        <v>7</v>
      </c>
      <c r="M12" s="16" t="s">
        <v>0</v>
      </c>
      <c r="N12" s="19">
        <v>45709</v>
      </c>
      <c r="O12" s="18">
        <f t="shared" si="1"/>
        <v>31.68</v>
      </c>
      <c r="P12" s="18">
        <v>32</v>
      </c>
      <c r="Q12" s="4">
        <f>P12+T12</f>
        <v>36.799999999999997</v>
      </c>
      <c r="R12" s="20">
        <f t="shared" si="0"/>
        <v>0.16161616161616155</v>
      </c>
      <c r="T12" s="18">
        <f>4.8</f>
        <v>4.8</v>
      </c>
      <c r="U12" s="18">
        <f t="shared" si="4"/>
        <v>480</v>
      </c>
      <c r="V12" s="17">
        <f t="shared" si="5"/>
        <v>20.000000000000057</v>
      </c>
      <c r="X12" s="5">
        <f>MAX(0,O12-P12)</f>
        <v>0</v>
      </c>
      <c r="Y12" t="s">
        <v>43</v>
      </c>
      <c r="Z12" s="17">
        <f>T12-X12</f>
        <v>4.8</v>
      </c>
    </row>
    <row r="13" spans="1:28" x14ac:dyDescent="0.25">
      <c r="B13" t="s">
        <v>1</v>
      </c>
      <c r="C13">
        <v>100</v>
      </c>
      <c r="D13" s="4">
        <f t="shared" si="2"/>
        <v>409.99999999999994</v>
      </c>
      <c r="E13" s="2">
        <f>4.1</f>
        <v>4.0999999999999996</v>
      </c>
      <c r="G13" s="1">
        <v>45493</v>
      </c>
      <c r="H13" t="s">
        <v>24</v>
      </c>
      <c r="I13" t="s">
        <v>1</v>
      </c>
      <c r="J13">
        <v>1</v>
      </c>
      <c r="K13">
        <v>100</v>
      </c>
      <c r="L13" t="s">
        <v>7</v>
      </c>
      <c r="M13" t="s">
        <v>0</v>
      </c>
      <c r="N13" s="1">
        <v>45709</v>
      </c>
      <c r="O13" s="2">
        <f t="shared" si="1"/>
        <v>31.68</v>
      </c>
      <c r="P13" s="2">
        <v>33</v>
      </c>
      <c r="Q13" s="4">
        <f>P13+T13</f>
        <v>37.4</v>
      </c>
      <c r="R13" s="20">
        <f t="shared" si="0"/>
        <v>0.18055555555555558</v>
      </c>
      <c r="T13" s="2">
        <f>4.4</f>
        <v>4.4000000000000004</v>
      </c>
      <c r="U13" s="2">
        <f t="shared" ref="U13:U16" si="6">T13*K13</f>
        <v>440.00000000000006</v>
      </c>
      <c r="V13" s="4">
        <f t="shared" ref="V13:V16" si="7">U13-D13</f>
        <v>30.000000000000114</v>
      </c>
      <c r="X13" s="5">
        <f>MAX(0,O13-P13)</f>
        <v>0</v>
      </c>
      <c r="Y13" t="s">
        <v>43</v>
      </c>
      <c r="Z13" s="4">
        <f>T13-X13</f>
        <v>4.4000000000000004</v>
      </c>
    </row>
    <row r="14" spans="1:28" x14ac:dyDescent="0.25">
      <c r="B14" t="s">
        <v>1</v>
      </c>
      <c r="C14">
        <v>100</v>
      </c>
      <c r="D14" s="4">
        <f t="shared" si="2"/>
        <v>370</v>
      </c>
      <c r="E14" s="2">
        <f>3.7</f>
        <v>3.7</v>
      </c>
      <c r="G14" s="1">
        <v>45493</v>
      </c>
      <c r="H14" t="s">
        <v>25</v>
      </c>
      <c r="I14" t="s">
        <v>1</v>
      </c>
      <c r="J14">
        <v>1</v>
      </c>
      <c r="K14">
        <v>100</v>
      </c>
      <c r="L14" t="s">
        <v>7</v>
      </c>
      <c r="M14" t="s">
        <v>0</v>
      </c>
      <c r="N14" s="1">
        <v>45709</v>
      </c>
      <c r="O14" s="2">
        <f t="shared" si="1"/>
        <v>31.68</v>
      </c>
      <c r="P14" s="2">
        <v>34</v>
      </c>
      <c r="Q14" s="4">
        <f>P14+T14</f>
        <v>38.6</v>
      </c>
      <c r="R14" s="20">
        <f t="shared" si="0"/>
        <v>0.21843434343434343</v>
      </c>
      <c r="T14" s="2">
        <f>4.6</f>
        <v>4.5999999999999996</v>
      </c>
      <c r="U14" s="2">
        <f t="shared" si="6"/>
        <v>459.99999999999994</v>
      </c>
      <c r="V14" s="4">
        <f t="shared" si="7"/>
        <v>89.999999999999943</v>
      </c>
      <c r="X14" s="5">
        <f>MAX(0,O14-P14)</f>
        <v>0</v>
      </c>
      <c r="Y14" t="s">
        <v>43</v>
      </c>
      <c r="Z14" s="4">
        <f>T14-X14</f>
        <v>4.5999999999999996</v>
      </c>
    </row>
    <row r="15" spans="1:28" x14ac:dyDescent="0.25">
      <c r="B15" t="s">
        <v>1</v>
      </c>
      <c r="C15">
        <v>100</v>
      </c>
      <c r="D15" s="4">
        <f t="shared" si="2"/>
        <v>225</v>
      </c>
      <c r="E15" s="2">
        <f>2.25</f>
        <v>2.25</v>
      </c>
      <c r="G15" s="1">
        <v>45493</v>
      </c>
      <c r="H15" t="s">
        <v>26</v>
      </c>
      <c r="I15" t="s">
        <v>1</v>
      </c>
      <c r="J15">
        <v>1</v>
      </c>
      <c r="K15" s="26">
        <v>100</v>
      </c>
      <c r="L15" s="26" t="s">
        <v>7</v>
      </c>
      <c r="M15" s="26" t="s">
        <v>0</v>
      </c>
      <c r="N15" s="27">
        <v>45709</v>
      </c>
      <c r="O15" s="28">
        <f t="shared" si="1"/>
        <v>31.68</v>
      </c>
      <c r="P15" s="28">
        <v>35</v>
      </c>
      <c r="Q15" s="29">
        <f>P15+T15</f>
        <v>38.5</v>
      </c>
      <c r="R15" s="30">
        <f>Q15/O15-1</f>
        <v>0.21527777777777768</v>
      </c>
      <c r="T15" s="28">
        <f>3.5</f>
        <v>3.5</v>
      </c>
      <c r="U15" s="2">
        <f t="shared" si="6"/>
        <v>350</v>
      </c>
      <c r="V15" s="4">
        <f t="shared" si="7"/>
        <v>125</v>
      </c>
      <c r="X15" s="5">
        <f>MAX(0,O15-P15)</f>
        <v>0</v>
      </c>
      <c r="Y15" t="s">
        <v>43</v>
      </c>
      <c r="Z15" s="4">
        <f>T15-X15</f>
        <v>3.5</v>
      </c>
      <c r="AB15" s="4">
        <f>50-P15</f>
        <v>15</v>
      </c>
    </row>
    <row r="16" spans="1:28" x14ac:dyDescent="0.25">
      <c r="B16" t="s">
        <v>1</v>
      </c>
      <c r="C16">
        <v>100</v>
      </c>
      <c r="D16" s="4">
        <f t="shared" si="2"/>
        <v>110.00000000000001</v>
      </c>
      <c r="E16" s="2">
        <f>1.1</f>
        <v>1.1000000000000001</v>
      </c>
      <c r="G16" s="1">
        <v>45493</v>
      </c>
      <c r="H16" t="s">
        <v>27</v>
      </c>
      <c r="I16" t="s">
        <v>1</v>
      </c>
      <c r="J16">
        <v>1</v>
      </c>
      <c r="K16">
        <v>100</v>
      </c>
      <c r="L16" t="s">
        <v>7</v>
      </c>
      <c r="M16" t="s">
        <v>0</v>
      </c>
      <c r="N16" s="1">
        <v>45709</v>
      </c>
      <c r="O16" s="2">
        <f t="shared" si="1"/>
        <v>31.68</v>
      </c>
      <c r="P16" s="2">
        <v>45</v>
      </c>
      <c r="Q16" s="4">
        <f>P16+T16</f>
        <v>46.4</v>
      </c>
      <c r="R16" s="20">
        <f>Q16/O16-1</f>
        <v>0.46464646464646453</v>
      </c>
      <c r="T16" s="2">
        <f>1.4</f>
        <v>1.4</v>
      </c>
      <c r="U16" s="2">
        <f t="shared" si="6"/>
        <v>140</v>
      </c>
      <c r="V16" s="4">
        <f t="shared" si="7"/>
        <v>29.999999999999986</v>
      </c>
      <c r="X16" s="5">
        <f>MAX(0,O16-P16)</f>
        <v>0</v>
      </c>
      <c r="Y16" t="s">
        <v>43</v>
      </c>
      <c r="Z16" s="4">
        <f>T16-X16</f>
        <v>1.4</v>
      </c>
    </row>
    <row r="17" spans="2:29" x14ac:dyDescent="0.25">
      <c r="P17" s="20"/>
      <c r="Q17" s="20"/>
      <c r="R17" s="20"/>
    </row>
    <row r="18" spans="2:29" x14ac:dyDescent="0.25">
      <c r="Q18" s="4"/>
      <c r="R18" s="4"/>
      <c r="T18" s="4">
        <f>T5-T15</f>
        <v>7.9</v>
      </c>
      <c r="AB18" s="4">
        <f>AB5-AB15-T18</f>
        <v>5.0999999999999996</v>
      </c>
      <c r="AC18" s="20">
        <f>AB18/T18</f>
        <v>0.64556962025316444</v>
      </c>
    </row>
    <row r="19" spans="2:29" x14ac:dyDescent="0.25">
      <c r="D19" t="s">
        <v>59</v>
      </c>
      <c r="Q19" s="20"/>
      <c r="R19" s="20"/>
    </row>
    <row r="20" spans="2:29" x14ac:dyDescent="0.25">
      <c r="N20" s="1">
        <v>45520</v>
      </c>
    </row>
    <row r="21" spans="2:29" x14ac:dyDescent="0.25">
      <c r="D21" t="s">
        <v>60</v>
      </c>
      <c r="N21" s="1">
        <v>45555</v>
      </c>
      <c r="P21" s="2">
        <f>11.2</f>
        <v>11.2</v>
      </c>
      <c r="Q21" s="4">
        <f>P5+P21</f>
        <v>33.200000000000003</v>
      </c>
    </row>
    <row r="22" spans="2:29" x14ac:dyDescent="0.25">
      <c r="N22" s="1">
        <v>45611</v>
      </c>
      <c r="T22" s="2" t="s">
        <v>46</v>
      </c>
    </row>
    <row r="23" spans="2:29" x14ac:dyDescent="0.25">
      <c r="B23" t="s">
        <v>2</v>
      </c>
      <c r="N23" s="1">
        <v>45646</v>
      </c>
      <c r="T23" s="2" t="s">
        <v>47</v>
      </c>
    </row>
    <row r="24" spans="2:29" x14ac:dyDescent="0.25">
      <c r="N24" s="1">
        <v>45709</v>
      </c>
    </row>
    <row r="25" spans="2:29" x14ac:dyDescent="0.25">
      <c r="T25" s="2" t="s">
        <v>45</v>
      </c>
    </row>
    <row r="27" spans="2:29" x14ac:dyDescent="0.25">
      <c r="T27" s="2" t="s">
        <v>48</v>
      </c>
    </row>
    <row r="29" spans="2:29" x14ac:dyDescent="0.25">
      <c r="I29" s="1">
        <v>45493</v>
      </c>
      <c r="J29" s="1">
        <v>45504</v>
      </c>
      <c r="K29" s="1">
        <v>45535</v>
      </c>
      <c r="L29" s="1">
        <v>45565</v>
      </c>
      <c r="M29" s="1">
        <v>45596</v>
      </c>
      <c r="N29" s="1">
        <v>45626</v>
      </c>
      <c r="O29" s="1">
        <v>45657</v>
      </c>
      <c r="P29" s="1">
        <v>45322</v>
      </c>
      <c r="Q29" s="1">
        <v>45709</v>
      </c>
      <c r="T29" s="2" t="s">
        <v>52</v>
      </c>
    </row>
    <row r="30" spans="2:29" x14ac:dyDescent="0.25">
      <c r="I30" s="4">
        <f>I31*100</f>
        <v>3168</v>
      </c>
    </row>
    <row r="31" spans="2:29" x14ac:dyDescent="0.25">
      <c r="F31" t="s">
        <v>0</v>
      </c>
      <c r="G31" t="s">
        <v>53</v>
      </c>
      <c r="I31" s="2">
        <f>31.68</f>
        <v>31.68</v>
      </c>
      <c r="J31" s="2">
        <f>32</f>
        <v>32</v>
      </c>
      <c r="K31" s="2">
        <f>33</f>
        <v>33</v>
      </c>
      <c r="L31" s="2">
        <f>30</f>
        <v>30</v>
      </c>
      <c r="M31" s="2">
        <f>32.5</f>
        <v>32.5</v>
      </c>
      <c r="N31" s="2">
        <f>35</f>
        <v>35</v>
      </c>
      <c r="O31" s="2">
        <f>38</f>
        <v>38</v>
      </c>
      <c r="P31" s="2">
        <f>40</f>
        <v>40</v>
      </c>
      <c r="Q31" s="2">
        <f>50</f>
        <v>50</v>
      </c>
      <c r="R31" s="20">
        <f>Q31/I31-1</f>
        <v>0.57828282828282829</v>
      </c>
    </row>
    <row r="32" spans="2:29" x14ac:dyDescent="0.25"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7:18" x14ac:dyDescent="0.25">
      <c r="G33" t="s">
        <v>49</v>
      </c>
      <c r="I33" s="2">
        <f>33.2</f>
        <v>33.200000000000003</v>
      </c>
      <c r="J33" s="2">
        <f>33.2</f>
        <v>33.200000000000003</v>
      </c>
      <c r="K33" s="2">
        <f>33.2</f>
        <v>33.200000000000003</v>
      </c>
      <c r="L33" s="2">
        <f>33.2</f>
        <v>33.200000000000003</v>
      </c>
      <c r="M33" s="2">
        <f>33.2</f>
        <v>33.200000000000003</v>
      </c>
      <c r="N33" s="2">
        <f>33.2</f>
        <v>33.200000000000003</v>
      </c>
      <c r="O33" s="2">
        <f>33.2</f>
        <v>33.200000000000003</v>
      </c>
      <c r="P33" s="2">
        <f t="shared" ref="P33:Q33" si="8">33.2</f>
        <v>33.200000000000003</v>
      </c>
      <c r="Q33" s="2">
        <f t="shared" si="8"/>
        <v>33.200000000000003</v>
      </c>
      <c r="R33" s="2"/>
    </row>
    <row r="34" spans="7:18" x14ac:dyDescent="0.25"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7:18" x14ac:dyDescent="0.25">
      <c r="G35" t="s">
        <v>54</v>
      </c>
      <c r="I35" s="2">
        <f>22</f>
        <v>22</v>
      </c>
      <c r="J35" s="2">
        <f>22</f>
        <v>22</v>
      </c>
      <c r="K35" s="2">
        <f>22</f>
        <v>22</v>
      </c>
      <c r="L35" s="2">
        <f>22</f>
        <v>22</v>
      </c>
      <c r="M35" s="2">
        <f>22</f>
        <v>22</v>
      </c>
      <c r="N35" s="2">
        <f>22</f>
        <v>22</v>
      </c>
      <c r="O35" s="2">
        <f>22</f>
        <v>22</v>
      </c>
      <c r="P35" s="2">
        <f>22</f>
        <v>22</v>
      </c>
      <c r="Q35" s="2">
        <f>22</f>
        <v>22</v>
      </c>
    </row>
    <row r="37" spans="7:18" x14ac:dyDescent="0.25">
      <c r="G37" t="s">
        <v>55</v>
      </c>
      <c r="I37" s="2">
        <f>11.2</f>
        <v>11.2</v>
      </c>
      <c r="J37" s="2">
        <f t="shared" ref="J37:Q37" si="9">11.2</f>
        <v>11.2</v>
      </c>
      <c r="K37" s="2">
        <f t="shared" si="9"/>
        <v>11.2</v>
      </c>
      <c r="L37" s="2">
        <f t="shared" si="9"/>
        <v>11.2</v>
      </c>
      <c r="M37" s="2">
        <f t="shared" si="9"/>
        <v>11.2</v>
      </c>
      <c r="N37" s="2">
        <f t="shared" si="9"/>
        <v>11.2</v>
      </c>
      <c r="O37" s="2">
        <f t="shared" si="9"/>
        <v>11.2</v>
      </c>
      <c r="P37" s="2">
        <f t="shared" si="9"/>
        <v>11.2</v>
      </c>
      <c r="Q37" s="2">
        <f t="shared" si="9"/>
        <v>11.2</v>
      </c>
    </row>
    <row r="39" spans="7:18" x14ac:dyDescent="0.25">
      <c r="G39" t="s">
        <v>56</v>
      </c>
      <c r="I39" s="4">
        <f>I31-I33</f>
        <v>-1.5200000000000031</v>
      </c>
      <c r="J39" s="4">
        <f t="shared" ref="J39:Q39" si="10">J31-J33</f>
        <v>-1.2000000000000028</v>
      </c>
      <c r="K39" s="4">
        <f t="shared" si="10"/>
        <v>-0.20000000000000284</v>
      </c>
      <c r="L39" s="4">
        <f t="shared" si="10"/>
        <v>-3.2000000000000028</v>
      </c>
      <c r="M39" s="4">
        <f t="shared" si="10"/>
        <v>-0.70000000000000284</v>
      </c>
      <c r="N39" s="4">
        <f t="shared" si="10"/>
        <v>1.7999999999999972</v>
      </c>
      <c r="O39" s="4">
        <f t="shared" si="10"/>
        <v>4.7999999999999972</v>
      </c>
      <c r="P39" s="4">
        <f t="shared" si="10"/>
        <v>6.7999999999999972</v>
      </c>
      <c r="Q39" s="4">
        <f t="shared" si="10"/>
        <v>16.799999999999997</v>
      </c>
    </row>
    <row r="40" spans="7:18" x14ac:dyDescent="0.25">
      <c r="Q40" s="4">
        <f>Q39*100</f>
        <v>1679.9999999999998</v>
      </c>
      <c r="R40" s="20">
        <f>Q40/I43</f>
        <v>1.4999999999999998</v>
      </c>
    </row>
    <row r="42" spans="7:18" x14ac:dyDescent="0.25">
      <c r="I42" s="4">
        <f>Q37</f>
        <v>11.2</v>
      </c>
    </row>
    <row r="43" spans="7:18" x14ac:dyDescent="0.25">
      <c r="I43" s="4">
        <f>I42*100</f>
        <v>1120</v>
      </c>
      <c r="L43" t="s">
        <v>57</v>
      </c>
    </row>
    <row r="44" spans="7:18" x14ac:dyDescent="0.25">
      <c r="L44" t="s">
        <v>58</v>
      </c>
    </row>
    <row r="47" spans="7:18" x14ac:dyDescent="0.25">
      <c r="I47" s="2">
        <f>3.5</f>
        <v>3.5</v>
      </c>
      <c r="Q47" s="4">
        <f>5-1.5</f>
        <v>3.5</v>
      </c>
      <c r="R47" s="20">
        <f>Q47/I47</f>
        <v>1</v>
      </c>
    </row>
    <row r="48" spans="7:18" x14ac:dyDescent="0.25">
      <c r="I48" s="2">
        <f>I47*100</f>
        <v>350</v>
      </c>
    </row>
    <row r="51" spans="14:17" x14ac:dyDescent="0.25">
      <c r="N51" t="s">
        <v>62</v>
      </c>
      <c r="P51" t="s">
        <v>29</v>
      </c>
      <c r="Q51">
        <v>100</v>
      </c>
    </row>
    <row r="53" spans="14:17" x14ac:dyDescent="0.25">
      <c r="N53" t="s">
        <v>61</v>
      </c>
      <c r="P53" t="s">
        <v>6</v>
      </c>
      <c r="Q53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Barron</dc:creator>
  <cp:lastModifiedBy>Alex Barron</cp:lastModifiedBy>
  <dcterms:created xsi:type="dcterms:W3CDTF">2024-07-20T15:59:37Z</dcterms:created>
  <dcterms:modified xsi:type="dcterms:W3CDTF">2024-07-22T04:59:54Z</dcterms:modified>
</cp:coreProperties>
</file>