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015" yWindow="315" windowWidth="15480" windowHeight="11640" activeTab="0"/>
  </bookViews>
  <sheets>
    <sheet name="W&amp;B" sheetId="1" r:id="rId1"/>
  </sheets>
  <definedNames>
    <definedName name="_xlnm.Print_Area" localSheetId="0">'W&amp;B'!$B$2:$F$46</definedName>
  </definedNames>
  <calcPr fullCalcOnLoad="1"/>
</workbook>
</file>

<file path=xl/sharedStrings.xml><?xml version="1.0" encoding="utf-8"?>
<sst xmlns="http://schemas.openxmlformats.org/spreadsheetml/2006/main" count="50" uniqueCount="46">
  <si>
    <t>Item</t>
  </si>
  <si>
    <t>Weight</t>
  </si>
  <si>
    <t>Arm</t>
  </si>
  <si>
    <t>Moment</t>
  </si>
  <si>
    <t>Utility</t>
  </si>
  <si>
    <t>Normal</t>
  </si>
  <si>
    <t>Total</t>
  </si>
  <si>
    <t>(N/A)</t>
  </si>
  <si>
    <t>Aircraft Licensed Empty Weight</t>
  </si>
  <si>
    <t>Weight and Balance Worksheet</t>
  </si>
  <si>
    <t>Rear Seats</t>
  </si>
  <si>
    <t>Front Seats</t>
  </si>
  <si>
    <t>Seat Occupancy Table:</t>
  </si>
  <si>
    <t>Pilot:</t>
  </si>
  <si>
    <t>Copilot:</t>
  </si>
  <si>
    <t>Rear Left:</t>
  </si>
  <si>
    <t>Rear Right:</t>
  </si>
  <si>
    <t>Remaining Useful Load:</t>
  </si>
  <si>
    <t>USAGE:</t>
  </si>
  <si>
    <t>Fill out the areas in GREEN</t>
  </si>
  <si>
    <t>P.O.H. Limitations</t>
  </si>
  <si>
    <t>lbs.</t>
  </si>
  <si>
    <t>gal.</t>
  </si>
  <si>
    <t>Warnings:</t>
  </si>
  <si>
    <t>Other Information</t>
  </si>
  <si>
    <t>inches</t>
  </si>
  <si>
    <t>Oil (qts):</t>
  </si>
  <si>
    <t>Fuel (gal):</t>
  </si>
  <si>
    <t>Baggage 1:</t>
  </si>
  <si>
    <t>Cessna 172N</t>
  </si>
  <si>
    <t>N8473E</t>
  </si>
  <si>
    <t>Baggage2:</t>
  </si>
  <si>
    <t>Baggage Area 1</t>
  </si>
  <si>
    <t>Baggage Area 2</t>
  </si>
  <si>
    <t>Oil (7 Quarts Maximum with filter)</t>
  </si>
  <si>
    <t>Max Gross Weight =</t>
  </si>
  <si>
    <t>Max Baggage Area 1 &amp; 2 =</t>
  </si>
  <si>
    <t>Aft Center of Gravity =</t>
  </si>
  <si>
    <t>Forward Center of Gravity =</t>
  </si>
  <si>
    <t>Max Usable Fuel =</t>
  </si>
  <si>
    <t>Minimum Fuel (for safety)=</t>
  </si>
  <si>
    <t>Less Fuel Used</t>
  </si>
  <si>
    <t>Landing Weight =</t>
  </si>
  <si>
    <t>Max Baggage Area  2 =</t>
  </si>
  <si>
    <t>Fuel (50 Gallons Maximum Usable)</t>
  </si>
  <si>
    <t>FOR PLANNING PURPOSES ONLY, PILOT IN COMMAND IS RESPONSIBLE FOR VERIFYING ALL WEIGHT AND BALANCE CALCULATIONS.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</si>
</sst>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&quot; gal&quot;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0.0&quot; qts&quot;"/>
    <numFmt numFmtId="174" formatCode="_(* #,##0_);_(* \(#,##0\);_(* &quot;-&quot;??_);_(@_)&quot; LBS&quot;"/>
    <numFmt numFmtId="175" formatCode="_(* #,##0_);_(* \(#,##0\);_(* &quot;-&quot;??_);_(@_)\ &quot; LBS&quot;"/>
    <numFmt numFmtId="176" formatCode="0&quot; LBS&quot;"/>
    <numFmt numFmtId="177" formatCode="0.0&quot; inches&quot;"/>
    <numFmt numFmtId="178" formatCode="0.0&quot; INCHES&quot;"/>
    <numFmt numFmtId="179" formatCode="0.0&quot;LB/INCHES&quot;"/>
    <numFmt numFmtId="180" formatCode="0.0&quot; LB/INCHES&quot;"/>
    <numFmt numFmtId="181" formatCode="0.0&quot; LB-INCHES&quot;"/>
    <numFmt numFmtId="182" formatCode="#,##0.0"/>
    <numFmt numFmtId="183" formatCode="[$-409]dddd\,\ mmmm\ dd\,\ yyyy"/>
    <numFmt numFmtId="184" formatCode="[$-409]h:mm:ss\ AM/PM"/>
    <numFmt numFmtId="185" formatCode="#,##0.0000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9"/>
      <color indexed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9"/>
      <color indexed="23"/>
      <name val="Geneva"/>
      <family val="0"/>
    </font>
    <font>
      <b/>
      <sz val="9"/>
      <color indexed="16"/>
      <name val="Geneva"/>
      <family val="2"/>
    </font>
    <font>
      <b/>
      <sz val="9"/>
      <color indexed="9"/>
      <name val="Geneva"/>
      <family val="2"/>
    </font>
    <font>
      <sz val="9.75"/>
      <color indexed="8"/>
      <name val="Geneva"/>
      <family val="0"/>
    </font>
    <font>
      <sz val="7.35"/>
      <color indexed="8"/>
      <name val="Geneva"/>
      <family val="0"/>
    </font>
    <font>
      <sz val="10.1"/>
      <color indexed="8"/>
      <name val="Geneva"/>
      <family val="0"/>
    </font>
    <font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b/>
      <sz val="9"/>
      <color indexed="10"/>
      <name val="Geneva"/>
      <family val="0"/>
    </font>
    <font>
      <sz val="11"/>
      <name val="Calibri"/>
      <family val="0"/>
    </font>
    <font>
      <b/>
      <sz val="9.75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C00000"/>
      <name val="Arial"/>
      <family val="2"/>
    </font>
    <font>
      <sz val="8"/>
      <color rgb="FFC00000"/>
      <name val="Arial"/>
      <family val="2"/>
    </font>
    <font>
      <b/>
      <sz val="8"/>
      <color rgb="FFC00000"/>
      <name val="Arial"/>
      <family val="2"/>
    </font>
    <font>
      <b/>
      <sz val="9"/>
      <color rgb="FFFF0000"/>
      <name val="Geneva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3" fontId="5" fillId="0" borderId="0" xfId="0" applyNumberFormat="1" applyFont="1" applyAlignment="1" applyProtection="1">
      <alignment vertical="center"/>
      <protection hidden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vertical="center"/>
    </xf>
    <xf numFmtId="182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57" fillId="33" borderId="19" xfId="0" applyFont="1" applyFill="1" applyBorder="1" applyAlignment="1" applyProtection="1">
      <alignment horizontal="left"/>
      <protection/>
    </xf>
    <xf numFmtId="0" fontId="58" fillId="33" borderId="13" xfId="0" applyFont="1" applyFill="1" applyBorder="1" applyAlignment="1" applyProtection="1">
      <alignment/>
      <protection/>
    </xf>
    <xf numFmtId="0" fontId="59" fillId="33" borderId="12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4" borderId="11" xfId="0" applyFill="1" applyBorder="1" applyAlignment="1">
      <alignment/>
    </xf>
    <xf numFmtId="0" fontId="0" fillId="34" borderId="22" xfId="0" applyFill="1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" fontId="1" fillId="0" borderId="17" xfId="42" applyNumberFormat="1" applyFont="1" applyBorder="1" applyAlignment="1">
      <alignment horizontal="right" vertical="center"/>
    </xf>
    <xf numFmtId="4" fontId="10" fillId="0" borderId="13" xfId="42" applyNumberFormat="1" applyFont="1" applyBorder="1" applyAlignment="1">
      <alignment horizontal="right"/>
    </xf>
    <xf numFmtId="4" fontId="0" fillId="0" borderId="13" xfId="42" applyNumberFormat="1" applyFont="1" applyBorder="1" applyAlignment="1">
      <alignment horizontal="right"/>
    </xf>
    <xf numFmtId="4" fontId="10" fillId="0" borderId="14" xfId="42" applyNumberFormat="1" applyFont="1" applyBorder="1" applyAlignment="1">
      <alignment horizontal="right"/>
    </xf>
    <xf numFmtId="4" fontId="0" fillId="35" borderId="23" xfId="42" applyNumberFormat="1" applyFont="1" applyFill="1" applyBorder="1" applyAlignment="1" applyProtection="1">
      <alignment horizontal="right"/>
      <protection/>
    </xf>
    <xf numFmtId="0" fontId="1" fillId="34" borderId="24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165" fontId="1" fillId="34" borderId="26" xfId="0" applyNumberFormat="1" applyFont="1" applyFill="1" applyBorder="1" applyAlignment="1" applyProtection="1">
      <alignment/>
      <protection locked="0"/>
    </xf>
    <xf numFmtId="165" fontId="1" fillId="34" borderId="25" xfId="0" applyNumberFormat="1" applyFont="1" applyFill="1" applyBorder="1" applyAlignment="1" applyProtection="1">
      <alignment/>
      <protection locked="0"/>
    </xf>
    <xf numFmtId="164" fontId="1" fillId="34" borderId="23" xfId="0" applyNumberFormat="1" applyFont="1" applyFill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/>
    </xf>
    <xf numFmtId="0" fontId="58" fillId="33" borderId="15" xfId="0" applyFont="1" applyFill="1" applyBorder="1" applyAlignment="1" applyProtection="1">
      <alignment/>
      <protection/>
    </xf>
    <xf numFmtId="164" fontId="0" fillId="36" borderId="23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37" borderId="2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42" applyNumberFormat="1" applyFont="1" applyAlignment="1" applyProtection="1">
      <alignment horizontal="right"/>
      <protection/>
    </xf>
    <xf numFmtId="4" fontId="10" fillId="0" borderId="0" xfId="42" applyNumberFormat="1" applyFont="1" applyAlignment="1" applyProtection="1">
      <alignment horizontal="right"/>
      <protection/>
    </xf>
    <xf numFmtId="173" fontId="0" fillId="36" borderId="2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36" borderId="23" xfId="42" applyNumberFormat="1" applyFont="1" applyFill="1" applyBorder="1" applyAlignment="1" applyProtection="1">
      <alignment horizontal="right"/>
      <protection/>
    </xf>
    <xf numFmtId="0" fontId="0" fillId="35" borderId="24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4" fontId="0" fillId="35" borderId="17" xfId="42" applyNumberFormat="1" applyFont="1" applyFill="1" applyBorder="1" applyAlignment="1" applyProtection="1">
      <alignment horizontal="right"/>
      <protection/>
    </xf>
    <xf numFmtId="4" fontId="0" fillId="35" borderId="28" xfId="42" applyNumberFormat="1" applyFont="1" applyFill="1" applyBorder="1" applyAlignment="1" applyProtection="1">
      <alignment horizontal="right"/>
      <protection/>
    </xf>
    <xf numFmtId="4" fontId="0" fillId="35" borderId="29" xfId="42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" fontId="1" fillId="0" borderId="0" xfId="42" applyNumberFormat="1" applyFont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185" fontId="10" fillId="0" borderId="0" xfId="42" applyNumberFormat="1" applyFont="1" applyAlignment="1" applyProtection="1">
      <alignment horizontal="right"/>
      <protection/>
    </xf>
    <xf numFmtId="185" fontId="1" fillId="0" borderId="17" xfId="42" applyNumberFormat="1" applyFont="1" applyBorder="1" applyAlignment="1">
      <alignment horizontal="right" vertical="center"/>
    </xf>
    <xf numFmtId="185" fontId="1" fillId="0" borderId="18" xfId="0" applyNumberFormat="1" applyFont="1" applyBorder="1" applyAlignment="1">
      <alignment horizontal="right" vertical="center"/>
    </xf>
    <xf numFmtId="185" fontId="0" fillId="0" borderId="0" xfId="42" applyNumberFormat="1" applyFont="1" applyAlignment="1" applyProtection="1">
      <alignment horizontal="right"/>
      <protection/>
    </xf>
    <xf numFmtId="185" fontId="1" fillId="0" borderId="0" xfId="0" applyNumberFormat="1" applyFont="1" applyAlignment="1" applyProtection="1">
      <alignment horizontal="right" vertical="center"/>
      <protection/>
    </xf>
    <xf numFmtId="185" fontId="1" fillId="0" borderId="0" xfId="42" applyNumberFormat="1" applyFont="1" applyAlignment="1" applyProtection="1">
      <alignment horizontal="right" vertical="center"/>
      <protection/>
    </xf>
    <xf numFmtId="4" fontId="0" fillId="0" borderId="17" xfId="0" applyNumberFormat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59" fillId="38" borderId="16" xfId="0" applyFont="1" applyFill="1" applyBorder="1" applyAlignment="1">
      <alignment/>
    </xf>
    <xf numFmtId="0" fontId="60" fillId="0" borderId="0" xfId="0" applyFont="1" applyAlignment="1" applyProtection="1">
      <alignment/>
      <protection/>
    </xf>
    <xf numFmtId="2" fontId="11" fillId="0" borderId="11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8" fillId="37" borderId="27" xfId="0" applyFont="1" applyFill="1" applyBorder="1" applyAlignment="1" applyProtection="1">
      <alignment vertical="center"/>
      <protection/>
    </xf>
    <xf numFmtId="0" fontId="0" fillId="37" borderId="27" xfId="0" applyFill="1" applyBorder="1" applyAlignment="1" applyProtection="1">
      <alignment vertical="center"/>
      <protection/>
    </xf>
    <xf numFmtId="0" fontId="8" fillId="37" borderId="27" xfId="0" applyFont="1" applyFill="1" applyBorder="1" applyAlignment="1" applyProtection="1">
      <alignment horizontal="center" vertical="center"/>
      <protection/>
    </xf>
    <xf numFmtId="0" fontId="0" fillId="37" borderId="27" xfId="0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2" fillId="39" borderId="20" xfId="0" applyFont="1" applyFill="1" applyBorder="1" applyAlignment="1">
      <alignment horizontal="center" vertical="center"/>
    </xf>
    <xf numFmtId="0" fontId="12" fillId="39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-0.00475"/>
          <c:w val="0.7575"/>
          <c:h val="0.95825"/>
        </c:manualLayout>
      </c:layout>
      <c:scatterChart>
        <c:scatterStyle val="lineMarker"/>
        <c:varyColors val="0"/>
        <c:ser>
          <c:idx val="1"/>
          <c:order val="0"/>
          <c:tx>
            <c:v>Normal Category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'W&amp;B'!$E$24:$E$29</c:f>
              <c:numCache/>
            </c:numRef>
          </c:xVal>
          <c:yVal>
            <c:numRef>
              <c:f>'W&amp;B'!$F$24:$F$29</c:f>
              <c:numCache/>
            </c:numRef>
          </c:yVal>
          <c:smooth val="0"/>
        </c:ser>
        <c:ser>
          <c:idx val="0"/>
          <c:order val="1"/>
          <c:tx>
            <c:v>Utility Category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'W&amp;B'!$B$24:$B$28</c:f>
              <c:numCache/>
            </c:numRef>
          </c:xVal>
          <c:yVal>
            <c:numRef>
              <c:f>'W&amp;B'!$C$24:$C$28</c:f>
              <c:numCache/>
            </c:numRef>
          </c:yVal>
          <c:smooth val="0"/>
        </c:ser>
        <c:ser>
          <c:idx val="2"/>
          <c:order val="2"/>
          <c:tx>
            <c:v>Operating point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'W&amp;B'!$G$12</c:f>
              <c:numCache/>
            </c:numRef>
          </c:xVal>
          <c:yVal>
            <c:numRef>
              <c:f>'W&amp;B'!$D$12</c:f>
              <c:numCache/>
            </c:numRef>
          </c:yVal>
          <c:smooth val="0"/>
        </c:ser>
        <c:ser>
          <c:idx val="3"/>
          <c:order val="3"/>
          <c:tx>
            <c:v>Landing Fuel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'W&amp;B'!$G$14</c:f>
              <c:numCache/>
            </c:numRef>
          </c:xVal>
          <c:yVal>
            <c:numRef>
              <c:f>'W&amp;B'!$D$14</c:f>
              <c:numCache/>
            </c:numRef>
          </c:yVal>
          <c:smooth val="0"/>
        </c:ser>
        <c:axId val="4084506"/>
        <c:axId val="36760555"/>
      </c:scatterChart>
      <c:valAx>
        <c:axId val="4084506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AIRPLANE C.G. LOCATION - INCHES AFT OF DATUM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0555"/>
        <c:crossesAt val="20"/>
        <c:crossBetween val="midCat"/>
        <c:dispUnits/>
        <c:majorUnit val="1"/>
        <c:minorUnit val="0.2"/>
      </c:valAx>
      <c:valAx>
        <c:axId val="36760555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LOADED AIRPLANE WEIGHT (POUNDS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4506"/>
        <c:crosses val="autoZero"/>
        <c:crossBetween val="midCat"/>
        <c:dispUnits/>
        <c:majorUnit val="100"/>
        <c:minorUnit val="2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1425"/>
          <c:y val="0.117"/>
          <c:w val="0.1795"/>
          <c:h val="0.466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19050</xdr:rowOff>
    </xdr:from>
    <xdr:to>
      <xdr:col>8</xdr:col>
      <xdr:colOff>57150</xdr:colOff>
      <xdr:row>48</xdr:row>
      <xdr:rowOff>123825</xdr:rowOff>
    </xdr:to>
    <xdr:graphicFrame>
      <xdr:nvGraphicFramePr>
        <xdr:cNvPr id="1" name="Chart 2"/>
        <xdr:cNvGraphicFramePr/>
      </xdr:nvGraphicFramePr>
      <xdr:xfrm>
        <a:off x="152400" y="3486150"/>
        <a:ext cx="86487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9"/>
  <sheetViews>
    <sheetView tabSelected="1" zoomScalePageLayoutView="0" workbookViewId="0" topLeftCell="A1">
      <selection activeCell="I5" sqref="I5"/>
    </sheetView>
  </sheetViews>
  <sheetFormatPr defaultColWidth="11.375" defaultRowHeight="12"/>
  <cols>
    <col min="1" max="1" width="5.875" style="0" customWidth="1"/>
    <col min="2" max="2" width="31.375" style="0" customWidth="1"/>
    <col min="3" max="3" width="12.875" style="0" customWidth="1"/>
    <col min="4" max="4" width="13.875" style="1" customWidth="1"/>
    <col min="5" max="5" width="15.875" style="1" customWidth="1"/>
    <col min="6" max="6" width="20.125" style="1" customWidth="1"/>
    <col min="7" max="7" width="3.375" style="0" customWidth="1"/>
    <col min="8" max="11" width="11.375" style="0" customWidth="1"/>
    <col min="12" max="12" width="24.00390625" style="0" customWidth="1"/>
    <col min="13" max="13" width="8.75390625" style="0" customWidth="1"/>
    <col min="14" max="14" width="6.25390625" style="0" customWidth="1"/>
  </cols>
  <sheetData>
    <row r="1" spans="1:7" ht="12.75" thickBot="1">
      <c r="A1" s="40"/>
      <c r="B1" s="71" t="s">
        <v>45</v>
      </c>
      <c r="C1" s="40"/>
      <c r="D1" s="41"/>
      <c r="E1" s="41"/>
      <c r="F1" s="41"/>
      <c r="G1" s="40"/>
    </row>
    <row r="2" spans="1:9" ht="21" customHeight="1" thickBot="1">
      <c r="A2" s="40"/>
      <c r="B2" s="76" t="s">
        <v>9</v>
      </c>
      <c r="C2" s="77"/>
      <c r="D2" s="78" t="s">
        <v>29</v>
      </c>
      <c r="E2" s="79"/>
      <c r="F2" s="42" t="s">
        <v>30</v>
      </c>
      <c r="G2" s="43"/>
      <c r="H2" s="74" t="s">
        <v>18</v>
      </c>
      <c r="I2" s="75"/>
    </row>
    <row r="3" spans="1:9" ht="15.75" customHeight="1" thickBot="1">
      <c r="A3" s="40"/>
      <c r="B3" s="44" t="s">
        <v>0</v>
      </c>
      <c r="C3" s="44"/>
      <c r="D3" s="45" t="s">
        <v>1</v>
      </c>
      <c r="E3" s="45" t="s">
        <v>2</v>
      </c>
      <c r="F3" s="45" t="s">
        <v>3</v>
      </c>
      <c r="G3" s="40"/>
      <c r="H3" s="23" t="s">
        <v>19</v>
      </c>
      <c r="I3" s="24"/>
    </row>
    <row r="4" spans="1:14" ht="15.75" customHeight="1">
      <c r="A4" s="40"/>
      <c r="B4" s="46" t="s">
        <v>8</v>
      </c>
      <c r="C4" s="40"/>
      <c r="D4" s="47">
        <v>1608.3</v>
      </c>
      <c r="E4" s="61">
        <f>F4/D4</f>
        <v>41.637611142199844</v>
      </c>
      <c r="F4" s="64">
        <v>66965.77</v>
      </c>
      <c r="G4" s="40"/>
      <c r="H4" s="80" t="s">
        <v>12</v>
      </c>
      <c r="I4" s="81"/>
      <c r="J4" s="21" t="s">
        <v>24</v>
      </c>
      <c r="K4" s="22"/>
      <c r="L4" s="20" t="s">
        <v>20</v>
      </c>
      <c r="M4" s="8"/>
      <c r="N4" s="9"/>
    </row>
    <row r="5" spans="1:14" ht="18.75" customHeight="1">
      <c r="A5" s="40"/>
      <c r="B5" s="40" t="s">
        <v>34</v>
      </c>
      <c r="C5" s="49">
        <f>+K5</f>
        <v>7</v>
      </c>
      <c r="D5" s="48">
        <f>1.875*C5</f>
        <v>13.125</v>
      </c>
      <c r="E5" s="47">
        <v>-14</v>
      </c>
      <c r="F5" s="48">
        <f aca="true" t="shared" si="0" ref="F5:F10">D5*E5</f>
        <v>-183.75</v>
      </c>
      <c r="G5" s="40"/>
      <c r="H5" s="4" t="s">
        <v>13</v>
      </c>
      <c r="I5" s="32">
        <v>0</v>
      </c>
      <c r="J5" s="4" t="s">
        <v>26</v>
      </c>
      <c r="K5" s="34">
        <v>7</v>
      </c>
      <c r="L5" s="7" t="s">
        <v>35</v>
      </c>
      <c r="M5" s="10">
        <v>2300</v>
      </c>
      <c r="N5" s="11" t="s">
        <v>21</v>
      </c>
    </row>
    <row r="6" spans="1:14" ht="15.75" customHeight="1">
      <c r="A6" s="40"/>
      <c r="B6" s="40" t="s">
        <v>44</v>
      </c>
      <c r="C6" s="39">
        <f>+K6</f>
        <v>50</v>
      </c>
      <c r="D6" s="48">
        <f>6*C6</f>
        <v>300</v>
      </c>
      <c r="E6" s="47">
        <v>46</v>
      </c>
      <c r="F6" s="48">
        <f t="shared" si="0"/>
        <v>13800</v>
      </c>
      <c r="G6" s="40"/>
      <c r="H6" s="4" t="s">
        <v>14</v>
      </c>
      <c r="I6" s="32">
        <v>0</v>
      </c>
      <c r="J6" s="4" t="s">
        <v>27</v>
      </c>
      <c r="K6" s="34">
        <v>50</v>
      </c>
      <c r="L6" s="7" t="s">
        <v>36</v>
      </c>
      <c r="M6" s="10">
        <v>120</v>
      </c>
      <c r="N6" s="11" t="s">
        <v>21</v>
      </c>
    </row>
    <row r="7" spans="1:14" ht="15.75" customHeight="1">
      <c r="A7" s="40"/>
      <c r="B7" s="40" t="s">
        <v>11</v>
      </c>
      <c r="C7" s="50"/>
      <c r="D7" s="31">
        <f>SUM(I5,I6)</f>
        <v>0</v>
      </c>
      <c r="E7" s="47">
        <v>37</v>
      </c>
      <c r="F7" s="48">
        <f t="shared" si="0"/>
        <v>0</v>
      </c>
      <c r="G7" s="40"/>
      <c r="H7" s="4" t="s">
        <v>15</v>
      </c>
      <c r="I7" s="32">
        <v>0</v>
      </c>
      <c r="J7" s="4" t="s">
        <v>28</v>
      </c>
      <c r="K7" s="34">
        <v>0</v>
      </c>
      <c r="L7" s="7" t="s">
        <v>43</v>
      </c>
      <c r="M7" s="10">
        <v>50</v>
      </c>
      <c r="N7" s="11" t="s">
        <v>21</v>
      </c>
    </row>
    <row r="8" spans="1:14" ht="15.75" customHeight="1" thickBot="1">
      <c r="A8" s="40"/>
      <c r="B8" s="40" t="s">
        <v>10</v>
      </c>
      <c r="C8" s="50"/>
      <c r="D8" s="31">
        <f>SUM(I7,I8)</f>
        <v>0</v>
      </c>
      <c r="E8" s="47">
        <v>73</v>
      </c>
      <c r="F8" s="48">
        <f t="shared" si="0"/>
        <v>0</v>
      </c>
      <c r="G8" s="40"/>
      <c r="H8" s="5" t="s">
        <v>16</v>
      </c>
      <c r="I8" s="33">
        <v>0</v>
      </c>
      <c r="J8" s="5" t="s">
        <v>31</v>
      </c>
      <c r="K8" s="35">
        <v>0</v>
      </c>
      <c r="L8" s="7" t="s">
        <v>37</v>
      </c>
      <c r="M8" s="10">
        <v>47.3</v>
      </c>
      <c r="N8" s="11" t="s">
        <v>25</v>
      </c>
    </row>
    <row r="9" spans="1:14" ht="15.75" customHeight="1">
      <c r="A9" s="40"/>
      <c r="B9" s="40" t="s">
        <v>32</v>
      </c>
      <c r="C9" s="50"/>
      <c r="D9" s="51">
        <f>K7</f>
        <v>0</v>
      </c>
      <c r="E9" s="47">
        <v>95</v>
      </c>
      <c r="F9" s="48">
        <f t="shared" si="0"/>
        <v>0</v>
      </c>
      <c r="G9" s="40"/>
      <c r="L9" s="6" t="s">
        <v>38</v>
      </c>
      <c r="M9" s="10">
        <v>35</v>
      </c>
      <c r="N9" s="11" t="s">
        <v>25</v>
      </c>
    </row>
    <row r="10" spans="1:14" ht="15.75" customHeight="1" thickBot="1">
      <c r="A10" s="40"/>
      <c r="B10" s="60" t="s">
        <v>33</v>
      </c>
      <c r="C10" s="50"/>
      <c r="D10" s="51">
        <f>K8</f>
        <v>0</v>
      </c>
      <c r="E10" s="47">
        <v>123</v>
      </c>
      <c r="F10" s="48">
        <f t="shared" si="0"/>
        <v>0</v>
      </c>
      <c r="G10" s="40"/>
      <c r="L10" s="6"/>
      <c r="M10" s="10"/>
      <c r="N10" s="11"/>
    </row>
    <row r="11" spans="1:14" ht="15.75" customHeight="1">
      <c r="A11" s="40"/>
      <c r="B11" s="52" t="s">
        <v>7</v>
      </c>
      <c r="C11" s="53"/>
      <c r="D11" s="54"/>
      <c r="E11" s="55"/>
      <c r="F11" s="56"/>
      <c r="G11" s="40"/>
      <c r="H11" s="82" t="s">
        <v>17</v>
      </c>
      <c r="I11" s="83"/>
      <c r="L11" s="6" t="s">
        <v>39</v>
      </c>
      <c r="M11" s="10">
        <v>50</v>
      </c>
      <c r="N11" s="11" t="s">
        <v>22</v>
      </c>
    </row>
    <row r="12" spans="1:14" s="2" customFormat="1" ht="19.5" customHeight="1" thickBot="1">
      <c r="A12" s="57"/>
      <c r="B12" s="58" t="s">
        <v>6</v>
      </c>
      <c r="C12" s="57"/>
      <c r="D12" s="59">
        <f>SUM(D4,D6,D7,D8,D9,D10)</f>
        <v>1908.3</v>
      </c>
      <c r="E12" s="66">
        <f>F12/D12</f>
        <v>42.22712361787979</v>
      </c>
      <c r="F12" s="65">
        <f>SUM(F4:F10)</f>
        <v>80582.02</v>
      </c>
      <c r="G12" s="3">
        <f>E12</f>
        <v>42.22712361787979</v>
      </c>
      <c r="H12" s="72">
        <f>2300-D12</f>
        <v>391.70000000000005</v>
      </c>
      <c r="I12" s="73"/>
      <c r="L12" s="6" t="s">
        <v>40</v>
      </c>
      <c r="M12" s="10">
        <v>10</v>
      </c>
      <c r="N12" s="11" t="s">
        <v>22</v>
      </c>
    </row>
    <row r="13" spans="2:14" s="2" customFormat="1" ht="19.5" customHeight="1">
      <c r="B13" s="25" t="s">
        <v>41</v>
      </c>
      <c r="C13" s="36">
        <v>0</v>
      </c>
      <c r="D13" s="28">
        <f>6*C13*-1</f>
        <v>0</v>
      </c>
      <c r="E13" s="29">
        <f>+E6</f>
        <v>46</v>
      </c>
      <c r="F13" s="30">
        <f>D13*E13</f>
        <v>0</v>
      </c>
      <c r="G13" s="3"/>
      <c r="L13" s="6"/>
      <c r="M13" s="10"/>
      <c r="N13" s="11"/>
    </row>
    <row r="14" spans="2:14" s="2" customFormat="1" ht="19.5" customHeight="1">
      <c r="B14" s="26" t="s">
        <v>42</v>
      </c>
      <c r="C14" s="67">
        <f>D14-C13*6</f>
        <v>1908.3</v>
      </c>
      <c r="D14" s="27">
        <f>+D12+D13</f>
        <v>1908.3</v>
      </c>
      <c r="E14" s="62">
        <f>+F14/D14</f>
        <v>42.22712361787979</v>
      </c>
      <c r="F14" s="63">
        <f>+F13+F12</f>
        <v>80582.02</v>
      </c>
      <c r="G14" s="3">
        <f>E14</f>
        <v>42.22712361787979</v>
      </c>
      <c r="L14" s="6"/>
      <c r="M14" s="10"/>
      <c r="N14" s="11"/>
    </row>
    <row r="15" spans="12:14" ht="12">
      <c r="L15" s="12"/>
      <c r="M15" s="10"/>
      <c r="N15" s="11"/>
    </row>
    <row r="16" spans="12:14" ht="12">
      <c r="L16" s="13"/>
      <c r="M16" s="14"/>
      <c r="N16" s="15"/>
    </row>
    <row r="18" spans="10:12" ht="23.25">
      <c r="J18" s="16" t="s">
        <v>23</v>
      </c>
      <c r="K18" s="17"/>
      <c r="L18" s="37"/>
    </row>
    <row r="19" spans="10:12" ht="12">
      <c r="J19" s="18">
        <f>IF(D12&gt;M5,"Warning: Maximum Gross Weight Exceeded","")</f>
      </c>
      <c r="K19" s="19"/>
      <c r="L19" s="38"/>
    </row>
    <row r="20" spans="10:12" ht="12">
      <c r="J20" s="18">
        <f>IF(((D9)&gt;(M6)),"Warning: Too Much Baggage Area 1 &amp; 2","")</f>
      </c>
      <c r="K20" s="19"/>
      <c r="L20" s="38"/>
    </row>
    <row r="21" spans="10:12" ht="12">
      <c r="J21" s="18">
        <f>IF(((D10)&gt;(M7)),"Warning: Too Much Baggage Area 2","")</f>
      </c>
      <c r="K21" s="19"/>
      <c r="L21" s="38"/>
    </row>
    <row r="22" spans="10:12" ht="12">
      <c r="J22" s="18">
        <f>IF(MAX(E12)&gt;M8,"Warning: C.G. Too Far Aft","")&amp;IF((E12&lt;M9),"Warning: C.G. Too Far Forward","")</f>
      </c>
      <c r="K22" s="19"/>
      <c r="L22" s="38"/>
    </row>
    <row r="23" spans="2:12" ht="12">
      <c r="B23" s="1" t="s">
        <v>4</v>
      </c>
      <c r="C23" s="1"/>
      <c r="E23" t="s">
        <v>5</v>
      </c>
      <c r="F23"/>
      <c r="J23" s="18">
        <f>IF(C6&gt;M11,"Error: Too Much Fuel","")&amp;IF(C6&lt;M12,"Warning: Low Fuel","")</f>
      </c>
      <c r="K23" s="19"/>
      <c r="L23" s="38"/>
    </row>
    <row r="24" spans="2:12" ht="12">
      <c r="B24" s="1">
        <v>35</v>
      </c>
      <c r="C24" s="1">
        <v>1500</v>
      </c>
      <c r="E24">
        <v>35</v>
      </c>
      <c r="F24" s="1">
        <v>1500</v>
      </c>
      <c r="J24" s="18">
        <f>IF(MAX(E14)&gt;M8,"Warning: C.G. Too Far Aft for Landing","")&amp;IF((E14&lt;M9),"Warning: C.G. Too Far Forward for Landing","")</f>
      </c>
      <c r="K24" s="19"/>
      <c r="L24" s="38"/>
    </row>
    <row r="25" spans="2:12" ht="12">
      <c r="B25" s="1">
        <v>35</v>
      </c>
      <c r="C25" s="1">
        <v>1950</v>
      </c>
      <c r="E25">
        <v>35</v>
      </c>
      <c r="F25" s="1">
        <v>1950</v>
      </c>
      <c r="J25" s="70">
        <f>IF(((D9+D10)&gt;(M6)),"Warning: Too Much Baggage Area 1 &amp; 2","")</f>
      </c>
      <c r="K25" s="68"/>
      <c r="L25" s="69"/>
    </row>
    <row r="26" spans="2:6" ht="12">
      <c r="B26" s="1">
        <v>35.5</v>
      </c>
      <c r="C26" s="1">
        <v>2000</v>
      </c>
      <c r="E26">
        <v>35.5</v>
      </c>
      <c r="F26" s="1">
        <v>2000</v>
      </c>
    </row>
    <row r="27" spans="2:6" ht="12">
      <c r="B27" s="1">
        <v>40.5</v>
      </c>
      <c r="C27" s="1">
        <v>2000</v>
      </c>
      <c r="E27">
        <v>38.5</v>
      </c>
      <c r="F27" s="1">
        <v>2300</v>
      </c>
    </row>
    <row r="28" spans="2:6" ht="12">
      <c r="B28" s="1">
        <v>40.5</v>
      </c>
      <c r="C28" s="1">
        <v>1500</v>
      </c>
      <c r="E28">
        <v>47.3</v>
      </c>
      <c r="F28" s="1">
        <v>2300</v>
      </c>
    </row>
    <row r="29" spans="2:6" ht="12">
      <c r="B29" s="1"/>
      <c r="C29" s="1"/>
      <c r="E29">
        <v>47.3</v>
      </c>
      <c r="F29" s="1">
        <v>1500</v>
      </c>
    </row>
  </sheetData>
  <sheetProtection password="CC31" sheet="1" selectLockedCells="1"/>
  <mergeCells count="6">
    <mergeCell ref="H12:I12"/>
    <mergeCell ref="H2:I2"/>
    <mergeCell ref="B2:C2"/>
    <mergeCell ref="D2:E2"/>
    <mergeCell ref="H4:I4"/>
    <mergeCell ref="H11:I11"/>
  </mergeCells>
  <conditionalFormatting sqref="H12:I12">
    <cfRule type="cellIs" priority="1" dxfId="3" operator="lessThan" stopIfTrue="1">
      <formula>5</formula>
    </cfRule>
    <cfRule type="cellIs" priority="2" dxfId="4" operator="between" stopIfTrue="1">
      <formula>5</formula>
      <formula>10</formula>
    </cfRule>
    <cfRule type="cellIs" priority="3" dxfId="5" operator="greaterThan" stopIfTrue="1">
      <formula>10</formula>
    </cfRule>
  </conditionalFormatting>
  <printOptions/>
  <pageMargins left="0.75" right="0.75" top="1" bottom="1" header="0.5" footer="0.5"/>
  <pageSetup fitToHeight="1" fitToWidth="1" horizontalDpi="600" verticalDpi="600" orientation="portrait" r:id="rId2"/>
  <ignoredErrors>
    <ignoredError sqref="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http://phreakmonkey.com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Cessna 172 Weight &amp; Balance Worksheet</dc:title>
  <dc:subject/>
  <dc:creator>R.W. Kelly</dc:creator>
  <cp:keywords/>
  <dc:description/>
  <cp:lastModifiedBy>Roger Beck</cp:lastModifiedBy>
  <cp:lastPrinted>2022-07-02T02:18:34Z</cp:lastPrinted>
  <dcterms:created xsi:type="dcterms:W3CDTF">2002-01-11T02:08:39Z</dcterms:created>
  <dcterms:modified xsi:type="dcterms:W3CDTF">2022-10-04T21:33:54Z</dcterms:modified>
  <cp:category/>
  <cp:version/>
  <cp:contentType/>
  <cp:contentStatus/>
</cp:coreProperties>
</file>