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netorgft3446581.sharepoint.com/Shared Documents/"/>
    </mc:Choice>
  </mc:AlternateContent>
  <xr:revisionPtr revIDLastSave="0" documentId="8_{39B2F1E4-00DE-4D91-9D34-21A080307D06}" xr6:coauthVersionLast="47" xr6:coauthVersionMax="47" xr10:uidLastSave="{00000000-0000-0000-0000-000000000000}"/>
  <bookViews>
    <workbookView xWindow="-108" yWindow="-108" windowWidth="23256" windowHeight="12456" firstSheet="1" activeTab="1" xr2:uid="{8A5C2748-160F-5944-BFA8-A1A442DD017F}"/>
  </bookViews>
  <sheets>
    <sheet name="Reserve Qtrly 7-25 NOT UPDATED" sheetId="4" state="hidden" r:id="rId1"/>
    <sheet name="Reserve Analysis - 2025 Update" sheetId="3" r:id="rId2"/>
    <sheet name="Reserve Analysis - 2024 Update" sheetId="2" r:id="rId3"/>
    <sheet name="Reserve Study 2023 (4-24)" sheetId="5" r:id="rId4"/>
    <sheet name="Funding Plan 2023 (4-24)" sheetId="6" r:id="rId5"/>
  </sheets>
  <externalReferences>
    <externalReference r:id="rId6"/>
    <externalReference r:id="rId7"/>
    <externalReference r:id="rId8"/>
    <externalReference r:id="rId9"/>
  </externalReferences>
  <definedNames>
    <definedName name="comprises" localSheetId="4">'Funding Plan 2023 (4-24)'!$C$191</definedName>
    <definedName name="comprises" localSheetId="2">#REF!</definedName>
    <definedName name="comprises" localSheetId="1">#REF!</definedName>
    <definedName name="comprises" localSheetId="3">#REF!</definedName>
    <definedName name="comprises">#REF!</definedName>
    <definedName name="Currency_Symbol" localSheetId="4">'[1]Property Info'!$B$22</definedName>
    <definedName name="Currency_Symbol" localSheetId="2">'[2]Property Info'!$B$22</definedName>
    <definedName name="Currency_Symbol" localSheetId="1">'[2]Property Info'!$B$22</definedName>
    <definedName name="Currency_Symbol" localSheetId="3">'[2]Property Info'!$B$22</definedName>
    <definedName name="Currency_Symbol">'[3]Property Info'!$B$22</definedName>
    <definedName name="Current_Fiscal_Year" localSheetId="4">'[1]Property Info'!$B$10</definedName>
    <definedName name="Current_Fiscal_Year" localSheetId="2">'[2]Property Info'!$B$10</definedName>
    <definedName name="Current_Fiscal_Year" localSheetId="1">'[2]Property Info'!$B$10</definedName>
    <definedName name="Current_Fiscal_Year" localSheetId="3">'[2]Property Info'!$B$10</definedName>
    <definedName name="Current_Fiscal_Year">'[3]Property Info'!$B$10</definedName>
    <definedName name="expenditures0" localSheetId="4">[1]Expenditures!$X$69</definedName>
    <definedName name="expenditures0" localSheetId="2">'Reserve Analysis - 2024 Update'!$X$69</definedName>
    <definedName name="expenditures0" localSheetId="1">'Reserve Analysis - 2025 Update'!$X$70</definedName>
    <definedName name="expenditures0" localSheetId="3">'Reserve Study 2023 (4-24)'!$X$69</definedName>
    <definedName name="expenditures0">#REF!</definedName>
    <definedName name="expenditures1" localSheetId="4">[1]Expenditures!$Y$69</definedName>
    <definedName name="expenditures1" localSheetId="2">'Reserve Analysis - 2024 Update'!$Y$69</definedName>
    <definedName name="expenditures1" localSheetId="1">'Reserve Analysis - 2025 Update'!$Y$70</definedName>
    <definedName name="expenditures1" localSheetId="3">'Reserve Study 2023 (4-24)'!$Y$69</definedName>
    <definedName name="expenditures1">#REF!</definedName>
    <definedName name="expenditures10" localSheetId="4">[1]Expenditures!$AH$69</definedName>
    <definedName name="expenditures10" localSheetId="2">'Reserve Analysis - 2024 Update'!$AH$69</definedName>
    <definedName name="expenditures10" localSheetId="1">'Reserve Analysis - 2025 Update'!$AH$70</definedName>
    <definedName name="expenditures10" localSheetId="3">'Reserve Study 2023 (4-24)'!$AH$69</definedName>
    <definedName name="expenditures10">#REF!</definedName>
    <definedName name="expenditures11" localSheetId="4">[1]Expenditures!$AI$69</definedName>
    <definedName name="expenditures11" localSheetId="2">'Reserve Analysis - 2024 Update'!$AI$69</definedName>
    <definedName name="expenditures11" localSheetId="1">'Reserve Analysis - 2025 Update'!$AI$70</definedName>
    <definedName name="expenditures11" localSheetId="3">'Reserve Study 2023 (4-24)'!$AI$69</definedName>
    <definedName name="expenditures11">#REF!</definedName>
    <definedName name="expenditures12" localSheetId="4">[1]Expenditures!$AJ$69</definedName>
    <definedName name="expenditures12" localSheetId="2">'Reserve Analysis - 2024 Update'!$AJ$69</definedName>
    <definedName name="expenditures12" localSheetId="1">'Reserve Analysis - 2025 Update'!$AJ$70</definedName>
    <definedName name="expenditures12" localSheetId="3">'Reserve Study 2023 (4-24)'!$AJ$69</definedName>
    <definedName name="expenditures12">#REF!</definedName>
    <definedName name="expenditures13" localSheetId="4">[1]Expenditures!$AK$69</definedName>
    <definedName name="expenditures13" localSheetId="2">'Reserve Analysis - 2024 Update'!$AK$69</definedName>
    <definedName name="expenditures13" localSheetId="1">'Reserve Analysis - 2025 Update'!$AK$70</definedName>
    <definedName name="expenditures13" localSheetId="3">'Reserve Study 2023 (4-24)'!$AK$69</definedName>
    <definedName name="expenditures13">#REF!</definedName>
    <definedName name="expenditures14" localSheetId="4">[1]Expenditures!$AL$69</definedName>
    <definedName name="expenditures14" localSheetId="2">'Reserve Analysis - 2024 Update'!$AL$69</definedName>
    <definedName name="expenditures14" localSheetId="1">'Reserve Analysis - 2025 Update'!$AL$70</definedName>
    <definedName name="expenditures14" localSheetId="3">'Reserve Study 2023 (4-24)'!$AL$69</definedName>
    <definedName name="expenditures14">#REF!</definedName>
    <definedName name="expenditures15" localSheetId="4">[1]Expenditures!$AM$69</definedName>
    <definedName name="expenditures15" localSheetId="2">'Reserve Analysis - 2024 Update'!$AM$69</definedName>
    <definedName name="expenditures15" localSheetId="1">'Reserve Analysis - 2025 Update'!$AM$70</definedName>
    <definedName name="expenditures15" localSheetId="3">'Reserve Study 2023 (4-24)'!$AM$69</definedName>
    <definedName name="expenditures15">#REF!</definedName>
    <definedName name="expenditures16" localSheetId="4">[1]Expenditures!$AN$69</definedName>
    <definedName name="expenditures16" localSheetId="2">'Reserve Analysis - 2024 Update'!$AN$69</definedName>
    <definedName name="expenditures16" localSheetId="1">'Reserve Analysis - 2025 Update'!$AN$70</definedName>
    <definedName name="expenditures16" localSheetId="3">'Reserve Study 2023 (4-24)'!$AN$69</definedName>
    <definedName name="expenditures16">#REF!</definedName>
    <definedName name="expenditures17" localSheetId="4">[1]Expenditures!$AO$69</definedName>
    <definedName name="expenditures17" localSheetId="2">'Reserve Analysis - 2024 Update'!$AO$69</definedName>
    <definedName name="expenditures17" localSheetId="1">'Reserve Analysis - 2025 Update'!$AO$70</definedName>
    <definedName name="expenditures17" localSheetId="3">'Reserve Study 2023 (4-24)'!$AO$69</definedName>
    <definedName name="expenditures17">#REF!</definedName>
    <definedName name="expenditures18" localSheetId="4">[1]Expenditures!$AP$69</definedName>
    <definedName name="expenditures18" localSheetId="2">'Reserve Analysis - 2024 Update'!$AP$69</definedName>
    <definedName name="expenditures18" localSheetId="1">'Reserve Analysis - 2025 Update'!$AP$70</definedName>
    <definedName name="expenditures18" localSheetId="3">'Reserve Study 2023 (4-24)'!$AP$69</definedName>
    <definedName name="expenditures18">#REF!</definedName>
    <definedName name="expenditures19" localSheetId="4">[1]Expenditures!$AQ$69</definedName>
    <definedName name="expenditures19" localSheetId="2">'Reserve Analysis - 2024 Update'!$AQ$69</definedName>
    <definedName name="expenditures19" localSheetId="1">'Reserve Analysis - 2025 Update'!$AQ$70</definedName>
    <definedName name="expenditures19" localSheetId="3">'Reserve Study 2023 (4-24)'!$AQ$69</definedName>
    <definedName name="expenditures19">#REF!</definedName>
    <definedName name="expenditures2" localSheetId="4">[1]Expenditures!$Z$69</definedName>
    <definedName name="expenditures2" localSheetId="2">'Reserve Analysis - 2024 Update'!$Z$69</definedName>
    <definedName name="expenditures2" localSheetId="1">'Reserve Analysis - 2025 Update'!$Z$70</definedName>
    <definedName name="expenditures2" localSheetId="3">'Reserve Study 2023 (4-24)'!$Z$69</definedName>
    <definedName name="expenditures2">#REF!</definedName>
    <definedName name="expenditures20" localSheetId="4">[1]Expenditures!$AR$69</definedName>
    <definedName name="expenditures20" localSheetId="2">'Reserve Analysis - 2024 Update'!$AR$69</definedName>
    <definedName name="expenditures20" localSheetId="1">'Reserve Analysis - 2025 Update'!$AR$70</definedName>
    <definedName name="expenditures20" localSheetId="3">'Reserve Study 2023 (4-24)'!$AR$69</definedName>
    <definedName name="expenditures20">#REF!</definedName>
    <definedName name="expenditures21" localSheetId="4">[1]Expenditures!$AS$69</definedName>
    <definedName name="expenditures21" localSheetId="2">'Reserve Analysis - 2024 Update'!$AS$69</definedName>
    <definedName name="expenditures21" localSheetId="1">'Reserve Analysis - 2025 Update'!$AS$70</definedName>
    <definedName name="expenditures21" localSheetId="3">'Reserve Study 2023 (4-24)'!$AS$69</definedName>
    <definedName name="expenditures21">#REF!</definedName>
    <definedName name="expenditures22" localSheetId="4">[1]Expenditures!$AT$69</definedName>
    <definedName name="expenditures22" localSheetId="2">'Reserve Analysis - 2024 Update'!$AT$69</definedName>
    <definedName name="expenditures22" localSheetId="1">'Reserve Analysis - 2025 Update'!$AT$70</definedName>
    <definedName name="expenditures22" localSheetId="3">'Reserve Study 2023 (4-24)'!$AT$69</definedName>
    <definedName name="expenditures22">#REF!</definedName>
    <definedName name="expenditures23" localSheetId="4">[1]Expenditures!$AU$69</definedName>
    <definedName name="expenditures23" localSheetId="2">'Reserve Analysis - 2024 Update'!$AU$69</definedName>
    <definedName name="expenditures23" localSheetId="1">'Reserve Analysis - 2025 Update'!$AU$70</definedName>
    <definedName name="expenditures23" localSheetId="3">'Reserve Study 2023 (4-24)'!$AU$69</definedName>
    <definedName name="expenditures23">#REF!</definedName>
    <definedName name="expenditures24" localSheetId="4">[1]Expenditures!$AV$69</definedName>
    <definedName name="expenditures24" localSheetId="2">'Reserve Analysis - 2024 Update'!$AV$69</definedName>
    <definedName name="expenditures24" localSheetId="1">'Reserve Analysis - 2025 Update'!$AV$70</definedName>
    <definedName name="expenditures24" localSheetId="3">'Reserve Study 2023 (4-24)'!$AV$69</definedName>
    <definedName name="expenditures24">#REF!</definedName>
    <definedName name="expenditures25" localSheetId="4">[1]Expenditures!$AW$69</definedName>
    <definedName name="expenditures25" localSheetId="2">'Reserve Analysis - 2024 Update'!$AW$69</definedName>
    <definedName name="expenditures25" localSheetId="1">'Reserve Analysis - 2025 Update'!$AW$70</definedName>
    <definedName name="expenditures25" localSheetId="3">'Reserve Study 2023 (4-24)'!$AW$69</definedName>
    <definedName name="expenditures25">#REF!</definedName>
    <definedName name="expenditures26" localSheetId="4">[1]Expenditures!$AX$69</definedName>
    <definedName name="expenditures26" localSheetId="2">'Reserve Analysis - 2024 Update'!$AX$69</definedName>
    <definedName name="expenditures26" localSheetId="1">'Reserve Analysis - 2025 Update'!$AX$70</definedName>
    <definedName name="expenditures26" localSheetId="3">'Reserve Study 2023 (4-24)'!$AX$69</definedName>
    <definedName name="expenditures26">#REF!</definedName>
    <definedName name="expenditures27" localSheetId="4">[1]Expenditures!$AY$69</definedName>
    <definedName name="expenditures27" localSheetId="2">'Reserve Analysis - 2024 Update'!$AY$69</definedName>
    <definedName name="expenditures27" localSheetId="1">'Reserve Analysis - 2025 Update'!$AY$70</definedName>
    <definedName name="expenditures27" localSheetId="3">'Reserve Study 2023 (4-24)'!$AY$69</definedName>
    <definedName name="expenditures27">#REF!</definedName>
    <definedName name="expenditures28" localSheetId="4">[1]Expenditures!$AZ$69</definedName>
    <definedName name="expenditures28" localSheetId="2">'Reserve Analysis - 2024 Update'!$AZ$69</definedName>
    <definedName name="expenditures28" localSheetId="1">'Reserve Analysis - 2025 Update'!$AZ$70</definedName>
    <definedName name="expenditures28" localSheetId="3">'Reserve Study 2023 (4-24)'!$AZ$69</definedName>
    <definedName name="expenditures28">#REF!</definedName>
    <definedName name="expenditures29" localSheetId="4">[1]Expenditures!$BA$69</definedName>
    <definedName name="expenditures29" localSheetId="2">'Reserve Analysis - 2024 Update'!$BA$69</definedName>
    <definedName name="expenditures29" localSheetId="1">'Reserve Analysis - 2025 Update'!$BA$70</definedName>
    <definedName name="expenditures29" localSheetId="3">'Reserve Study 2023 (4-24)'!$BA$69</definedName>
    <definedName name="expenditures29">#REF!</definedName>
    <definedName name="expenditures3" localSheetId="4">[1]Expenditures!$AA$69</definedName>
    <definedName name="expenditures3" localSheetId="2">'Reserve Analysis - 2024 Update'!$AA$69</definedName>
    <definedName name="expenditures3" localSheetId="1">'Reserve Analysis - 2025 Update'!$AA$70</definedName>
    <definedName name="expenditures3" localSheetId="3">'Reserve Study 2023 (4-24)'!$AA$69</definedName>
    <definedName name="expenditures3">#REF!</definedName>
    <definedName name="expenditures30" localSheetId="4">[1]Expenditures!$BB$69</definedName>
    <definedName name="expenditures30" localSheetId="2">'Reserve Analysis - 2024 Update'!$BB$69</definedName>
    <definedName name="expenditures30" localSheetId="1">'Reserve Analysis - 2025 Update'!$BB$70</definedName>
    <definedName name="expenditures30" localSheetId="3">'Reserve Study 2023 (4-24)'!$BB$69</definedName>
    <definedName name="expenditures30">#REF!</definedName>
    <definedName name="expenditures4" localSheetId="4">[1]Expenditures!$AB$69</definedName>
    <definedName name="expenditures4" localSheetId="2">'Reserve Analysis - 2024 Update'!$AB$69</definedName>
    <definedName name="expenditures4" localSheetId="1">'Reserve Analysis - 2025 Update'!$AB$70</definedName>
    <definedName name="expenditures4" localSheetId="3">'Reserve Study 2023 (4-24)'!$AB$69</definedName>
    <definedName name="expenditures4">#REF!</definedName>
    <definedName name="expenditures5" localSheetId="4">[1]Expenditures!$AC$69</definedName>
    <definedName name="expenditures5" localSheetId="2">'Reserve Analysis - 2024 Update'!$AC$69</definedName>
    <definedName name="expenditures5" localSheetId="1">'Reserve Analysis - 2025 Update'!$AC$70</definedName>
    <definedName name="expenditures5" localSheetId="3">'Reserve Study 2023 (4-24)'!$AC$69</definedName>
    <definedName name="expenditures5">#REF!</definedName>
    <definedName name="expenditures6" localSheetId="4">[1]Expenditures!$AD$69</definedName>
    <definedName name="expenditures6" localSheetId="2">'Reserve Analysis - 2024 Update'!$AD$69</definedName>
    <definedName name="expenditures6" localSheetId="1">'Reserve Analysis - 2025 Update'!$AD$70</definedName>
    <definedName name="expenditures6" localSheetId="3">'Reserve Study 2023 (4-24)'!$AD$69</definedName>
    <definedName name="expenditures6">#REF!</definedName>
    <definedName name="expenditures7" localSheetId="4">[1]Expenditures!$AE$69</definedName>
    <definedName name="expenditures7" localSheetId="2">'Reserve Analysis - 2024 Update'!$AE$69</definedName>
    <definedName name="expenditures7" localSheetId="1">'Reserve Analysis - 2025 Update'!$AE$70</definedName>
    <definedName name="expenditures7" localSheetId="3">'Reserve Study 2023 (4-24)'!$AE$69</definedName>
    <definedName name="expenditures7">#REF!</definedName>
    <definedName name="expenditures8" localSheetId="4">[1]Expenditures!$AF$69</definedName>
    <definedName name="expenditures8" localSheetId="2">'Reserve Analysis - 2024 Update'!$AF$69</definedName>
    <definedName name="expenditures8" localSheetId="1">'Reserve Analysis - 2025 Update'!$AF$70</definedName>
    <definedName name="expenditures8" localSheetId="3">'Reserve Study 2023 (4-24)'!$AF$69</definedName>
    <definedName name="expenditures8">#REF!</definedName>
    <definedName name="expenditures9" localSheetId="4">[1]Expenditures!$AG$69</definedName>
    <definedName name="expenditures9" localSheetId="2">'Reserve Analysis - 2024 Update'!$AG$69</definedName>
    <definedName name="expenditures9" localSheetId="1">'Reserve Analysis - 2025 Update'!$AG$70</definedName>
    <definedName name="expenditures9" localSheetId="3">'Reserve Study 2023 (4-24)'!$AG$69</definedName>
    <definedName name="expenditures9">#REF!</definedName>
    <definedName name="First_Year_of_Recommendation" localSheetId="4">'[1]Property Info'!$B$12</definedName>
    <definedName name="First_Year_of_Recommendation" localSheetId="2">'[2]Property Info'!$B$12</definedName>
    <definedName name="First_Year_of_Recommendation" localSheetId="1">'[2]Property Info'!$B$12</definedName>
    <definedName name="First_Year_of_Recommendation" localSheetId="3">'[2]Property Info'!$B$12</definedName>
    <definedName name="First_Year_of_Recommendation">'[3]Property Info'!$B$12</definedName>
    <definedName name="FL_ALT_TEXT1" localSheetId="4">'Funding Plan 2023 (4-24)'!$C$117</definedName>
    <definedName name="FL_ALT_TEXT2" localSheetId="4">'Funding Plan 2023 (4-24)'!$C$118</definedName>
    <definedName name="Frequency_of_Contributions_Number" localSheetId="4">'[1]Property Info'!$B$21</definedName>
    <definedName name="Frequency_of_Contributions_Number" localSheetId="2">'[2]Property Info'!$B$21</definedName>
    <definedName name="Frequency_of_Contributions_Number" localSheetId="1">'[2]Property Info'!$B$21</definedName>
    <definedName name="Frequency_of_Contributions_Number" localSheetId="3">'[2]Property Info'!$B$21</definedName>
    <definedName name="Frequency_of_Contributions_Number">'[3]Property Info'!$B$21</definedName>
    <definedName name="Fund_Round_Amount" localSheetId="4">'Funding Plan 2023 (4-24)'!$AE$60</definedName>
    <definedName name="Funding_AdditionalAssessAmount" localSheetId="4">'Funding Plan 2023 (4-24)'!$AI$41</definedName>
    <definedName name="Funding_AdditionalAssessBegin" localSheetId="4">'Funding Plan 2023 (4-24)'!$AI$42</definedName>
    <definedName name="Funding_AdditionalAssessEnd" localSheetId="4">'Funding Plan 2023 (4-24)'!$AI$43</definedName>
    <definedName name="Funding_AddRSAmount" localSheetId="4">'Funding Plan 2023 (4-24)'!$AG$41</definedName>
    <definedName name="Funding_AddRSBegin_Year" localSheetId="4">'Funding Plan 2023 (4-24)'!$AG$42</definedName>
    <definedName name="Funding_AddRSEnd_Year" localSheetId="4">'Funding Plan 2023 (4-24)'!$AG$43</definedName>
    <definedName name="Funding_BeginBalance" localSheetId="4">'Funding Plan 2023 (4-24)'!$AE$53</definedName>
    <definedName name="Funding_CurrentContrib" localSheetId="4">'Funding Plan 2023 (4-24)'!$AE$55</definedName>
    <definedName name="Funding_DecreaseAmount" localSheetId="4">'Funding Plan 2023 (4-24)'!$AC$41</definedName>
    <definedName name="Funding_DecreaseAmount2" localSheetId="4">'Funding Plan 2023 (4-24)'!$AE$41</definedName>
    <definedName name="Funding_DecreaseYear" localSheetId="4">'Funding Plan 2023 (4-24)'!$AC$42</definedName>
    <definedName name="Funding_FlatBegin" localSheetId="4">'Funding Plan 2023 (4-24)'!$AA$41</definedName>
    <definedName name="Funding_FlatEnd" localSheetId="4">'Funding Plan 2023 (4-24)'!$AA$42</definedName>
    <definedName name="Funding_InitialFunding" localSheetId="4">'Funding Plan 2023 (4-24)'!$W$41</definedName>
    <definedName name="Funding_NextContrib" localSheetId="4">'Funding Plan 2023 (4-24)'!$AE$56</definedName>
    <definedName name="Funding_PhasedAmount" localSheetId="4">'Funding Plan 2023 (4-24)'!$Y$41</definedName>
    <definedName name="Funding_PhaseNumbers" localSheetId="4">'Funding Plan 2023 (4-24)'!$Y$42</definedName>
    <definedName name="Funding_Plan_Balance" localSheetId="4">'[1]Property Info'!$G$6</definedName>
    <definedName name="Funding_Plan_Balance" localSheetId="2">'[2]Property Info'!$G$6</definedName>
    <definedName name="Funding_Plan_Balance" localSheetId="1">'[2]Property Info'!$G$6</definedName>
    <definedName name="Funding_Plan_Balance" localSheetId="3">'[2]Property Info'!$G$6</definedName>
    <definedName name="Funding_Plan_Balance">'[3]Property Info'!$G$6</definedName>
    <definedName name="Funding_Plan_CurrentContrib" localSheetId="4">'[1]Property Info'!$H$6</definedName>
    <definedName name="Funding_Plan_CurrentContrib" localSheetId="2">'[2]Property Info'!$H$6</definedName>
    <definedName name="Funding_Plan_CurrentContrib" localSheetId="1">'[2]Property Info'!$H$6</definedName>
    <definedName name="Funding_Plan_CurrentContrib" localSheetId="3">'[2]Property Info'!$H$6</definedName>
    <definedName name="Funding_Plan_CurrentContrib">'[3]Property Info'!$H$6</definedName>
    <definedName name="Funding_Plan_NextContrib" localSheetId="4">'[1]Property Info'!$I$6</definedName>
    <definedName name="Funding_Plan_NextContrib" localSheetId="2">'[2]Property Info'!$I$6</definedName>
    <definedName name="Funding_Plan_NextContrib" localSheetId="1">'[2]Property Info'!$I$6</definedName>
    <definedName name="Funding_Plan_NextContrib" localSheetId="3">'[2]Property Info'!$I$6</definedName>
    <definedName name="Funding_Plan_NextContrib">'[3]Property Info'!$I$6</definedName>
    <definedName name="fundingArea" localSheetId="4">'Funding Plan 2023 (4-24)'!$A$1:$T$48</definedName>
    <definedName name="fundingArea" localSheetId="2">#REF!</definedName>
    <definedName name="fundingArea" localSheetId="1">#REF!</definedName>
    <definedName name="fundingArea" localSheetId="3">#REF!</definedName>
    <definedName name="fundingArea">#REF!</definedName>
    <definedName name="FundingDecreaseYear2" localSheetId="4">'Funding Plan 2023 (4-24)'!$AE$42</definedName>
    <definedName name="FY_Res_Bal" localSheetId="4">'Funding Plan 2023 (4-24)'!$E$16</definedName>
    <definedName name="Inflation" localSheetId="4">'[1]Property Info'!$B$19</definedName>
    <definedName name="Inflation" localSheetId="2">'[2]Property Info'!$B$19</definedName>
    <definedName name="Inflation" localSheetId="1">'[2]Property Info'!$B$19</definedName>
    <definedName name="Inflation" localSheetId="3">'[2]Property Info'!$B$19</definedName>
    <definedName name="Inflation">'[3]Property Info'!$B$19</definedName>
    <definedName name="Inflation_Rate" localSheetId="4">'Funding Plan 2023 (4-24)'!$AE$61</definedName>
    <definedName name="Interest" localSheetId="4">'Funding Plan 2023 (4-24)'!$B$46</definedName>
    <definedName name="Interest" localSheetId="2">'[2]Property Info'!$B$20</definedName>
    <definedName name="Interest" localSheetId="1">'[2]Property Info'!$B$20</definedName>
    <definedName name="Interest" localSheetId="3">'[2]Property Info'!$B$20</definedName>
    <definedName name="Interest">'[3]Property Info'!$B$20</definedName>
    <definedName name="List_Elements_to_justify_end_balance" localSheetId="4">'Funding Plan 2023 (4-24)'!$X$58</definedName>
    <definedName name="_xlnm.Print_Area" localSheetId="4">'Funding Plan 2023 (4-24)'!$A$1:$L$16</definedName>
    <definedName name="_xlnm.Print_Area" localSheetId="2">'Reserve Analysis - 2024 Update'!$N$1:$BB$78</definedName>
    <definedName name="_xlnm.Print_Area" localSheetId="1">'Reserve Analysis - 2025 Update'!$N$1:$BB$79</definedName>
    <definedName name="_xlnm.Print_Titles" localSheetId="2">'Reserve Analysis - 2024 Update'!$N:$N,'Reserve Analysis - 2024 Update'!$1:$9</definedName>
    <definedName name="_xlnm.Print_Titles" localSheetId="1">'Reserve Analysis - 2025 Update'!$N:$N,'Reserve Analysis - 2025 Update'!$1:$9</definedName>
    <definedName name="Recently_Budgeted" localSheetId="4">'Funding Plan 2023 (4-24)'!$Y$163</definedName>
    <definedName name="Remaining_Budgeted_Months" localSheetId="4">'[1]Property Info'!$B$13</definedName>
    <definedName name="Remaining_Budgeted_Months" localSheetId="2">'[2]Property Info'!$B$13</definedName>
    <definedName name="Remaining_Budgeted_Months" localSheetId="1">'[2]Property Info'!$B$13</definedName>
    <definedName name="Remaining_Budgeted_Months" localSheetId="3">'[2]Property Info'!$B$13</definedName>
    <definedName name="Remaining_Budgeted_Months">'[3]Property Info'!$B$13</definedName>
    <definedName name="Remaining_Interest_Months" localSheetId="4">'[1]Property Info'!$B$14</definedName>
    <definedName name="Remaining_Interest_Months" localSheetId="2">'[2]Property Info'!$B$14</definedName>
    <definedName name="Remaining_Interest_Months" localSheetId="1">'[2]Property Info'!$B$14</definedName>
    <definedName name="Remaining_Interest_Months" localSheetId="3">'[2]Property Info'!$B$14</definedName>
    <definedName name="Remaining_Interest_Months">'[3]Property Info'!$B$14</definedName>
    <definedName name="Reserve_Balance_Projected?" localSheetId="4">'[1]Property Info'!$B$16</definedName>
    <definedName name="Reserve_Balance_Projected?" localSheetId="2">'[2]Property Info'!$B$16</definedName>
    <definedName name="Reserve_Balance_Projected?" localSheetId="1">'[2]Property Info'!$B$16</definedName>
    <definedName name="Reserve_Balance_Projected?" localSheetId="3">'[2]Property Info'!$B$16</definedName>
    <definedName name="Reserve_Balance_Projected?">'[3]Property Info'!$B$16</definedName>
    <definedName name="secondaryInflation" localSheetId="4">'[1]Property Info'!$B$17</definedName>
    <definedName name="secondaryInflation" localSheetId="2">'[2]Property Info'!$B$17</definedName>
    <definedName name="secondaryInflation" localSheetId="1">'[2]Property Info'!$B$17</definedName>
    <definedName name="secondaryInflation" localSheetId="3">'[2]Property Info'!$B$17</definedName>
    <definedName name="secondaryInflation">'[3]Property Info'!$B$17</definedName>
    <definedName name="secondaryInflationYear" localSheetId="4">'[1]Property Info'!$B$18</definedName>
    <definedName name="secondaryInflationYear" localSheetId="2">'[2]Property Info'!$B$18</definedName>
    <definedName name="secondaryInflationYear" localSheetId="1">'[2]Property Info'!$B$18</definedName>
    <definedName name="secondaryInflationYear" localSheetId="3">'[2]Property Info'!$B$18</definedName>
    <definedName name="secondaryInflationYear">'[3]Property Info'!$B$18</definedName>
    <definedName name="Study_Length" localSheetId="4">'[1]Property Info'!$B$6</definedName>
    <definedName name="Study_Length" localSheetId="2">'[2]Property Info'!$B$6</definedName>
    <definedName name="Study_Length" localSheetId="1">'[2]Property Info'!$B$6</definedName>
    <definedName name="Study_Length" localSheetId="3">'[2]Property Info'!$B$6</definedName>
    <definedName name="Study_Length">'[3]Property Info'!$B$6</definedName>
    <definedName name="Total_Study_Expenditures" localSheetId="4">[1]Expenditures!$V$69</definedName>
    <definedName name="Total_Study_Expenditures" localSheetId="2">'Reserve Analysis - 2024 Update'!$V$69</definedName>
    <definedName name="Total_Study_Expenditures" localSheetId="1">'Reserve Analysis - 2025 Update'!$V$70</definedName>
    <definedName name="Total_Study_Expenditures" localSheetId="3">'Reserve Study 2023 (4-24)'!$V$69</definedName>
    <definedName name="Total_Study_Expenditur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0" i="3" l="1"/>
  <c r="BB20" i="3"/>
  <c r="AB21" i="3"/>
  <c r="Z21" i="3"/>
  <c r="AA21" i="3"/>
  <c r="AG33" i="3"/>
  <c r="AR43" i="3" l="1"/>
  <c r="BB39" i="3"/>
  <c r="V39" i="3" s="1"/>
  <c r="AJ176" i="6"/>
  <c r="AI176" i="6"/>
  <c r="AH176" i="6"/>
  <c r="AG176" i="6"/>
  <c r="AF176" i="6"/>
  <c r="AE176" i="6"/>
  <c r="AD176" i="6"/>
  <c r="AC176" i="6"/>
  <c r="AB176" i="6"/>
  <c r="AA176" i="6"/>
  <c r="Z176" i="6"/>
  <c r="Y176" i="6"/>
  <c r="X176" i="6"/>
  <c r="W176" i="6"/>
  <c r="V176" i="6"/>
  <c r="U176" i="6"/>
  <c r="T176" i="6"/>
  <c r="S176" i="6"/>
  <c r="R176" i="6"/>
  <c r="Q176" i="6"/>
  <c r="P176" i="6"/>
  <c r="O176" i="6"/>
  <c r="N176" i="6"/>
  <c r="M176" i="6"/>
  <c r="L176" i="6"/>
  <c r="K176" i="6"/>
  <c r="J176" i="6"/>
  <c r="I176" i="6"/>
  <c r="H176" i="6"/>
  <c r="G176" i="6"/>
  <c r="F176" i="6"/>
  <c r="AJ175" i="6"/>
  <c r="AI175" i="6"/>
  <c r="AH175" i="6"/>
  <c r="AG175" i="6"/>
  <c r="AF175" i="6"/>
  <c r="AE175" i="6"/>
  <c r="AD175" i="6"/>
  <c r="AC175" i="6"/>
  <c r="AB175" i="6"/>
  <c r="AA175" i="6"/>
  <c r="Z175" i="6"/>
  <c r="Y175" i="6"/>
  <c r="X175" i="6"/>
  <c r="W175" i="6"/>
  <c r="V175" i="6"/>
  <c r="U175" i="6"/>
  <c r="T175" i="6"/>
  <c r="S175" i="6"/>
  <c r="R175" i="6"/>
  <c r="Q175" i="6"/>
  <c r="P175" i="6"/>
  <c r="O175" i="6"/>
  <c r="N175" i="6"/>
  <c r="M175" i="6"/>
  <c r="L175" i="6"/>
  <c r="K175" i="6"/>
  <c r="J175" i="6"/>
  <c r="I175" i="6"/>
  <c r="H175" i="6"/>
  <c r="G175" i="6"/>
  <c r="F175" i="6"/>
  <c r="AJ174" i="6"/>
  <c r="AI174" i="6"/>
  <c r="AH174" i="6"/>
  <c r="AG174" i="6"/>
  <c r="AF174" i="6"/>
  <c r="AE174" i="6"/>
  <c r="AD174" i="6"/>
  <c r="AC174" i="6"/>
  <c r="AB174" i="6"/>
  <c r="AA174" i="6"/>
  <c r="Z174" i="6"/>
  <c r="Y174" i="6"/>
  <c r="X174" i="6"/>
  <c r="W174" i="6"/>
  <c r="V174" i="6"/>
  <c r="U174" i="6"/>
  <c r="T174" i="6"/>
  <c r="S174" i="6"/>
  <c r="R174" i="6"/>
  <c r="Q174" i="6"/>
  <c r="P174" i="6"/>
  <c r="O174" i="6"/>
  <c r="N174" i="6"/>
  <c r="M174" i="6"/>
  <c r="L174" i="6"/>
  <c r="K174" i="6"/>
  <c r="J174" i="6"/>
  <c r="I174" i="6"/>
  <c r="H174" i="6"/>
  <c r="AJ172" i="6"/>
  <c r="AI172" i="6"/>
  <c r="AH172" i="6"/>
  <c r="AG172" i="6"/>
  <c r="AF172" i="6"/>
  <c r="AE172" i="6"/>
  <c r="AD172" i="6"/>
  <c r="AC172" i="6"/>
  <c r="AB172" i="6"/>
  <c r="AA172" i="6"/>
  <c r="Z172" i="6"/>
  <c r="Y172" i="6"/>
  <c r="X172" i="6"/>
  <c r="W172" i="6"/>
  <c r="V172" i="6"/>
  <c r="U172" i="6"/>
  <c r="T172" i="6"/>
  <c r="S172" i="6"/>
  <c r="R172" i="6"/>
  <c r="Q172" i="6"/>
  <c r="P172" i="6"/>
  <c r="O172" i="6"/>
  <c r="N172" i="6"/>
  <c r="M172" i="6"/>
  <c r="L172" i="6"/>
  <c r="K172" i="6"/>
  <c r="J172" i="6"/>
  <c r="I172" i="6"/>
  <c r="H172" i="6"/>
  <c r="G172" i="6"/>
  <c r="F172" i="6"/>
  <c r="F167" i="6"/>
  <c r="G167" i="6" s="1"/>
  <c r="H167" i="6" s="1"/>
  <c r="I167" i="6" s="1"/>
  <c r="J167" i="6" s="1"/>
  <c r="K167" i="6" s="1"/>
  <c r="L167" i="6" s="1"/>
  <c r="M167" i="6" s="1"/>
  <c r="N167" i="6" s="1"/>
  <c r="O167" i="6" s="1"/>
  <c r="P167" i="6" s="1"/>
  <c r="Q167" i="6" s="1"/>
  <c r="R167" i="6" s="1"/>
  <c r="S167" i="6" s="1"/>
  <c r="T167" i="6" s="1"/>
  <c r="U167" i="6" s="1"/>
  <c r="V167" i="6" s="1"/>
  <c r="W167" i="6" s="1"/>
  <c r="X167" i="6" s="1"/>
  <c r="Y167" i="6" s="1"/>
  <c r="Z167" i="6" s="1"/>
  <c r="AA167" i="6" s="1"/>
  <c r="AB167" i="6" s="1"/>
  <c r="AC167" i="6" s="1"/>
  <c r="AD167" i="6" s="1"/>
  <c r="AE167" i="6" s="1"/>
  <c r="AF167" i="6" s="1"/>
  <c r="AG167" i="6" s="1"/>
  <c r="AH167" i="6" s="1"/>
  <c r="AI167" i="6" s="1"/>
  <c r="E160" i="6"/>
  <c r="D160" i="6"/>
  <c r="O67" i="6"/>
  <c r="K57" i="6"/>
  <c r="N57" i="6" s="1"/>
  <c r="Q57" i="6" s="1"/>
  <c r="Q59" i="6" s="1"/>
  <c r="Q61" i="6" s="1"/>
  <c r="Q63" i="6" s="1"/>
  <c r="Q65" i="6" s="1"/>
  <c r="Q67" i="6" s="1"/>
  <c r="Q69" i="6" s="1"/>
  <c r="Q71" i="6" s="1"/>
  <c r="Q73" i="6" s="1"/>
  <c r="Q75" i="6" s="1"/>
  <c r="C46" i="6"/>
  <c r="B46" i="6"/>
  <c r="S33" i="6" s="1"/>
  <c r="B45" i="6"/>
  <c r="T35" i="6"/>
  <c r="AJ173" i="6" s="1"/>
  <c r="S35" i="6"/>
  <c r="AI173" i="6" s="1"/>
  <c r="R35" i="6"/>
  <c r="AH173" i="6" s="1"/>
  <c r="Q35" i="6"/>
  <c r="AG173" i="6" s="1"/>
  <c r="P35" i="6"/>
  <c r="AF173" i="6" s="1"/>
  <c r="O35" i="6"/>
  <c r="AE173" i="6" s="1"/>
  <c r="N35" i="6"/>
  <c r="AD173" i="6" s="1"/>
  <c r="M35" i="6"/>
  <c r="AC173" i="6" s="1"/>
  <c r="L35" i="6"/>
  <c r="AB173" i="6" s="1"/>
  <c r="K35" i="6"/>
  <c r="AA173" i="6" s="1"/>
  <c r="J35" i="6"/>
  <c r="Z173" i="6" s="1"/>
  <c r="I35" i="6"/>
  <c r="Y173" i="6" s="1"/>
  <c r="H35" i="6"/>
  <c r="X173" i="6" s="1"/>
  <c r="G35" i="6"/>
  <c r="W173" i="6" s="1"/>
  <c r="F35" i="6"/>
  <c r="V173" i="6" s="1"/>
  <c r="T33" i="6"/>
  <c r="T32" i="6"/>
  <c r="R75" i="6" s="1"/>
  <c r="S32" i="6"/>
  <c r="R73" i="6" s="1"/>
  <c r="R32" i="6"/>
  <c r="R71" i="6" s="1"/>
  <c r="Q32" i="6"/>
  <c r="R69" i="6" s="1"/>
  <c r="P32" i="6"/>
  <c r="R67" i="6" s="1"/>
  <c r="O32" i="6"/>
  <c r="R65" i="6" s="1"/>
  <c r="N32" i="6"/>
  <c r="R63" i="6" s="1"/>
  <c r="M32" i="6"/>
  <c r="R61" i="6" s="1"/>
  <c r="L32" i="6"/>
  <c r="R59" i="6" s="1"/>
  <c r="K32" i="6"/>
  <c r="R57" i="6" s="1"/>
  <c r="J32" i="6"/>
  <c r="O75" i="6" s="1"/>
  <c r="I32" i="6"/>
  <c r="O73" i="6" s="1"/>
  <c r="H32" i="6"/>
  <c r="O71" i="6" s="1"/>
  <c r="G32" i="6"/>
  <c r="O69" i="6" s="1"/>
  <c r="F32" i="6"/>
  <c r="T14" i="6"/>
  <c r="U173" i="6" s="1"/>
  <c r="S14" i="6"/>
  <c r="T173" i="6" s="1"/>
  <c r="R14" i="6"/>
  <c r="S173" i="6" s="1"/>
  <c r="Q14" i="6"/>
  <c r="R173" i="6" s="1"/>
  <c r="P14" i="6"/>
  <c r="Q173" i="6" s="1"/>
  <c r="O14" i="6"/>
  <c r="P173" i="6" s="1"/>
  <c r="N14" i="6"/>
  <c r="O173" i="6" s="1"/>
  <c r="M14" i="6"/>
  <c r="N173" i="6" s="1"/>
  <c r="L14" i="6"/>
  <c r="M173" i="6" s="1"/>
  <c r="K14" i="6"/>
  <c r="L173" i="6" s="1"/>
  <c r="J14" i="6"/>
  <c r="K173" i="6" s="1"/>
  <c r="I14" i="6"/>
  <c r="J173" i="6" s="1"/>
  <c r="H14" i="6"/>
  <c r="I173" i="6" s="1"/>
  <c r="G14" i="6"/>
  <c r="H173" i="6" s="1"/>
  <c r="F14" i="6"/>
  <c r="G173" i="6" s="1"/>
  <c r="E14" i="6"/>
  <c r="F173" i="6" s="1"/>
  <c r="P12" i="6"/>
  <c r="I12" i="6"/>
  <c r="H12" i="6"/>
  <c r="T11" i="6"/>
  <c r="O65" i="6" s="1"/>
  <c r="S11" i="6"/>
  <c r="O63" i="6" s="1"/>
  <c r="R11" i="6"/>
  <c r="O61" i="6" s="1"/>
  <c r="Q11" i="6"/>
  <c r="O59" i="6" s="1"/>
  <c r="P11" i="6"/>
  <c r="O57" i="6" s="1"/>
  <c r="O11" i="6"/>
  <c r="L75" i="6" s="1"/>
  <c r="N11" i="6"/>
  <c r="L73" i="6" s="1"/>
  <c r="M11" i="6"/>
  <c r="L71" i="6" s="1"/>
  <c r="L11" i="6"/>
  <c r="L69" i="6" s="1"/>
  <c r="K11" i="6"/>
  <c r="L67" i="6" s="1"/>
  <c r="J11" i="6"/>
  <c r="L65" i="6" s="1"/>
  <c r="I11" i="6"/>
  <c r="L63" i="6" s="1"/>
  <c r="H11" i="6"/>
  <c r="L61" i="6" s="1"/>
  <c r="G11" i="6"/>
  <c r="L59" i="6" s="1"/>
  <c r="F8" i="6"/>
  <c r="F11" i="6" s="1"/>
  <c r="L57" i="6" s="1"/>
  <c r="E8" i="6"/>
  <c r="E11" i="6" s="1"/>
  <c r="E7" i="6"/>
  <c r="BB69" i="5"/>
  <c r="BA69" i="5"/>
  <c r="AZ69" i="5"/>
  <c r="AY69" i="5"/>
  <c r="AX69" i="5"/>
  <c r="AW69" i="5"/>
  <c r="AV69" i="5"/>
  <c r="AU69" i="5"/>
  <c r="AT69" i="5"/>
  <c r="AS69" i="5"/>
  <c r="AR69" i="5"/>
  <c r="AQ69" i="5"/>
  <c r="AP69" i="5"/>
  <c r="AO69" i="5"/>
  <c r="AN69" i="5"/>
  <c r="AM69" i="5"/>
  <c r="AL69" i="5"/>
  <c r="AK69" i="5"/>
  <c r="AJ69" i="5"/>
  <c r="AI69" i="5"/>
  <c r="AH69" i="5"/>
  <c r="AG69" i="5"/>
  <c r="AF69" i="5"/>
  <c r="AE69" i="5"/>
  <c r="AD69" i="5"/>
  <c r="AC69" i="5"/>
  <c r="AB69" i="5"/>
  <c r="AA69" i="5"/>
  <c r="Z69" i="5"/>
  <c r="Y69" i="5"/>
  <c r="X69" i="5"/>
  <c r="W69" i="5"/>
  <c r="V69" i="5"/>
  <c r="U69" i="5"/>
  <c r="T69" i="5"/>
  <c r="S69" i="5"/>
  <c r="R69" i="5"/>
  <c r="Z3" i="5"/>
  <c r="Y3" i="5"/>
  <c r="Q12" i="6" l="1"/>
  <c r="T12" i="6"/>
  <c r="G33" i="6"/>
  <c r="H33" i="6"/>
  <c r="K33" i="6"/>
  <c r="BC69" i="5"/>
  <c r="V70" i="5" s="1"/>
  <c r="E12" i="6"/>
  <c r="E13" i="6" s="1"/>
  <c r="E16" i="6" s="1"/>
  <c r="F7" i="6" s="1"/>
  <c r="K59" i="6"/>
  <c r="K61" i="6" s="1"/>
  <c r="K63" i="6" s="1"/>
  <c r="K65" i="6" s="1"/>
  <c r="K67" i="6" s="1"/>
  <c r="K69" i="6" s="1"/>
  <c r="K71" i="6" s="1"/>
  <c r="K73" i="6" s="1"/>
  <c r="K75" i="6" s="1"/>
  <c r="N59" i="6"/>
  <c r="N61" i="6" s="1"/>
  <c r="N63" i="6" s="1"/>
  <c r="N65" i="6" s="1"/>
  <c r="N67" i="6" s="1"/>
  <c r="N69" i="6" s="1"/>
  <c r="N71" i="6" s="1"/>
  <c r="N73" i="6" s="1"/>
  <c r="N75" i="6" s="1"/>
  <c r="R33" i="6"/>
  <c r="F33" i="6"/>
  <c r="O12" i="6"/>
  <c r="Q33" i="6"/>
  <c r="N12" i="6"/>
  <c r="M12" i="6"/>
  <c r="L12" i="6"/>
  <c r="K12" i="6"/>
  <c r="J12" i="6"/>
  <c r="L33" i="6"/>
  <c r="P33" i="6"/>
  <c r="O33" i="6"/>
  <c r="N33" i="6"/>
  <c r="M33" i="6"/>
  <c r="J33" i="6"/>
  <c r="S12" i="6"/>
  <c r="G12" i="6"/>
  <c r="I33" i="6"/>
  <c r="R12" i="6"/>
  <c r="F12" i="6"/>
  <c r="F174" i="6"/>
  <c r="G174" i="6"/>
  <c r="F13" i="6" l="1"/>
  <c r="F177" i="6"/>
  <c r="F16" i="6"/>
  <c r="M57" i="6" l="1"/>
  <c r="G177" i="6"/>
  <c r="G7" i="6"/>
  <c r="G13" i="6" l="1"/>
  <c r="G16" i="6" s="1"/>
  <c r="H7" i="6" l="1"/>
  <c r="H177" i="6"/>
  <c r="M59" i="6"/>
  <c r="H13" i="6" l="1"/>
  <c r="H16" i="6" s="1"/>
  <c r="I7" i="6" l="1"/>
  <c r="I177" i="6"/>
  <c r="M61" i="6"/>
  <c r="I13" i="6" l="1"/>
  <c r="I16" i="6" s="1"/>
  <c r="J177" i="6" l="1"/>
  <c r="M63" i="6"/>
  <c r="J7" i="6"/>
  <c r="J16" i="6" l="1"/>
  <c r="J13" i="6"/>
  <c r="K177" i="6" l="1"/>
  <c r="K7" i="6"/>
  <c r="M65" i="6"/>
  <c r="K13" i="6" l="1"/>
  <c r="K16" i="6" s="1"/>
  <c r="L177" i="6" l="1"/>
  <c r="L7" i="6"/>
  <c r="M67" i="6"/>
  <c r="L13" i="6" l="1"/>
  <c r="L16" i="6" s="1"/>
  <c r="M7" i="6" l="1"/>
  <c r="M177" i="6"/>
  <c r="M69" i="6"/>
  <c r="M13" i="6" l="1"/>
  <c r="M16" i="6" s="1"/>
  <c r="M71" i="6" l="1"/>
  <c r="N177" i="6"/>
  <c r="N7" i="6"/>
  <c r="N13" i="6" l="1"/>
  <c r="N16" i="6" s="1"/>
  <c r="M73" i="6" l="1"/>
  <c r="O177" i="6"/>
  <c r="O7" i="6"/>
  <c r="O13" i="6" l="1"/>
  <c r="O16" i="6" s="1"/>
  <c r="P177" i="6" l="1"/>
  <c r="M75" i="6"/>
  <c r="P7" i="6"/>
  <c r="P13" i="6" l="1"/>
  <c r="P16" i="6" s="1"/>
  <c r="P57" i="6" l="1"/>
  <c r="Q177" i="6"/>
  <c r="Q7" i="6"/>
  <c r="Q13" i="6" l="1"/>
  <c r="Q16" i="6" s="1"/>
  <c r="P59" i="6" l="1"/>
  <c r="R177" i="6"/>
  <c r="R7" i="6"/>
  <c r="R13" i="6" l="1"/>
  <c r="R16" i="6" s="1"/>
  <c r="S177" i="6" l="1"/>
  <c r="P61" i="6"/>
  <c r="S7" i="6"/>
  <c r="S13" i="6" l="1"/>
  <c r="S16" i="6" s="1"/>
  <c r="T7" i="6" l="1"/>
  <c r="T177" i="6"/>
  <c r="P63" i="6"/>
  <c r="T13" i="6" l="1"/>
  <c r="T16" i="6" s="1"/>
  <c r="P65" i="6" l="1"/>
  <c r="U177" i="6"/>
  <c r="F28" i="6"/>
  <c r="F34" i="6" l="1"/>
  <c r="F37" i="6" s="1"/>
  <c r="P67" i="6" l="1"/>
  <c r="V177" i="6"/>
  <c r="G28" i="6"/>
  <c r="G34" i="6" l="1"/>
  <c r="G37" i="6" s="1"/>
  <c r="W177" i="6" l="1"/>
  <c r="H28" i="6"/>
  <c r="P69" i="6"/>
  <c r="H34" i="6" l="1"/>
  <c r="H37" i="6" s="1"/>
  <c r="X177" i="6" l="1"/>
  <c r="I28" i="6"/>
  <c r="P71" i="6"/>
  <c r="I34" i="6" l="1"/>
  <c r="I37" i="6" s="1"/>
  <c r="P73" i="6" l="1"/>
  <c r="J28" i="6"/>
  <c r="Y177" i="6"/>
  <c r="J34" i="6" l="1"/>
  <c r="J37" i="6" s="1"/>
  <c r="K28" i="6" l="1"/>
  <c r="P75" i="6"/>
  <c r="Z177" i="6"/>
  <c r="K34" i="6" l="1"/>
  <c r="K37" i="6" s="1"/>
  <c r="L28" i="6" l="1"/>
  <c r="AA177" i="6"/>
  <c r="S57" i="6"/>
  <c r="L34" i="6" l="1"/>
  <c r="L37" i="6" s="1"/>
  <c r="S59" i="6" l="1"/>
  <c r="AB177" i="6"/>
  <c r="M28" i="6"/>
  <c r="M34" i="6" l="1"/>
  <c r="M37" i="6" s="1"/>
  <c r="S61" i="6" l="1"/>
  <c r="AC177" i="6"/>
  <c r="N28" i="6"/>
  <c r="N34" i="6" l="1"/>
  <c r="N37" i="6" s="1"/>
  <c r="AD177" i="6" l="1"/>
  <c r="S63" i="6"/>
  <c r="O28" i="6"/>
  <c r="O34" i="6" l="1"/>
  <c r="O37" i="6" s="1"/>
  <c r="AE177" i="6" l="1"/>
  <c r="P28" i="6"/>
  <c r="S65" i="6"/>
  <c r="P34" i="6" l="1"/>
  <c r="P37" i="6" s="1"/>
  <c r="S67" i="6" l="1"/>
  <c r="AF177" i="6"/>
  <c r="Q28" i="6"/>
  <c r="Q34" i="6" l="1"/>
  <c r="Q37" i="6" s="1"/>
  <c r="R28" i="6" l="1"/>
  <c r="S69" i="6"/>
  <c r="AG177" i="6"/>
  <c r="R34" i="6" l="1"/>
  <c r="R37" i="6" s="1"/>
  <c r="AH177" i="6" l="1"/>
  <c r="S28" i="6"/>
  <c r="S71" i="6"/>
  <c r="S34" i="6" l="1"/>
  <c r="S37" i="6" s="1"/>
  <c r="AI177" i="6" l="1"/>
  <c r="T28" i="6"/>
  <c r="S73" i="6"/>
  <c r="T34" i="6" l="1"/>
  <c r="T37" i="6" s="1"/>
  <c r="AJ177" i="6" l="1"/>
  <c r="S75" i="6"/>
  <c r="B48" i="6"/>
  <c r="A48" i="6"/>
  <c r="C27" i="4" l="1"/>
  <c r="C30" i="4" s="1"/>
  <c r="C13" i="4"/>
  <c r="D13" i="4"/>
  <c r="E29" i="4" s="1"/>
  <c r="F29" i="4" s="1"/>
  <c r="G29" i="4" s="1"/>
  <c r="H29" i="4" s="1"/>
  <c r="A16" i="4"/>
  <c r="A32" i="4" s="1"/>
  <c r="A15" i="4"/>
  <c r="A31" i="4" s="1"/>
  <c r="A11" i="4"/>
  <c r="A27" i="4" s="1"/>
  <c r="A13" i="4"/>
  <c r="A29" i="4" s="1"/>
  <c r="A14" i="4"/>
  <c r="A30" i="4" s="1"/>
  <c r="A10" i="4"/>
  <c r="A26" i="4" s="1"/>
  <c r="D4" i="4"/>
  <c r="E4" i="4"/>
  <c r="C4" i="4"/>
  <c r="C5" i="4"/>
  <c r="C20" i="4" s="1"/>
  <c r="A1" i="4"/>
  <c r="AB76" i="3"/>
  <c r="E13" i="4" s="1"/>
  <c r="I29" i="4" s="1"/>
  <c r="J29" i="4" s="1"/>
  <c r="K29" i="4" s="1"/>
  <c r="L29" i="4" s="1"/>
  <c r="AB75" i="3"/>
  <c r="E12" i="4" s="1"/>
  <c r="E5" i="4"/>
  <c r="D5" i="4"/>
  <c r="AA75" i="3"/>
  <c r="AA77" i="3" s="1"/>
  <c r="Z75" i="3"/>
  <c r="C11" i="4" s="1"/>
  <c r="D27" i="4" s="1"/>
  <c r="E27" i="4" s="1"/>
  <c r="AU21" i="3"/>
  <c r="AU70" i="3" s="1"/>
  <c r="AU78" i="3" s="1"/>
  <c r="AU83" i="3" s="1"/>
  <c r="AT21" i="3"/>
  <c r="AT70" i="3" s="1"/>
  <c r="AT78" i="3" s="1"/>
  <c r="AT83" i="3" s="1"/>
  <c r="AP21" i="3"/>
  <c r="AP70" i="3" s="1"/>
  <c r="AP78" i="3" s="1"/>
  <c r="AP83" i="3" s="1"/>
  <c r="AO21" i="3"/>
  <c r="AS32" i="3"/>
  <c r="AX32" i="3" s="1"/>
  <c r="AY33" i="3"/>
  <c r="AY70" i="3" s="1"/>
  <c r="AY78" i="3" s="1"/>
  <c r="AY83" i="3" s="1"/>
  <c r="BA114" i="3"/>
  <c r="AZ114" i="3"/>
  <c r="AY114" i="3"/>
  <c r="AX114" i="3"/>
  <c r="AW114" i="3"/>
  <c r="AV114" i="3"/>
  <c r="AT114" i="3"/>
  <c r="AO114" i="3"/>
  <c r="AJ114" i="3"/>
  <c r="Z110" i="3"/>
  <c r="Y110" i="3" s="1"/>
  <c r="BB109" i="3"/>
  <c r="BB114" i="3" s="1"/>
  <c r="AS109" i="3"/>
  <c r="AS114" i="3" s="1"/>
  <c r="AR109" i="3"/>
  <c r="AH109" i="3"/>
  <c r="AH114" i="3" s="1"/>
  <c r="AG109" i="3"/>
  <c r="AF109" i="3"/>
  <c r="AE109" i="3"/>
  <c r="AD109" i="3"/>
  <c r="AC109" i="3"/>
  <c r="AB109" i="3"/>
  <c r="AA109" i="3"/>
  <c r="Z109" i="3"/>
  <c r="AQ108" i="3"/>
  <c r="AQ114" i="3" s="1"/>
  <c r="AN108" i="3"/>
  <c r="AN114" i="3" s="1"/>
  <c r="AG108" i="3"/>
  <c r="AF108" i="3"/>
  <c r="AE108" i="3"/>
  <c r="AD108" i="3"/>
  <c r="AC108" i="3"/>
  <c r="AB108" i="3"/>
  <c r="AA108" i="3"/>
  <c r="Z108" i="3"/>
  <c r="AU107" i="3"/>
  <c r="AU114" i="3" s="1"/>
  <c r="AR107" i="3"/>
  <c r="AP107" i="3"/>
  <c r="AP114" i="3" s="1"/>
  <c r="AM107" i="3"/>
  <c r="AM114" i="3" s="1"/>
  <c r="AL107" i="3"/>
  <c r="AL114" i="3" s="1"/>
  <c r="AI107" i="3"/>
  <c r="AI114" i="3" s="1"/>
  <c r="AE107" i="3"/>
  <c r="AD107" i="3"/>
  <c r="AC107" i="3"/>
  <c r="AB107" i="3"/>
  <c r="AA107" i="3"/>
  <c r="Z107" i="3"/>
  <c r="AE106" i="3"/>
  <c r="AD106" i="3"/>
  <c r="AT101" i="3"/>
  <c r="BC81" i="3"/>
  <c r="Z74" i="3"/>
  <c r="C10" i="4" s="1"/>
  <c r="BB70" i="3"/>
  <c r="BB78" i="3" s="1"/>
  <c r="BB83" i="3" s="1"/>
  <c r="BA70" i="3"/>
  <c r="BA78" i="3" s="1"/>
  <c r="BA83" i="3" s="1"/>
  <c r="AW70" i="3"/>
  <c r="AW78" i="3" s="1"/>
  <c r="AW83" i="3" s="1"/>
  <c r="AV70" i="3"/>
  <c r="AV78" i="3" s="1"/>
  <c r="AV83" i="3" s="1"/>
  <c r="AR70" i="3"/>
  <c r="AR78" i="3" s="1"/>
  <c r="AR83" i="3" s="1"/>
  <c r="AN70" i="3"/>
  <c r="AN78" i="3" s="1"/>
  <c r="AN83" i="3" s="1"/>
  <c r="AM70" i="3"/>
  <c r="AM78" i="3" s="1"/>
  <c r="AM83" i="3" s="1"/>
  <c r="AL70" i="3"/>
  <c r="AL78" i="3" s="1"/>
  <c r="AL83" i="3" s="1"/>
  <c r="AJ70" i="3"/>
  <c r="AJ78" i="3" s="1"/>
  <c r="AJ83" i="3" s="1"/>
  <c r="AI70" i="3"/>
  <c r="AI78" i="3" s="1"/>
  <c r="AI83" i="3" s="1"/>
  <c r="AH70" i="3"/>
  <c r="AH78" i="3" s="1"/>
  <c r="AH83" i="3" s="1"/>
  <c r="AG70" i="3"/>
  <c r="AG78" i="3" s="1"/>
  <c r="AG83" i="3" s="1"/>
  <c r="AF70" i="3"/>
  <c r="AF78" i="3" s="1"/>
  <c r="AF83" i="3" s="1"/>
  <c r="AE70" i="3"/>
  <c r="AE78" i="3" s="1"/>
  <c r="AE83" i="3" s="1"/>
  <c r="AD70" i="3"/>
  <c r="AD78" i="3" s="1"/>
  <c r="AD83" i="3" s="1"/>
  <c r="X70" i="3"/>
  <c r="W70" i="3"/>
  <c r="U70" i="3"/>
  <c r="T70" i="3"/>
  <c r="S70" i="3"/>
  <c r="R70" i="3"/>
  <c r="V68" i="3"/>
  <c r="V67" i="3"/>
  <c r="V66" i="3"/>
  <c r="V65" i="3"/>
  <c r="V64" i="3"/>
  <c r="V63" i="3"/>
  <c r="V62" i="3"/>
  <c r="V61" i="3"/>
  <c r="V60" i="3"/>
  <c r="V58" i="3"/>
  <c r="V57" i="3"/>
  <c r="V56" i="3"/>
  <c r="V55" i="3"/>
  <c r="V54" i="3"/>
  <c r="V53" i="3"/>
  <c r="V52" i="3"/>
  <c r="V51" i="3"/>
  <c r="V50" i="3"/>
  <c r="V49" i="3"/>
  <c r="V48" i="3"/>
  <c r="V47" i="3"/>
  <c r="V46" i="3"/>
  <c r="V45" i="3"/>
  <c r="V44" i="3"/>
  <c r="V42" i="3"/>
  <c r="V41" i="3"/>
  <c r="V40" i="3"/>
  <c r="V38" i="3"/>
  <c r="V37" i="3"/>
  <c r="V36" i="3"/>
  <c r="V35" i="3"/>
  <c r="V34" i="3"/>
  <c r="V31" i="3"/>
  <c r="V30" i="3"/>
  <c r="Y29" i="3"/>
  <c r="V29" i="3" s="1"/>
  <c r="AC28" i="3"/>
  <c r="AB28" i="3"/>
  <c r="AA28" i="3"/>
  <c r="Z106" i="3" s="1"/>
  <c r="Y28" i="3"/>
  <c r="V28" i="3" s="1"/>
  <c r="V27" i="3"/>
  <c r="V26" i="3"/>
  <c r="V25" i="3"/>
  <c r="V24" i="3"/>
  <c r="AA23" i="3"/>
  <c r="V23" i="3" s="1"/>
  <c r="Y22" i="3"/>
  <c r="V22" i="3" s="1"/>
  <c r="AK21" i="3"/>
  <c r="AZ21" i="3" s="1"/>
  <c r="AZ70" i="3" s="1"/>
  <c r="AZ78" i="3" s="1"/>
  <c r="AZ83" i="3" s="1"/>
  <c r="V20" i="3"/>
  <c r="V19" i="3"/>
  <c r="Y18" i="3"/>
  <c r="AX18" i="3" s="1"/>
  <c r="V17" i="3"/>
  <c r="V16" i="3"/>
  <c r="V15" i="3"/>
  <c r="V14" i="3"/>
  <c r="V13" i="3"/>
  <c r="V12" i="3"/>
  <c r="Z3" i="3"/>
  <c r="Y3" i="3"/>
  <c r="AE75" i="2"/>
  <c r="AE76" i="2" s="1"/>
  <c r="AE88" i="2" s="1"/>
  <c r="AF75" i="2"/>
  <c r="AF76" i="2" s="1"/>
  <c r="AF88" i="2" s="1"/>
  <c r="AI75" i="2"/>
  <c r="AM75" i="2"/>
  <c r="AM76" i="2" s="1"/>
  <c r="AM92" i="2" s="1"/>
  <c r="AN75" i="2"/>
  <c r="AN76" i="2" s="1"/>
  <c r="AN92" i="2" s="1"/>
  <c r="AQ75" i="2"/>
  <c r="AU75" i="2"/>
  <c r="AV75" i="2"/>
  <c r="AY75" i="2"/>
  <c r="AB75" i="2"/>
  <c r="AB76" i="2" s="1"/>
  <c r="AC97" i="2"/>
  <c r="AC75" i="2" s="1"/>
  <c r="AC76" i="2" s="1"/>
  <c r="AC92" i="2" s="1"/>
  <c r="AD97" i="2"/>
  <c r="AD75" i="2" s="1"/>
  <c r="AD76" i="2" s="1"/>
  <c r="AD92" i="2" s="1"/>
  <c r="AE97" i="2"/>
  <c r="AF97" i="2"/>
  <c r="AG97" i="2"/>
  <c r="AG75" i="2" s="1"/>
  <c r="AG76" i="2" s="1"/>
  <c r="AG88" i="2" s="1"/>
  <c r="AH97" i="2"/>
  <c r="AH75" i="2" s="1"/>
  <c r="AH76" i="2" s="1"/>
  <c r="AH88" i="2" s="1"/>
  <c r="AI97" i="2"/>
  <c r="AJ97" i="2"/>
  <c r="AJ75" i="2" s="1"/>
  <c r="AJ76" i="2" s="1"/>
  <c r="AJ88" i="2" s="1"/>
  <c r="AK97" i="2"/>
  <c r="AK75" i="2" s="1"/>
  <c r="AK76" i="2" s="1"/>
  <c r="AK92" i="2" s="1"/>
  <c r="AL97" i="2"/>
  <c r="AL75" i="2" s="1"/>
  <c r="AL76" i="2" s="1"/>
  <c r="AL92" i="2" s="1"/>
  <c r="AM97" i="2"/>
  <c r="AN97" i="2"/>
  <c r="AO97" i="2"/>
  <c r="AO75" i="2" s="1"/>
  <c r="AO76" i="2" s="1"/>
  <c r="AO92" i="2" s="1"/>
  <c r="AP97" i="2"/>
  <c r="AP75" i="2" s="1"/>
  <c r="AP76" i="2" s="1"/>
  <c r="AP92" i="2" s="1"/>
  <c r="AQ97" i="2"/>
  <c r="AR97" i="2"/>
  <c r="AR75" i="2" s="1"/>
  <c r="AS97" i="2"/>
  <c r="AS75" i="2" s="1"/>
  <c r="AT97" i="2"/>
  <c r="AT75" i="2" s="1"/>
  <c r="AU97" i="2"/>
  <c r="AV97" i="2"/>
  <c r="AW97" i="2"/>
  <c r="AW75" i="2" s="1"/>
  <c r="AX97" i="2"/>
  <c r="AX75" i="2" s="1"/>
  <c r="AY97" i="2"/>
  <c r="AZ97" i="2"/>
  <c r="AZ75" i="2" s="1"/>
  <c r="BA97" i="2"/>
  <c r="BA75" i="2" s="1"/>
  <c r="BB97" i="2"/>
  <c r="BB75" i="2" s="1"/>
  <c r="AB97" i="2"/>
  <c r="AI76" i="2"/>
  <c r="AI88" i="2" s="1"/>
  <c r="AJ113" i="2"/>
  <c r="AM113" i="2"/>
  <c r="AO113" i="2"/>
  <c r="AT113" i="2"/>
  <c r="AV113" i="2"/>
  <c r="AW113" i="2"/>
  <c r="AX113" i="2"/>
  <c r="AY113" i="2"/>
  <c r="AZ113" i="2"/>
  <c r="BA113" i="2"/>
  <c r="Z109" i="2"/>
  <c r="Y109" i="2" s="1"/>
  <c r="BB108" i="2"/>
  <c r="BB113" i="2" s="1"/>
  <c r="AS108" i="2"/>
  <c r="AS113" i="2" s="1"/>
  <c r="AR108" i="2"/>
  <c r="AA108" i="2"/>
  <c r="AB108" i="2"/>
  <c r="AC108" i="2"/>
  <c r="AD108" i="2"/>
  <c r="AE108" i="2"/>
  <c r="AF108" i="2"/>
  <c r="AG108" i="2"/>
  <c r="AH108" i="2"/>
  <c r="AH113" i="2" s="1"/>
  <c r="Z108" i="2"/>
  <c r="AQ107" i="2"/>
  <c r="AQ113" i="2" s="1"/>
  <c r="AN107" i="2"/>
  <c r="AN113" i="2" s="1"/>
  <c r="AG107" i="2"/>
  <c r="AG113" i="2" s="1"/>
  <c r="AF107" i="2"/>
  <c r="AF113" i="2" s="1"/>
  <c r="AA107" i="2"/>
  <c r="AB107" i="2"/>
  <c r="AC107" i="2"/>
  <c r="AD107" i="2"/>
  <c r="AE107" i="2"/>
  <c r="Z107" i="2"/>
  <c r="AU106" i="2"/>
  <c r="AU113" i="2" s="1"/>
  <c r="AP106" i="2"/>
  <c r="AP113" i="2" s="1"/>
  <c r="AM106" i="2"/>
  <c r="AL106" i="2"/>
  <c r="AL113" i="2" s="1"/>
  <c r="AI106" i="2"/>
  <c r="AI113" i="2" s="1"/>
  <c r="AR106" i="2"/>
  <c r="AR113" i="2" s="1"/>
  <c r="AA106" i="2"/>
  <c r="AB106" i="2"/>
  <c r="AC106" i="2"/>
  <c r="AD106" i="2"/>
  <c r="AE106" i="2"/>
  <c r="Z106" i="2"/>
  <c r="AC105" i="2"/>
  <c r="AD105" i="2"/>
  <c r="AE105" i="2"/>
  <c r="BC80" i="2"/>
  <c r="Z76" i="2"/>
  <c r="Z92" i="2" s="1"/>
  <c r="AA75" i="2"/>
  <c r="AA74" i="2"/>
  <c r="Z73" i="2"/>
  <c r="BB69" i="2"/>
  <c r="BB77" i="2" s="1"/>
  <c r="BB82" i="2" s="1"/>
  <c r="BA69" i="2"/>
  <c r="BA77" i="2" s="1"/>
  <c r="BA82" i="2" s="1"/>
  <c r="AZ69" i="2"/>
  <c r="AZ77" i="2" s="1"/>
  <c r="AZ82" i="2" s="1"/>
  <c r="AY69" i="2"/>
  <c r="AY77" i="2" s="1"/>
  <c r="AY82" i="2" s="1"/>
  <c r="AX69" i="2"/>
  <c r="AX77" i="2" s="1"/>
  <c r="AX82" i="2" s="1"/>
  <c r="AW69" i="2"/>
  <c r="AW77" i="2" s="1"/>
  <c r="AW82" i="2" s="1"/>
  <c r="AV69" i="2"/>
  <c r="AV77" i="2" s="1"/>
  <c r="AV82" i="2" s="1"/>
  <c r="AU69" i="2"/>
  <c r="AU77" i="2" s="1"/>
  <c r="AU82" i="2" s="1"/>
  <c r="AT69" i="2"/>
  <c r="AT77" i="2" s="1"/>
  <c r="AT82" i="2" s="1"/>
  <c r="AS69" i="2"/>
  <c r="AS77" i="2" s="1"/>
  <c r="AS82" i="2" s="1"/>
  <c r="AR69" i="2"/>
  <c r="AR77" i="2" s="1"/>
  <c r="AR82" i="2" s="1"/>
  <c r="AN69" i="2"/>
  <c r="AN77" i="2" s="1"/>
  <c r="AN82" i="2" s="1"/>
  <c r="AM69" i="2"/>
  <c r="AM77" i="2" s="1"/>
  <c r="AM82" i="2" s="1"/>
  <c r="AL69" i="2"/>
  <c r="AL77" i="2" s="1"/>
  <c r="AL82" i="2" s="1"/>
  <c r="AJ69" i="2"/>
  <c r="AJ77" i="2" s="1"/>
  <c r="AJ82" i="2" s="1"/>
  <c r="AI69" i="2"/>
  <c r="AI77" i="2" s="1"/>
  <c r="AI82" i="2" s="1"/>
  <c r="AH69" i="2"/>
  <c r="AH77" i="2" s="1"/>
  <c r="AH82" i="2" s="1"/>
  <c r="AG69" i="2"/>
  <c r="AG77" i="2" s="1"/>
  <c r="AG82" i="2" s="1"/>
  <c r="AF69" i="2"/>
  <c r="AF77" i="2" s="1"/>
  <c r="AF82" i="2" s="1"/>
  <c r="AE69" i="2"/>
  <c r="AE77" i="2" s="1"/>
  <c r="AE82" i="2" s="1"/>
  <c r="AD69" i="2"/>
  <c r="AD77" i="2" s="1"/>
  <c r="AD82" i="2" s="1"/>
  <c r="AC69" i="2"/>
  <c r="AC77" i="2" s="1"/>
  <c r="AC82" i="2" s="1"/>
  <c r="X69" i="2"/>
  <c r="W69" i="2"/>
  <c r="U69" i="2"/>
  <c r="T69" i="2"/>
  <c r="S69" i="2"/>
  <c r="R69" i="2"/>
  <c r="V67" i="2"/>
  <c r="V66" i="2"/>
  <c r="V65" i="2"/>
  <c r="V64" i="2"/>
  <c r="V63" i="2"/>
  <c r="V62" i="2"/>
  <c r="V61" i="2"/>
  <c r="V60" i="2"/>
  <c r="V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Y30" i="2"/>
  <c r="V30" i="2" s="1"/>
  <c r="AB29" i="2"/>
  <c r="AB69" i="2" s="1"/>
  <c r="AB77" i="2" s="1"/>
  <c r="AB82" i="2" s="1"/>
  <c r="AA29" i="2"/>
  <c r="Z29" i="2"/>
  <c r="Z69" i="2" s="1"/>
  <c r="Z77" i="2" s="1"/>
  <c r="Y29" i="2"/>
  <c r="V29" i="2" s="1"/>
  <c r="V28" i="2"/>
  <c r="V27" i="2"/>
  <c r="V26" i="2"/>
  <c r="V25" i="2"/>
  <c r="V24" i="2"/>
  <c r="AA23" i="2"/>
  <c r="V23" i="2"/>
  <c r="Y22" i="2"/>
  <c r="V22" i="2" s="1"/>
  <c r="AQ21" i="2"/>
  <c r="AQ69" i="2" s="1"/>
  <c r="AQ77" i="2" s="1"/>
  <c r="AQ82" i="2" s="1"/>
  <c r="AP21" i="2"/>
  <c r="AP69" i="2" s="1"/>
  <c r="AP77" i="2" s="1"/>
  <c r="AP82" i="2" s="1"/>
  <c r="AO21" i="2"/>
  <c r="AO69" i="2" s="1"/>
  <c r="AO77" i="2" s="1"/>
  <c r="AO82" i="2" s="1"/>
  <c r="AK21" i="2"/>
  <c r="AK69" i="2" s="1"/>
  <c r="AK77" i="2" s="1"/>
  <c r="AK82" i="2" s="1"/>
  <c r="AA21" i="2"/>
  <c r="AA105" i="2" s="1"/>
  <c r="AA113" i="2" s="1"/>
  <c r="V20" i="2"/>
  <c r="V19" i="2"/>
  <c r="Y18" i="2"/>
  <c r="V17" i="2"/>
  <c r="V16" i="2"/>
  <c r="V15" i="2"/>
  <c r="V14" i="2"/>
  <c r="V13" i="2"/>
  <c r="V12" i="2"/>
  <c r="Z3" i="2"/>
  <c r="Y3" i="2"/>
  <c r="AB106" i="3" l="1"/>
  <c r="AE113" i="2"/>
  <c r="AC113" i="2"/>
  <c r="AB105" i="2"/>
  <c r="AB113" i="2" s="1"/>
  <c r="AC70" i="3"/>
  <c r="AC78" i="3" s="1"/>
  <c r="AC83" i="3" s="1"/>
  <c r="AD113" i="2"/>
  <c r="AC106" i="3"/>
  <c r="AC114" i="3" s="1"/>
  <c r="AX70" i="3"/>
  <c r="AX78" i="3" s="1"/>
  <c r="AX83" i="3" s="1"/>
  <c r="Z77" i="3"/>
  <c r="Z93" i="3" s="1"/>
  <c r="AQ21" i="3"/>
  <c r="AQ70" i="3" s="1"/>
  <c r="AQ78" i="3" s="1"/>
  <c r="AQ83" i="3" s="1"/>
  <c r="Y70" i="3"/>
  <c r="AA106" i="3"/>
  <c r="AA114" i="3" s="1"/>
  <c r="BD21" i="3"/>
  <c r="AB114" i="3"/>
  <c r="BE21" i="3"/>
  <c r="D11" i="4"/>
  <c r="AE114" i="3"/>
  <c r="C14" i="4"/>
  <c r="A12" i="4"/>
  <c r="A28" i="4" s="1"/>
  <c r="AK70" i="3"/>
  <c r="AK78" i="3" s="1"/>
  <c r="AK83" i="3" s="1"/>
  <c r="AR114" i="3"/>
  <c r="Y109" i="3"/>
  <c r="AK106" i="3"/>
  <c r="AK114" i="3" s="1"/>
  <c r="AF114" i="3"/>
  <c r="Y108" i="3"/>
  <c r="Z70" i="3"/>
  <c r="Z78" i="3" s="1"/>
  <c r="Y107" i="3"/>
  <c r="V21" i="3"/>
  <c r="AO70" i="3"/>
  <c r="AO78" i="3" s="1"/>
  <c r="AO83" i="3" s="1"/>
  <c r="V32" i="3"/>
  <c r="AS70" i="3"/>
  <c r="AS78" i="3" s="1"/>
  <c r="AS83" i="3" s="1"/>
  <c r="V33" i="3"/>
  <c r="AD114" i="3"/>
  <c r="AA93" i="3"/>
  <c r="AA89" i="3"/>
  <c r="Z114" i="3"/>
  <c r="V18" i="3"/>
  <c r="AA70" i="3"/>
  <c r="AA78" i="3" s="1"/>
  <c r="AB70" i="3"/>
  <c r="E6" i="4" s="1"/>
  <c r="AG114" i="3"/>
  <c r="Z89" i="3"/>
  <c r="AR76" i="2"/>
  <c r="AR88" i="2" s="1"/>
  <c r="AT100" i="2"/>
  <c r="BB76" i="2"/>
  <c r="BB92" i="2" s="1"/>
  <c r="Y108" i="2"/>
  <c r="AK105" i="2"/>
  <c r="AK113" i="2" s="1"/>
  <c r="BA76" i="2"/>
  <c r="BA92" i="2" s="1"/>
  <c r="AZ76" i="2"/>
  <c r="AZ92" i="2" s="1"/>
  <c r="AY76" i="2"/>
  <c r="AY92" i="2" s="1"/>
  <c r="AX76" i="2"/>
  <c r="AX92" i="2" s="1"/>
  <c r="AW76" i="2"/>
  <c r="AW92" i="2" s="1"/>
  <c r="AV76" i="2"/>
  <c r="AV88" i="2" s="1"/>
  <c r="Y69" i="2"/>
  <c r="BC69" i="2" s="1"/>
  <c r="Z105" i="2"/>
  <c r="Z113" i="2" s="1"/>
  <c r="AU76" i="2"/>
  <c r="AU88" i="2" s="1"/>
  <c r="AT76" i="2"/>
  <c r="AT88" i="2" s="1"/>
  <c r="AS76" i="2"/>
  <c r="AS88" i="2" s="1"/>
  <c r="AA69" i="2"/>
  <c r="AA77" i="2" s="1"/>
  <c r="AA82" i="2" s="1"/>
  <c r="AQ76" i="2"/>
  <c r="AQ88" i="2" s="1"/>
  <c r="Y107" i="2"/>
  <c r="Y106" i="2"/>
  <c r="Y105" i="2"/>
  <c r="Y113" i="2" s="1"/>
  <c r="AA76" i="2"/>
  <c r="V21" i="2"/>
  <c r="AE92" i="2"/>
  <c r="AF92" i="2"/>
  <c r="AG92" i="2"/>
  <c r="AH92" i="2"/>
  <c r="AI92" i="2"/>
  <c r="V18" i="2"/>
  <c r="AT92" i="2"/>
  <c r="Z78" i="2"/>
  <c r="AA73" i="2" s="1"/>
  <c r="AB92" i="2"/>
  <c r="AB88" i="2"/>
  <c r="Z82" i="2"/>
  <c r="AK88" i="2"/>
  <c r="Z88" i="2"/>
  <c r="AL88" i="2"/>
  <c r="AM88" i="2"/>
  <c r="AN88" i="2"/>
  <c r="AC88" i="2"/>
  <c r="AO88" i="2"/>
  <c r="AJ92" i="2"/>
  <c r="AD88" i="2"/>
  <c r="AP88" i="2"/>
  <c r="AU92" i="2" l="1"/>
  <c r="BB88" i="2"/>
  <c r="AS92" i="2"/>
  <c r="BF21" i="3"/>
  <c r="AP96" i="3" s="1"/>
  <c r="AP98" i="3" s="1"/>
  <c r="AP76" i="3" s="1"/>
  <c r="AP77" i="3" s="1"/>
  <c r="C6" i="4"/>
  <c r="D21" i="4" s="1"/>
  <c r="AC96" i="3"/>
  <c r="D6" i="4"/>
  <c r="Z83" i="3"/>
  <c r="C15" i="4"/>
  <c r="C16" i="4" s="1"/>
  <c r="AA83" i="3"/>
  <c r="D15" i="4"/>
  <c r="AA78" i="2"/>
  <c r="AB73" i="2" s="1"/>
  <c r="AB78" i="2" s="1"/>
  <c r="AC73" i="2" s="1"/>
  <c r="AC78" i="2" s="1"/>
  <c r="AD73" i="2" s="1"/>
  <c r="AD78" i="2" s="1"/>
  <c r="AE73" i="2" s="1"/>
  <c r="AE78" i="2" s="1"/>
  <c r="AF73" i="2" s="1"/>
  <c r="AF78" i="2" s="1"/>
  <c r="AG73" i="2" s="1"/>
  <c r="AG78" i="2" s="1"/>
  <c r="AH73" i="2" s="1"/>
  <c r="AH78" i="2" s="1"/>
  <c r="AI73" i="2" s="1"/>
  <c r="AI78" i="2" s="1"/>
  <c r="AJ73" i="2" s="1"/>
  <c r="AJ78" i="2" s="1"/>
  <c r="AK73" i="2" s="1"/>
  <c r="AK78" i="2" s="1"/>
  <c r="AL73" i="2" s="1"/>
  <c r="AL78" i="2" s="1"/>
  <c r="AM73" i="2" s="1"/>
  <c r="AM78" i="2" s="1"/>
  <c r="AN73" i="2" s="1"/>
  <c r="AN78" i="2" s="1"/>
  <c r="AO73" i="2" s="1"/>
  <c r="AO78" i="2" s="1"/>
  <c r="AP73" i="2" s="1"/>
  <c r="AP78" i="2" s="1"/>
  <c r="AQ73" i="2" s="1"/>
  <c r="AQ78" i="2" s="1"/>
  <c r="AR73" i="2" s="1"/>
  <c r="AR78" i="2" s="1"/>
  <c r="AS73" i="2" s="1"/>
  <c r="AS78" i="2" s="1"/>
  <c r="AT73" i="2" s="1"/>
  <c r="AT78" i="2" s="1"/>
  <c r="AU73" i="2" s="1"/>
  <c r="AU78" i="2" s="1"/>
  <c r="AV73" i="2" s="1"/>
  <c r="AV78" i="2" s="1"/>
  <c r="AW73" i="2" s="1"/>
  <c r="AW78" i="2" s="1"/>
  <c r="AX73" i="2" s="1"/>
  <c r="AX78" i="2" s="1"/>
  <c r="AY73" i="2" s="1"/>
  <c r="AY78" i="2" s="1"/>
  <c r="AZ73" i="2" s="1"/>
  <c r="AZ78" i="2" s="1"/>
  <c r="BA73" i="2" s="1"/>
  <c r="BA78" i="2" s="1"/>
  <c r="BB73" i="2" s="1"/>
  <c r="BB78" i="2" s="1"/>
  <c r="Z79" i="3"/>
  <c r="AA74" i="3" s="1"/>
  <c r="D10" i="4" s="1"/>
  <c r="D14" i="4" s="1"/>
  <c r="E7" i="4"/>
  <c r="I21" i="4"/>
  <c r="AQ96" i="3"/>
  <c r="AQ98" i="3" s="1"/>
  <c r="AB78" i="3"/>
  <c r="AB98" i="3"/>
  <c r="AB77" i="3" s="1"/>
  <c r="Y106" i="3"/>
  <c r="Y114" i="3" s="1"/>
  <c r="V70" i="3"/>
  <c r="BC70" i="3"/>
  <c r="BC76" i="2"/>
  <c r="AX88" i="2"/>
  <c r="AR92" i="2"/>
  <c r="AV92" i="2"/>
  <c r="AW88" i="2"/>
  <c r="AA88" i="2"/>
  <c r="AA92" i="2"/>
  <c r="AQ92" i="2"/>
  <c r="BC77" i="2"/>
  <c r="BC82" i="2" s="1"/>
  <c r="AZ88" i="2"/>
  <c r="AY88" i="2"/>
  <c r="BA88" i="2"/>
  <c r="V69" i="2"/>
  <c r="V70" i="2" s="1"/>
  <c r="AR96" i="3" l="1"/>
  <c r="D16" i="4"/>
  <c r="C21" i="4"/>
  <c r="C22" i="4" s="1"/>
  <c r="C31" i="4" s="1"/>
  <c r="C32" i="4" s="1"/>
  <c r="D26" i="4" s="1"/>
  <c r="D30" i="4" s="1"/>
  <c r="D7" i="4"/>
  <c r="E21" i="4"/>
  <c r="AC98" i="3"/>
  <c r="AC76" i="3" s="1"/>
  <c r="AC77" i="3" s="1"/>
  <c r="AC89" i="3" s="1"/>
  <c r="AD96" i="3"/>
  <c r="C7" i="4"/>
  <c r="D22" i="4"/>
  <c r="D31" i="4" s="1"/>
  <c r="AB83" i="3"/>
  <c r="E15" i="4"/>
  <c r="AA79" i="3"/>
  <c r="AB74" i="3" s="1"/>
  <c r="E10" i="4" s="1"/>
  <c r="E14" i="4" s="1"/>
  <c r="I22" i="4"/>
  <c r="I31" i="4" s="1"/>
  <c r="J21" i="4"/>
  <c r="BC78" i="3"/>
  <c r="BC83" i="3" s="1"/>
  <c r="AP89" i="3"/>
  <c r="AP93" i="3"/>
  <c r="AS96" i="3"/>
  <c r="AR98" i="3"/>
  <c r="AR76" i="3" s="1"/>
  <c r="AR77" i="3" s="1"/>
  <c r="AQ76" i="3"/>
  <c r="AQ77" i="3" s="1"/>
  <c r="AB89" i="3"/>
  <c r="AB93" i="3"/>
  <c r="V71" i="3"/>
  <c r="E16" i="4" l="1"/>
  <c r="D32" i="4"/>
  <c r="E26" i="4" s="1"/>
  <c r="E30" i="4" s="1"/>
  <c r="AC93" i="3"/>
  <c r="AB79" i="3"/>
  <c r="AC74" i="3" s="1"/>
  <c r="AC79" i="3" s="1"/>
  <c r="AD74" i="3" s="1"/>
  <c r="AE96" i="3"/>
  <c r="AD98" i="3"/>
  <c r="AD76" i="3" s="1"/>
  <c r="AD77" i="3" s="1"/>
  <c r="AD89" i="3" s="1"/>
  <c r="F21" i="4"/>
  <c r="E22" i="4"/>
  <c r="E31" i="4" s="1"/>
  <c r="J22" i="4"/>
  <c r="J31" i="4" s="1"/>
  <c r="K21" i="4"/>
  <c r="AQ93" i="3"/>
  <c r="AQ89" i="3"/>
  <c r="AR93" i="3"/>
  <c r="AR89" i="3"/>
  <c r="AS98" i="3"/>
  <c r="AT96" i="3"/>
  <c r="D34" i="4" l="1"/>
  <c r="AD93" i="3"/>
  <c r="E32" i="4"/>
  <c r="F26" i="4" s="1"/>
  <c r="F30" i="4" s="1"/>
  <c r="AD79" i="3"/>
  <c r="AE74" i="3" s="1"/>
  <c r="AE79" i="3" s="1"/>
  <c r="AF74" i="3" s="1"/>
  <c r="AE98" i="3"/>
  <c r="AE76" i="3" s="1"/>
  <c r="AE77" i="3" s="1"/>
  <c r="AE93" i="3" s="1"/>
  <c r="AF96" i="3"/>
  <c r="F22" i="4"/>
  <c r="F31" i="4" s="1"/>
  <c r="G21" i="4"/>
  <c r="L21" i="4"/>
  <c r="L22" i="4" s="1"/>
  <c r="L31" i="4" s="1"/>
  <c r="K22" i="4"/>
  <c r="K31" i="4" s="1"/>
  <c r="AS76" i="3"/>
  <c r="AS77" i="3" s="1"/>
  <c r="AT98" i="3"/>
  <c r="AT76" i="3" s="1"/>
  <c r="AT77" i="3" s="1"/>
  <c r="AU96" i="3"/>
  <c r="AE89" i="3" l="1"/>
  <c r="F32" i="4"/>
  <c r="G26" i="4" s="1"/>
  <c r="G30" i="4" s="1"/>
  <c r="H21" i="4"/>
  <c r="H22" i="4" s="1"/>
  <c r="H31" i="4" s="1"/>
  <c r="G22" i="4"/>
  <c r="G31" i="4" s="1"/>
  <c r="AG96" i="3"/>
  <c r="AF98" i="3"/>
  <c r="AF76" i="3" s="1"/>
  <c r="AF77" i="3" s="1"/>
  <c r="AS93" i="3"/>
  <c r="AS89" i="3"/>
  <c r="AV96" i="3"/>
  <c r="AU98" i="3"/>
  <c r="AT93" i="3"/>
  <c r="AT89" i="3"/>
  <c r="G32" i="4" l="1"/>
  <c r="H26" i="4" s="1"/>
  <c r="H30" i="4" s="1"/>
  <c r="H32" i="4" s="1"/>
  <c r="H34" i="4" s="1"/>
  <c r="AF89" i="3"/>
  <c r="AF93" i="3"/>
  <c r="AG98" i="3"/>
  <c r="AG76" i="3" s="1"/>
  <c r="AG77" i="3" s="1"/>
  <c r="AG93" i="3" s="1"/>
  <c r="AH96" i="3"/>
  <c r="AF79" i="3"/>
  <c r="AG74" i="3" s="1"/>
  <c r="AG89" i="3"/>
  <c r="AU76" i="3"/>
  <c r="AU77" i="3" s="1"/>
  <c r="AV98" i="3"/>
  <c r="AW96" i="3"/>
  <c r="AG79" i="3" l="1"/>
  <c r="AH74" i="3" s="1"/>
  <c r="I26" i="4"/>
  <c r="I30" i="4" s="1"/>
  <c r="I32" i="4" s="1"/>
  <c r="J26" i="4" s="1"/>
  <c r="J30" i="4" s="1"/>
  <c r="J32" i="4" s="1"/>
  <c r="K26" i="4" s="1"/>
  <c r="K30" i="4" s="1"/>
  <c r="K32" i="4" s="1"/>
  <c r="L26" i="4" s="1"/>
  <c r="L30" i="4" s="1"/>
  <c r="L32" i="4" s="1"/>
  <c r="L34" i="4" s="1"/>
  <c r="AI96" i="3"/>
  <c r="AH98" i="3"/>
  <c r="AH76" i="3" s="1"/>
  <c r="AH77" i="3" s="1"/>
  <c r="AH93" i="3" s="1"/>
  <c r="AU93" i="3"/>
  <c r="AU89" i="3"/>
  <c r="AW98" i="3"/>
  <c r="AW76" i="3" s="1"/>
  <c r="AW77" i="3" s="1"/>
  <c r="AX96" i="3"/>
  <c r="AV76" i="3"/>
  <c r="AV77" i="3" s="1"/>
  <c r="AH79" i="3" l="1"/>
  <c r="AI74" i="3" s="1"/>
  <c r="AH89" i="3"/>
  <c r="AI98" i="3"/>
  <c r="AI76" i="3" s="1"/>
  <c r="AI77" i="3" s="1"/>
  <c r="AI93" i="3" s="1"/>
  <c r="AJ96" i="3"/>
  <c r="AV89" i="3"/>
  <c r="AV93" i="3"/>
  <c r="AX98" i="3"/>
  <c r="AX76" i="3" s="1"/>
  <c r="AX77" i="3" s="1"/>
  <c r="AY96" i="3"/>
  <c r="AW93" i="3"/>
  <c r="AW89" i="3"/>
  <c r="AI89" i="3" l="1"/>
  <c r="AI79" i="3"/>
  <c r="AJ74" i="3" s="1"/>
  <c r="AJ79" i="3" s="1"/>
  <c r="AK74" i="3" s="1"/>
  <c r="AJ98" i="3"/>
  <c r="AJ76" i="3" s="1"/>
  <c r="AJ77" i="3" s="1"/>
  <c r="AK96" i="3"/>
  <c r="AX89" i="3"/>
  <c r="AX93" i="3"/>
  <c r="AY98" i="3"/>
  <c r="AZ96" i="3"/>
  <c r="AK98" i="3" l="1"/>
  <c r="AK76" i="3" s="1"/>
  <c r="AK77" i="3" s="1"/>
  <c r="AL96" i="3"/>
  <c r="AJ93" i="3"/>
  <c r="AJ89" i="3"/>
  <c r="AK89" i="3"/>
  <c r="AK93" i="3"/>
  <c r="AK79" i="3"/>
  <c r="AL74" i="3" s="1"/>
  <c r="AZ98" i="3"/>
  <c r="BA96" i="3"/>
  <c r="AY76" i="3"/>
  <c r="AY77" i="3" s="1"/>
  <c r="AL98" i="3" l="1"/>
  <c r="AL76" i="3" s="1"/>
  <c r="AL77" i="3" s="1"/>
  <c r="AM96" i="3"/>
  <c r="AY89" i="3"/>
  <c r="AY93" i="3"/>
  <c r="AL89" i="3"/>
  <c r="AL93" i="3"/>
  <c r="BB96" i="3"/>
  <c r="BB98" i="3" s="1"/>
  <c r="BA98" i="3"/>
  <c r="AZ76" i="3"/>
  <c r="AZ77" i="3" s="1"/>
  <c r="AL79" i="3"/>
  <c r="AM74" i="3" s="1"/>
  <c r="AN96" i="3" l="1"/>
  <c r="AM98" i="3"/>
  <c r="AM76" i="3" s="1"/>
  <c r="AM77" i="3" s="1"/>
  <c r="AM79" i="3" s="1"/>
  <c r="AN74" i="3" s="1"/>
  <c r="BA76" i="3"/>
  <c r="BA77" i="3" s="1"/>
  <c r="BB76" i="3"/>
  <c r="BB77" i="3" s="1"/>
  <c r="AZ93" i="3"/>
  <c r="AZ89" i="3"/>
  <c r="AM89" i="3" l="1"/>
  <c r="AM93" i="3"/>
  <c r="AO96" i="3"/>
  <c r="AO98" i="3" s="1"/>
  <c r="AO76" i="3" s="1"/>
  <c r="AO77" i="3" s="1"/>
  <c r="AO93" i="3" s="1"/>
  <c r="AN98" i="3"/>
  <c r="AN76" i="3" s="1"/>
  <c r="AN77" i="3" s="1"/>
  <c r="AN93" i="3" s="1"/>
  <c r="BB93" i="3"/>
  <c r="BB89" i="3"/>
  <c r="AO89" i="3"/>
  <c r="BA89" i="3"/>
  <c r="BA93" i="3"/>
  <c r="AN79" i="3" l="1"/>
  <c r="AO74" i="3" s="1"/>
  <c r="AO79" i="3" s="1"/>
  <c r="AP74" i="3" s="1"/>
  <c r="AP79" i="3" s="1"/>
  <c r="AQ74" i="3" s="1"/>
  <c r="AQ79" i="3" s="1"/>
  <c r="AR74" i="3" s="1"/>
  <c r="AR79" i="3" s="1"/>
  <c r="AS74" i="3" s="1"/>
  <c r="AS79" i="3" s="1"/>
  <c r="AT74" i="3" s="1"/>
  <c r="AT79" i="3" s="1"/>
  <c r="AU74" i="3" s="1"/>
  <c r="AU79" i="3" s="1"/>
  <c r="AV74" i="3" s="1"/>
  <c r="AV79" i="3" s="1"/>
  <c r="AW74" i="3" s="1"/>
  <c r="AW79" i="3" s="1"/>
  <c r="AX74" i="3" s="1"/>
  <c r="AX79" i="3" s="1"/>
  <c r="AY74" i="3" s="1"/>
  <c r="AY79" i="3" s="1"/>
  <c r="AZ74" i="3" s="1"/>
  <c r="AZ79" i="3" s="1"/>
  <c r="BA74" i="3" s="1"/>
  <c r="BA79" i="3" s="1"/>
  <c r="BB74" i="3" s="1"/>
  <c r="BB79" i="3" s="1"/>
  <c r="BC77" i="3"/>
  <c r="AN8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C21" authorId="0" shapeId="0" xr:uid="{87E916A3-0144-604D-9798-5C0E90CA2115}">
      <text>
        <r>
          <rPr>
            <b/>
            <sz val="10"/>
            <color rgb="FF000000"/>
            <rFont val="Calibri"/>
            <family val="2"/>
          </rPr>
          <t>Assumes we spend all of the 2025 projected amounts from the 2025 Reserve Analysis</t>
        </r>
        <r>
          <rPr>
            <sz val="10"/>
            <color rgb="FF000000"/>
            <rFont val="Calibri"/>
            <family val="2"/>
          </rPr>
          <t xml:space="preserve">
</t>
        </r>
      </text>
    </comment>
    <comment ref="C26" authorId="0" shapeId="0" xr:uid="{E5611F6E-6560-A440-B4F4-3B85D51CC90C}">
      <text>
        <r>
          <rPr>
            <b/>
            <sz val="10"/>
            <color rgb="FF000000"/>
            <rFont val="Tahoma"/>
            <family val="2"/>
          </rPr>
          <t xml:space="preserve">June
</t>
        </r>
        <r>
          <rPr>
            <b/>
            <sz val="10"/>
            <color rgb="FF000000"/>
            <rFont val="Tahoma"/>
            <family val="2"/>
          </rPr>
          <t xml:space="preserve"> 2025 end bal
</t>
        </r>
        <r>
          <rPr>
            <sz val="10"/>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Y18" authorId="0" shapeId="0" xr:uid="{AFF197C1-4C67-D645-86EE-FA423519D1F8}">
      <text>
        <r>
          <rPr>
            <b/>
            <sz val="10"/>
            <color rgb="FF000000"/>
            <rFont val="Tahoma"/>
            <family val="2"/>
          </rPr>
          <t>For now, includes "Other"</t>
        </r>
        <r>
          <rPr>
            <sz val="10"/>
            <color rgb="FF000000"/>
            <rFont val="Tahoma"/>
            <family val="2"/>
          </rPr>
          <t xml:space="preserve">
</t>
        </r>
      </text>
    </comment>
    <comment ref="AO18" authorId="0" shapeId="0" xr:uid="{88793B1D-D4C1-7042-87E0-30B60EE04593}">
      <text>
        <r>
          <rPr>
            <b/>
            <sz val="10"/>
            <color rgb="FF000000"/>
            <rFont val="Tahoma"/>
            <family val="2"/>
          </rPr>
          <t xml:space="preserve">Lakeside Rubber Roof
</t>
        </r>
        <r>
          <rPr>
            <sz val="10"/>
            <color rgb="FF000000"/>
            <rFont val="Tahoma"/>
            <family val="2"/>
          </rPr>
          <t xml:space="preserve">
</t>
        </r>
      </text>
    </comment>
    <comment ref="AB20" authorId="0" shapeId="0" xr:uid="{E63D9E6B-9045-D048-903D-E79E193447C2}">
      <text>
        <r>
          <rPr>
            <b/>
            <sz val="10"/>
            <color rgb="FF000000"/>
            <rFont val="Tahoma"/>
            <family val="2"/>
          </rPr>
          <t xml:space="preserve">BLDG 16,17,18
</t>
        </r>
        <r>
          <rPr>
            <sz val="10"/>
            <color rgb="FF000000"/>
            <rFont val="Tahoma"/>
            <family val="2"/>
          </rPr>
          <t xml:space="preserve">
</t>
        </r>
      </text>
    </comment>
    <comment ref="AK21" authorId="0" shapeId="0" xr:uid="{61A53F22-1C51-1C44-BF34-0FC6D3345C2A}">
      <text>
        <r>
          <rPr>
            <b/>
            <sz val="10"/>
            <color rgb="FF000000"/>
            <rFont val="Tahoma"/>
            <family val="2"/>
          </rPr>
          <t xml:space="preserve">Guard shack
</t>
        </r>
        <r>
          <rPr>
            <sz val="10"/>
            <color rgb="FF000000"/>
            <rFont val="Tahoma"/>
            <family val="2"/>
          </rPr>
          <t xml:space="preserve">
</t>
        </r>
      </text>
    </comment>
    <comment ref="Y28" authorId="0" shapeId="0" xr:uid="{311DC37F-6B7D-0444-A01D-DB568F586AD1}">
      <text>
        <r>
          <rPr>
            <b/>
            <sz val="10"/>
            <color rgb="FF000000"/>
            <rFont val="Tahoma"/>
            <family val="2"/>
          </rPr>
          <t>Guard Shack Elec</t>
        </r>
        <r>
          <rPr>
            <sz val="10"/>
            <color rgb="FF000000"/>
            <rFont val="Tahoma"/>
            <family val="2"/>
          </rPr>
          <t xml:space="preserve">
</t>
        </r>
      </text>
    </comment>
    <comment ref="Z29" authorId="0" shapeId="0" xr:uid="{8DA52E9F-042D-194B-815F-A7316A208846}">
      <text>
        <r>
          <rPr>
            <b/>
            <sz val="10"/>
            <color rgb="FF000000"/>
            <rFont val="Tahoma"/>
            <family val="2"/>
          </rPr>
          <t>Eng $10k &amp; Storage $15K incurred in 4Q 24</t>
        </r>
        <r>
          <rPr>
            <sz val="10"/>
            <color rgb="FF000000"/>
            <rFont val="Tahoma"/>
            <family val="2"/>
          </rPr>
          <t xml:space="preserve">
</t>
        </r>
      </text>
    </comment>
    <comment ref="Z30" authorId="0" shapeId="0" xr:uid="{7C64AE93-609E-7E4C-8C81-60AF99D3F71C}">
      <text>
        <r>
          <rPr>
            <b/>
            <sz val="10"/>
            <color rgb="FF000000"/>
            <rFont val="Tahoma"/>
            <family val="2"/>
          </rPr>
          <t>Eng $10k &amp; Storage $15K incurred in 4Q 24</t>
        </r>
        <r>
          <rPr>
            <sz val="10"/>
            <color rgb="FF000000"/>
            <rFont val="Tahoma"/>
            <family val="2"/>
          </rPr>
          <t xml:space="preserve">
</t>
        </r>
      </text>
    </comment>
    <comment ref="AG33" authorId="0" shapeId="0" xr:uid="{805FE63C-100A-AB4F-824E-EC2722052C55}">
      <text>
        <r>
          <rPr>
            <b/>
            <sz val="10"/>
            <color rgb="FF000000"/>
            <rFont val="Tahoma"/>
            <family val="2"/>
          </rPr>
          <t>1st Quote: City Engineering $465,000</t>
        </r>
        <r>
          <rPr>
            <sz val="10"/>
            <color rgb="FF000000"/>
            <rFont val="Tahoma"/>
            <family val="2"/>
          </rPr>
          <t xml:space="preserve">
</t>
        </r>
      </text>
    </comment>
    <comment ref="AC39" authorId="0" shapeId="0" xr:uid="{A576E406-8392-BB4A-A354-71362C5000F1}">
      <text>
        <r>
          <rPr>
            <b/>
            <sz val="10"/>
            <color rgb="FF000000"/>
            <rFont val="Tahoma"/>
            <family val="2"/>
          </rPr>
          <t xml:space="preserve">Need estimate from Sean
</t>
        </r>
        <r>
          <rPr>
            <sz val="10"/>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Y18" authorId="0" shapeId="0" xr:uid="{95E27A49-CD32-D844-B602-E79E6F4A3A90}">
      <text>
        <r>
          <rPr>
            <b/>
            <sz val="10"/>
            <color rgb="FF000000"/>
            <rFont val="Tahoma"/>
            <family val="2"/>
          </rPr>
          <t>For now, includes "Other"</t>
        </r>
        <r>
          <rPr>
            <sz val="10"/>
            <color rgb="FF000000"/>
            <rFont val="Tahoma"/>
            <family val="2"/>
          </rPr>
          <t xml:space="preserve">
</t>
        </r>
      </text>
    </comment>
    <comment ref="AE21" authorId="0" shapeId="0" xr:uid="{0C560638-8B04-D04C-B290-2CDF5FF85B0B}">
      <text>
        <r>
          <rPr>
            <b/>
            <sz val="10"/>
            <color rgb="FF000000"/>
            <rFont val="Tahoma"/>
            <family val="2"/>
          </rPr>
          <t xml:space="preserve">Maintemace
</t>
        </r>
        <r>
          <rPr>
            <sz val="10"/>
            <color rgb="FF000000"/>
            <rFont val="Tahoma"/>
            <family val="2"/>
          </rPr>
          <t xml:space="preserve">
</t>
        </r>
      </text>
    </comment>
    <comment ref="AK21" authorId="0" shapeId="0" xr:uid="{B1A29827-665E-794E-AED8-CAB8DB06FD80}">
      <text>
        <r>
          <rPr>
            <b/>
            <sz val="10"/>
            <color rgb="FF000000"/>
            <rFont val="Tahoma"/>
            <family val="2"/>
          </rPr>
          <t xml:space="preserve">Guard shack
</t>
        </r>
        <r>
          <rPr>
            <sz val="10"/>
            <color rgb="FF000000"/>
            <rFont val="Tahoma"/>
            <family val="2"/>
          </rPr>
          <t xml:space="preserve">
</t>
        </r>
      </text>
    </comment>
    <comment ref="AO21" authorId="0" shapeId="0" xr:uid="{E7C0315E-A7F3-3C4F-8357-1C0A20ED2CC1}">
      <text>
        <r>
          <rPr>
            <b/>
            <sz val="10"/>
            <color rgb="FF000000"/>
            <rFont val="Tahoma"/>
            <family val="2"/>
          </rPr>
          <t xml:space="preserve">Clubhouse
</t>
        </r>
        <r>
          <rPr>
            <sz val="10"/>
            <color rgb="FF000000"/>
            <rFont val="Tahoma"/>
            <family val="2"/>
          </rPr>
          <t xml:space="preserve">
</t>
        </r>
      </text>
    </comment>
    <comment ref="Y29" authorId="0" shapeId="0" xr:uid="{52C7BD4F-9655-3A45-A517-CF93BAE2BE98}">
      <text>
        <r>
          <rPr>
            <b/>
            <sz val="10"/>
            <color rgb="FF000000"/>
            <rFont val="Tahoma"/>
            <family val="2"/>
          </rPr>
          <t>Guard Shack Elec</t>
        </r>
        <r>
          <rPr>
            <sz val="10"/>
            <color rgb="FF000000"/>
            <rFont val="Tahoma"/>
            <family val="2"/>
          </rPr>
          <t xml:space="preserve">
</t>
        </r>
      </text>
    </comment>
    <comment ref="Z30" authorId="0" shapeId="0" xr:uid="{D9B36644-D8B7-A548-A825-0BB191196847}">
      <text>
        <r>
          <rPr>
            <b/>
            <sz val="10"/>
            <color rgb="FF000000"/>
            <rFont val="Tahoma"/>
            <family val="2"/>
          </rPr>
          <t>Eng $10k &amp; Storage $15K incurred in 4Q 24</t>
        </r>
        <r>
          <rPr>
            <sz val="10"/>
            <color rgb="FF000000"/>
            <rFont val="Tahoma"/>
            <family val="2"/>
          </rPr>
          <t xml:space="preserve">
</t>
        </r>
      </text>
    </comment>
    <comment ref="Z31" authorId="0" shapeId="0" xr:uid="{CCA30FA4-F54B-4C4B-B31B-0BDB625DDF84}">
      <text>
        <r>
          <rPr>
            <b/>
            <sz val="10"/>
            <color rgb="FF000000"/>
            <rFont val="Tahoma"/>
            <family val="2"/>
          </rPr>
          <t>Eng $10k &amp; Storage $15K incurred in 4Q 24</t>
        </r>
        <r>
          <rPr>
            <sz val="10"/>
            <color rgb="FF000000"/>
            <rFont val="Tahoma"/>
            <family val="2"/>
          </rPr>
          <t xml:space="preserve">
</t>
        </r>
      </text>
    </comment>
  </commentList>
</comments>
</file>

<file path=xl/sharedStrings.xml><?xml version="1.0" encoding="utf-8"?>
<sst xmlns="http://schemas.openxmlformats.org/spreadsheetml/2006/main" count="5000" uniqueCount="264">
  <si>
    <t>The Oceanage Association, Inc.</t>
  </si>
  <si>
    <t>Fort Lauderdale, Florida</t>
  </si>
  <si>
    <t xml:space="preserve"> </t>
  </si>
  <si>
    <t>Estimated</t>
  </si>
  <si>
    <t>Life Analysis,</t>
  </si>
  <si>
    <t>Costs, $</t>
  </si>
  <si>
    <t>Percentage</t>
  </si>
  <si>
    <t>Partial</t>
  </si>
  <si>
    <t>Frequency</t>
  </si>
  <si>
    <t>Length</t>
  </si>
  <si>
    <t>Events</t>
  </si>
  <si>
    <t>Next Full</t>
  </si>
  <si>
    <t>Useful</t>
  </si>
  <si>
    <t>Round</t>
  </si>
  <si>
    <t>Line</t>
  </si>
  <si>
    <t>Total</t>
  </si>
  <si>
    <t>Per Phase</t>
  </si>
  <si>
    <t>1st Year of</t>
  </si>
  <si>
    <t>Years</t>
  </si>
  <si>
    <t>Unit</t>
  </si>
  <si>
    <t>30-Year Total</t>
  </si>
  <si>
    <t>of Future</t>
  </si>
  <si>
    <t>Quantity</t>
  </si>
  <si>
    <t>of Events</t>
  </si>
  <si>
    <t>of Phase</t>
  </si>
  <si>
    <t xml:space="preserve"> Repl.</t>
  </si>
  <si>
    <t>Life</t>
  </si>
  <si>
    <t>Phase</t>
  </si>
  <si>
    <t>Item</t>
  </si>
  <si>
    <t>Units</t>
  </si>
  <si>
    <t>Event</t>
  </si>
  <si>
    <t>Remaining</t>
  </si>
  <si>
    <t>(2023)</t>
  </si>
  <si>
    <t>Ownership</t>
  </si>
  <si>
    <t>(Inflated)</t>
  </si>
  <si>
    <t>Expenditures</t>
  </si>
  <si>
    <t>-</t>
  </si>
  <si>
    <t>Exterior Building Elements</t>
  </si>
  <si>
    <t>Each</t>
  </si>
  <si>
    <t>Bahama Shutters (Incl. Louvers)</t>
  </si>
  <si>
    <t>to 30</t>
  </si>
  <si>
    <t>18</t>
  </si>
  <si>
    <t/>
  </si>
  <si>
    <t>Square Feet</t>
  </si>
  <si>
    <t>Balconies and Staircases, Concrete, Repairs and Waterproof Coating Applications</t>
  </si>
  <si>
    <t>6 to 8</t>
  </si>
  <si>
    <t>5</t>
  </si>
  <si>
    <t>Linear Feet</t>
  </si>
  <si>
    <t>Balconies and Staircases, Railings, Aluminum</t>
  </si>
  <si>
    <t>Square Yards</t>
  </si>
  <si>
    <t>Breezeways, Floor Coverings, Tile</t>
  </si>
  <si>
    <t>to 25</t>
  </si>
  <si>
    <t>13</t>
  </si>
  <si>
    <t>Gutters and Downspouts, Aluminum, Phased</t>
  </si>
  <si>
    <t>15 to 20</t>
  </si>
  <si>
    <t>8 to 9</t>
  </si>
  <si>
    <t>Light Fixtures</t>
  </si>
  <si>
    <t>to 20</t>
  </si>
  <si>
    <t>Squares</t>
  </si>
  <si>
    <t>Roofs, Cedar Shakes (Replacement with Metal, 2024 is Planned)</t>
  </si>
  <si>
    <t>12 to 18</t>
  </si>
  <si>
    <t>1</t>
  </si>
  <si>
    <t>Roofs, Metal Overhangs, Recently Replaced</t>
  </si>
  <si>
    <t>26</t>
  </si>
  <si>
    <t>Roofs, Metal Overhangs, Remaining</t>
  </si>
  <si>
    <t>Roofs, Modified Bitumen, Phased</t>
  </si>
  <si>
    <t>2 to 6</t>
  </si>
  <si>
    <t>Walls, Stucco, Paint Finishes and Capital Repairs, Phased</t>
  </si>
  <si>
    <t>5 to 6</t>
  </si>
  <si>
    <t>to 35</t>
  </si>
  <si>
    <t>6</t>
  </si>
  <si>
    <t>Interior Building Elements</t>
  </si>
  <si>
    <t>Allowance</t>
  </si>
  <si>
    <t>Walls, Concrete, Capital Repairs</t>
  </si>
  <si>
    <t>7</t>
  </si>
  <si>
    <t>Building Services Elements</t>
  </si>
  <si>
    <t>Electrical System, Main Panels, Partial</t>
  </si>
  <si>
    <t>to 70+</t>
  </si>
  <si>
    <t>3 to 30+</t>
  </si>
  <si>
    <t>Electrical Eng/Storage/Infrared Testing</t>
  </si>
  <si>
    <t>Elec Service Lateral feeders from Pad mount</t>
  </si>
  <si>
    <t>Property Site Elements</t>
  </si>
  <si>
    <t>Asphalt Pavement, Patching</t>
  </si>
  <si>
    <t>3 to 5</t>
  </si>
  <si>
    <t>0</t>
  </si>
  <si>
    <t>Asphalt Pavement, Mill and Overlay (Incl. Catch Basin Repairs)</t>
  </si>
  <si>
    <t>4</t>
  </si>
  <si>
    <t>Bike Shed, Renovations</t>
  </si>
  <si>
    <t>20</t>
  </si>
  <si>
    <t>Concrete Seawall, Lakeside, Inspections and Partial Replacements</t>
  </si>
  <si>
    <t>to 10</t>
  </si>
  <si>
    <t>Concrete Seawall, Oceanside, Inspections and Partial Replacements</t>
  </si>
  <si>
    <t>Decks, Composite, Oceanside</t>
  </si>
  <si>
    <t>11</t>
  </si>
  <si>
    <t>Docks and Pilings, Wood (Includes Pile Replacement)</t>
  </si>
  <si>
    <t>15</t>
  </si>
  <si>
    <t>Fence, Vinyl</t>
  </si>
  <si>
    <t>Golf Carts, Phased</t>
  </si>
  <si>
    <t>to 6</t>
  </si>
  <si>
    <t>2 to 5</t>
  </si>
  <si>
    <t>Irrigation System, Replacement</t>
  </si>
  <si>
    <t>to 40</t>
  </si>
  <si>
    <t>24</t>
  </si>
  <si>
    <t>to 15</t>
  </si>
  <si>
    <t>Pavers, Masonry, Pedestrian, Patios, Phased</t>
  </si>
  <si>
    <t>14 to 20</t>
  </si>
  <si>
    <t>Pavers, Masonry, Pedestrian, Walkways, 2021</t>
  </si>
  <si>
    <t>23</t>
  </si>
  <si>
    <t>Pavers, Masonry, Pedestrian, Walkways, Remaining</t>
  </si>
  <si>
    <t>Pavers, Masonry, Vehicular</t>
  </si>
  <si>
    <t>14</t>
  </si>
  <si>
    <t>Pipes, Subsurface Utilities</t>
  </si>
  <si>
    <t>to 85</t>
  </si>
  <si>
    <t>Power Pedestals, Dock</t>
  </si>
  <si>
    <t>Clubhouse Elements</t>
  </si>
  <si>
    <t>Air Handling and Condensing Units, Split Systems</t>
  </si>
  <si>
    <t>8</t>
  </si>
  <si>
    <t>Exercise Equipment, Phased</t>
  </si>
  <si>
    <t>5 to 15</t>
  </si>
  <si>
    <t>3 to 8</t>
  </si>
  <si>
    <t>Floor Coverings, Tile</t>
  </si>
  <si>
    <t>19</t>
  </si>
  <si>
    <t>Furnishings, Phased</t>
  </si>
  <si>
    <t>5 to 14</t>
  </si>
  <si>
    <t>Kitchen, Renovations</t>
  </si>
  <si>
    <t>Rest Rooms, Renovations</t>
  </si>
  <si>
    <t>Roof, Composite</t>
  </si>
  <si>
    <t>16</t>
  </si>
  <si>
    <t>Pool Elements</t>
  </si>
  <si>
    <t>Deck, Pavers</t>
  </si>
  <si>
    <t>10</t>
  </si>
  <si>
    <t>Fence, Aluminum</t>
  </si>
  <si>
    <t>21</t>
  </si>
  <si>
    <t>Mechanical Equipment, Phased (Incl. Heaters)</t>
  </si>
  <si>
    <t>Pool Finish, Plaster</t>
  </si>
  <si>
    <t>8 to 12</t>
  </si>
  <si>
    <t>Pool Finish, Tile</t>
  </si>
  <si>
    <t>15 to 25</t>
  </si>
  <si>
    <t>30</t>
  </si>
  <si>
    <t>Structure, Total Replacement</t>
  </si>
  <si>
    <t>to 60</t>
  </si>
  <si>
    <t>u.2</t>
  </si>
  <si>
    <t>Reserve Study Update with Site Visit</t>
  </si>
  <si>
    <t>2 to 30+</t>
  </si>
  <si>
    <t>||</t>
  </si>
  <si>
    <t>Beginning Balance</t>
  </si>
  <si>
    <t>Special Assessment Funding</t>
  </si>
  <si>
    <t>Expenses</t>
  </si>
  <si>
    <t>Ending Balance</t>
  </si>
  <si>
    <t>Reserve Expenses per 2023 Study</t>
  </si>
  <si>
    <t>Variance from Study to 2024 Revision</t>
  </si>
  <si>
    <t>Inflation Notes:</t>
  </si>
  <si>
    <t>1)</t>
  </si>
  <si>
    <t>Some line items were specifically inflated</t>
  </si>
  <si>
    <t>2)</t>
  </si>
  <si>
    <t>FY2024 is Fiscal Year beginning January 1, 2024 and ending December 31, 2024.</t>
  </si>
  <si>
    <t>Reserve Component Inventory</t>
  </si>
  <si>
    <t>Windows and Doors Caulking</t>
  </si>
  <si>
    <t>Flat Roof Make Safe</t>
  </si>
  <si>
    <t>Anticipated Expenditures, By Year ($25,492,607 over 30 years)</t>
  </si>
  <si>
    <t>Annual Assessment Funding - Qrtly Dues</t>
  </si>
  <si>
    <t>Budget Presented - Net Funding Projected</t>
  </si>
  <si>
    <t>Variance</t>
  </si>
  <si>
    <t>Funding Projected per 2023 Reserve Study</t>
  </si>
  <si>
    <t>Components</t>
  </si>
  <si>
    <t>Pre-2013 Reserve Component Balances</t>
  </si>
  <si>
    <t>Paving</t>
  </si>
  <si>
    <t>Ground Lighting</t>
  </si>
  <si>
    <t>2024 Reserve Study</t>
  </si>
  <si>
    <t>Property site elements</t>
  </si>
  <si>
    <t>Other</t>
  </si>
  <si>
    <t>Pooled reserves funding</t>
  </si>
  <si>
    <t>Interest - Fund balance</t>
  </si>
  <si>
    <t>Building Elements</t>
  </si>
  <si>
    <t>Est. Current Replacement Cost</t>
  </si>
  <si>
    <t>Roof Projection</t>
  </si>
  <si>
    <t>Ending Balance Test</t>
  </si>
  <si>
    <t>2057 Rooff Projection</t>
  </si>
  <si>
    <t>2024 UPDATED RESERVE ANALYSIS</t>
  </si>
  <si>
    <t>Roof Portion of Annual Reserve Assessments</t>
  </si>
  <si>
    <t>All oter Reserve items annual assessments</t>
  </si>
  <si>
    <t>Total Annual Aassessments</t>
  </si>
  <si>
    <t>Total Funding</t>
  </si>
  <si>
    <t>2025 UPDATED RESERVE ANALYSIS</t>
  </si>
  <si>
    <t>Painting and Caulking</t>
  </si>
  <si>
    <t>Asphalt Pavement, Patching, Seaaling, Striping</t>
  </si>
  <si>
    <t>Roof</t>
  </si>
  <si>
    <t>Projected Expenditures</t>
  </si>
  <si>
    <t>All Other Expenditures</t>
  </si>
  <si>
    <t>Proposed Funding</t>
  </si>
  <si>
    <t>Phase 1</t>
  </si>
  <si>
    <t>Phase 2</t>
  </si>
  <si>
    <t>3Q 2025</t>
  </si>
  <si>
    <t>4Q 2025</t>
  </si>
  <si>
    <t>1Q 2026</t>
  </si>
  <si>
    <t>2Q 2026</t>
  </si>
  <si>
    <t>3Q 2026</t>
  </si>
  <si>
    <t>4Q 2026</t>
  </si>
  <si>
    <t>1Q 2027</t>
  </si>
  <si>
    <t>2Q 2027</t>
  </si>
  <si>
    <t>3Q 2027</t>
  </si>
  <si>
    <t>4Q 2027</t>
  </si>
  <si>
    <t>Potential 2025 under projection</t>
  </si>
  <si>
    <t>Timing of Collection and 4Q Roof expenditure</t>
  </si>
  <si>
    <t>Note: Even if we spend  all of 2025 Reserve analysis projected amounts, the lowest ending balances would be Approx.$517K in 3Q 2025 and  $459K in 2Q 2026</t>
  </si>
  <si>
    <t>All other Reserve items annual assessments</t>
  </si>
  <si>
    <t>RESERVE EXPENDITURES</t>
  </si>
  <si>
    <t>The Oceanage</t>
  </si>
  <si>
    <t>FY2023 is Fiscal Year beginning January 1, 2023 and ending December 31, 2023.</t>
  </si>
  <si>
    <t>Association, Inc.</t>
  </si>
  <si>
    <t>Light Fixtures, Ground (Includes Seawall Light Fixtures)</t>
  </si>
  <si>
    <t>Windows and Doors</t>
  </si>
  <si>
    <t>RESERVE FUNDING PLAN</t>
  </si>
  <si>
    <t>CASH FLOW ANALYSIS</t>
  </si>
  <si>
    <t>Individual Reserve Budgets &amp; Cash Flows for the Next 30 Years</t>
  </si>
  <si>
    <t>Reserves at Beginning of Year</t>
  </si>
  <si>
    <t>(Note 1)</t>
  </si>
  <si>
    <t xml:space="preserve">Recommended Reserve Contributions </t>
  </si>
  <si>
    <t>Additional Reserve Contributions</t>
  </si>
  <si>
    <t>Additional Assessment</t>
  </si>
  <si>
    <t>Total Recommended Reserve Contributions</t>
  </si>
  <si>
    <t>(Note 2)</t>
  </si>
  <si>
    <t xml:space="preserve">           Anticipated Interest Rate</t>
  </si>
  <si>
    <t>Estimated Interest Earned, During Year</t>
  </si>
  <si>
    <t>(Note 3)</t>
  </si>
  <si>
    <t>Anticipated Expenditures, By Year</t>
  </si>
  <si>
    <t>Anticipated Reserves at Year End</t>
  </si>
  <si>
    <t>(NOTE 5)</t>
  </si>
  <si>
    <t>(continued)</t>
  </si>
  <si>
    <t>Individual Reserve Budgets &amp; Cash Flows for the Next 30 Years, Continued</t>
  </si>
  <si>
    <t xml:space="preserve">Total Recommended Reserve Contributions </t>
  </si>
  <si>
    <t>(NOTE 4)</t>
  </si>
  <si>
    <t>Explanatory Notes:</t>
  </si>
  <si>
    <t>Year 2023 starting reserves are as of September 30, 2023; FY2023 starts January 1, 2023 and ends December 31, 2023.</t>
  </si>
  <si>
    <t>3)</t>
  </si>
  <si>
    <t>4)</t>
  </si>
  <si>
    <t>Accumulated year 2053 ending reserves consider the need to fund for inspections and repairs of the stucco shortly after 2053, and the age, size, overall condition and complexity of the property.</t>
  </si>
  <si>
    <t>Recommended Reserve Funding Table</t>
  </si>
  <si>
    <t>Year</t>
  </si>
  <si>
    <t>Reserve Contributions</t>
  </si>
  <si>
    <t>Reserve Balances</t>
  </si>
  <si>
    <t>standard</t>
  </si>
  <si>
    <t>Reserve Expenditures</t>
  </si>
  <si>
    <t>Recommended Reserve Contributions</t>
  </si>
  <si>
    <t>Year-End Reserve Balance</t>
  </si>
  <si>
    <t>This funding plan comprises the following sheets:</t>
  </si>
  <si>
    <t>Dock Decking Only</t>
  </si>
  <si>
    <t>Concrete/Stucco Restoration (Phased)</t>
  </si>
  <si>
    <t>Variance to 2025 Reserve Anaalysis</t>
  </si>
  <si>
    <t>Note: Only spent $17,064 of originally projected $363K through June 2025.</t>
  </si>
  <si>
    <t>Rec'd $ 8,525 from Mangrove Deposit Release, not reflected here</t>
  </si>
  <si>
    <t>Bike Shed, Roof &amp; Renovations</t>
  </si>
  <si>
    <r>
      <t xml:space="preserve">Roofs, Cedar Shakes </t>
    </r>
    <r>
      <rPr>
        <sz val="14"/>
        <color rgb="FFFF0000"/>
        <rFont val="Arial Narrow"/>
        <family val="2"/>
      </rPr>
      <t>(Replaced with Metal in 2024 ) ; 25 yr life / Lakeside Rubber Roofs</t>
    </r>
  </si>
  <si>
    <t>Roofs, Metal Overhangs, Recently Replaced (ELIMINATE)</t>
  </si>
  <si>
    <r>
      <t xml:space="preserve">Roofs, Metal Overhangs, Remaining </t>
    </r>
    <r>
      <rPr>
        <sz val="14"/>
        <color rgb="FFFF0000"/>
        <rFont val="Arial Narrow"/>
        <family val="2"/>
      </rPr>
      <t>(BLDG 16, 17 &amp; 18)</t>
    </r>
  </si>
  <si>
    <r>
      <t xml:space="preserve">Walls, Concrete, Capital Repairs </t>
    </r>
    <r>
      <rPr>
        <sz val="14"/>
        <color rgb="FFFF0000"/>
        <rFont val="Arial Narrow"/>
        <family val="2"/>
      </rPr>
      <t>(ELIMINATE/REVIEW)</t>
    </r>
  </si>
  <si>
    <r>
      <t>Decks, Composite, Oceanside</t>
    </r>
    <r>
      <rPr>
        <sz val="14"/>
        <color rgb="FFFF0000"/>
        <rFont val="Arial Narrow"/>
        <family val="2"/>
      </rPr>
      <t xml:space="preserve"> (TREX installed 2019, review life)</t>
    </r>
  </si>
  <si>
    <r>
      <t>Power Pedestals, Dock</t>
    </r>
    <r>
      <rPr>
        <sz val="14"/>
        <color rgb="FFFF0000"/>
        <rFont val="Arial Narrow"/>
        <family val="2"/>
      </rPr>
      <t xml:space="preserve"> ( Review for updated code)</t>
    </r>
  </si>
  <si>
    <r>
      <t>Rest Rooms, Renovations</t>
    </r>
    <r>
      <rPr>
        <sz val="14"/>
        <color rgb="FFFF0000"/>
        <rFont val="Arial Narrow"/>
        <family val="2"/>
      </rPr>
      <t xml:space="preserve"> (Architect analysis)</t>
    </r>
  </si>
  <si>
    <r>
      <t xml:space="preserve">Roof, Composite </t>
    </r>
    <r>
      <rPr>
        <sz val="14"/>
        <color rgb="FFFF0000"/>
        <rFont val="Arial Narrow"/>
        <family val="2"/>
      </rPr>
      <t>(Review timing and pricing)</t>
    </r>
  </si>
  <si>
    <r>
      <t xml:space="preserve">Mechanical Equipment, Phased (Incl. Heaters) </t>
    </r>
    <r>
      <rPr>
        <sz val="14"/>
        <color rgb="FFFF0000"/>
        <rFont val="Arial Narrow"/>
        <family val="2"/>
      </rPr>
      <t>(Sean to review recent cost and life expectancy)</t>
    </r>
  </si>
  <si>
    <r>
      <t xml:space="preserve">Structure, Total Replacement </t>
    </r>
    <r>
      <rPr>
        <sz val="14"/>
        <color rgb="FFFF0000"/>
        <rFont val="Arial Narrow"/>
        <family val="2"/>
      </rPr>
      <t>(Review with Reserve Advisors)</t>
    </r>
  </si>
  <si>
    <t>RESERVE ACCOUNT FUNDING:</t>
  </si>
  <si>
    <t>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</si>
</sst>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7" formatCode="&quot;$&quot;#,##0.00_);\(&quot;$&quot;#,##0.00\)"/>
    <numFmt numFmtId="43" formatCode="_(* #,##0.00_);_(* \(#,##0.00\);_(* &quot;-&quot;??_);_(@_)"/>
    <numFmt numFmtId="164" formatCode="0.0%"/>
    <numFmt numFmtId="165" formatCode=";;;"/>
    <numFmt numFmtId="166" formatCode="[$$-409]#,##0_);[Red]\([$$-409]#,##0\)"/>
    <numFmt numFmtId="167" formatCode="&quot;RUL = &quot;0"/>
    <numFmt numFmtId="168" formatCode="&quot;FY&quot;0"/>
    <numFmt numFmtId="169" formatCode="0.000"/>
    <numFmt numFmtId="170" formatCode="#,###"/>
    <numFmt numFmtId="171" formatCode="_(* #,##0_);_(* \(#,##0\);_(* &quot;-&quot;??_);_(@_)"/>
    <numFmt numFmtId="172" formatCode="&quot;FY&quot;0000"/>
    <numFmt numFmtId="173" formatCode="0;[Red]\-0"/>
    <numFmt numFmtId="174" formatCode="0_);[Red]\(0\)"/>
    <numFmt numFmtId="175" formatCode="#,##0;[Red]\-#,##0"/>
  </numFmts>
  <fonts count="57" x14ac:knownFonts="1">
    <font>
      <sz val="12"/>
      <color theme="1"/>
      <name val="Calibri"/>
      <family val="2"/>
      <scheme val="minor"/>
    </font>
    <font>
      <sz val="11"/>
      <color theme="1"/>
      <name val="Calibri"/>
      <family val="2"/>
      <scheme val="minor"/>
    </font>
    <font>
      <sz val="14"/>
      <name val="Arial Narrow"/>
      <family val="2"/>
    </font>
    <font>
      <sz val="12"/>
      <name val="Arial"/>
      <family val="2"/>
    </font>
    <font>
      <b/>
      <u/>
      <sz val="24"/>
      <name val="Arial"/>
      <family val="2"/>
    </font>
    <font>
      <sz val="10"/>
      <name val="Arial"/>
      <family val="2"/>
    </font>
    <font>
      <sz val="11"/>
      <color rgb="FF000000"/>
      <name val="Arial Narrow"/>
      <family val="2"/>
    </font>
    <font>
      <u/>
      <sz val="12"/>
      <name val="Arial"/>
      <family val="2"/>
    </font>
    <font>
      <sz val="14"/>
      <name val="Arial"/>
      <family val="2"/>
    </font>
    <font>
      <b/>
      <u/>
      <sz val="14"/>
      <name val="Arial"/>
      <family val="2"/>
    </font>
    <font>
      <b/>
      <sz val="12"/>
      <name val="Arial"/>
      <family val="2"/>
    </font>
    <font>
      <sz val="12"/>
      <name val="Arial Narrow"/>
      <family val="2"/>
    </font>
    <font>
      <b/>
      <sz val="16"/>
      <name val="Arial Narrow"/>
      <family val="2"/>
    </font>
    <font>
      <sz val="11"/>
      <name val="Arial"/>
      <family val="2"/>
    </font>
    <font>
      <sz val="11"/>
      <name val="Arial Narrow"/>
      <family val="2"/>
    </font>
    <font>
      <b/>
      <sz val="14"/>
      <name val="Arial"/>
      <family val="2"/>
    </font>
    <font>
      <b/>
      <sz val="14"/>
      <color rgb="FF0000FF"/>
      <name val="Arial"/>
      <family val="2"/>
    </font>
    <font>
      <b/>
      <i/>
      <u/>
      <sz val="16"/>
      <color rgb="FF000000"/>
      <name val="Arial"/>
      <family val="2"/>
    </font>
    <font>
      <sz val="14"/>
      <color rgb="FF000000"/>
      <name val="Arial Narrow"/>
      <family val="2"/>
    </font>
    <font>
      <b/>
      <sz val="18"/>
      <name val="Arial Narrow"/>
      <family val="2"/>
    </font>
    <font>
      <sz val="10"/>
      <name val="Arial Narrow"/>
      <family val="2"/>
    </font>
    <font>
      <b/>
      <u/>
      <sz val="14"/>
      <color rgb="FFFF0000"/>
      <name val="Arial"/>
      <family val="2"/>
    </font>
    <font>
      <sz val="12"/>
      <color rgb="FF000000"/>
      <name val="Arial"/>
      <family val="2"/>
    </font>
    <font>
      <b/>
      <sz val="14"/>
      <name val="Arial Narrow"/>
      <family val="2"/>
    </font>
    <font>
      <b/>
      <sz val="14"/>
      <color theme="1"/>
      <name val="Arial Narrow"/>
      <family val="2"/>
    </font>
    <font>
      <b/>
      <sz val="14"/>
      <color rgb="FF0000FF"/>
      <name val="Arial Narrow"/>
      <family val="2"/>
    </font>
    <font>
      <b/>
      <sz val="14"/>
      <color rgb="FF000000"/>
      <name val="Arial Narrow"/>
      <family val="2"/>
    </font>
    <font>
      <sz val="14"/>
      <color theme="1"/>
      <name val="Arial Narrow"/>
      <family val="2"/>
    </font>
    <font>
      <b/>
      <u/>
      <sz val="14"/>
      <color theme="1"/>
      <name val="Arial Narrow"/>
      <family val="2"/>
    </font>
    <font>
      <sz val="11"/>
      <name val="Calibri"/>
      <family val="2"/>
      <scheme val="minor"/>
    </font>
    <font>
      <sz val="18"/>
      <color rgb="FFFF0000"/>
      <name val="Calibri"/>
      <family val="2"/>
      <scheme val="minor"/>
    </font>
    <font>
      <sz val="14"/>
      <color theme="1"/>
      <name val="Arial"/>
      <family val="2"/>
    </font>
    <font>
      <b/>
      <sz val="10"/>
      <color rgb="FF000000"/>
      <name val="Tahoma"/>
      <family val="2"/>
    </font>
    <font>
      <sz val="10"/>
      <color rgb="FF000000"/>
      <name val="Tahoma"/>
      <family val="2"/>
    </font>
    <font>
      <sz val="11"/>
      <color rgb="FFFF0000"/>
      <name val="Calibri"/>
      <family val="2"/>
      <scheme val="minor"/>
    </font>
    <font>
      <u val="singleAccounting"/>
      <sz val="12"/>
      <color theme="1"/>
      <name val="Calibri"/>
      <family val="2"/>
      <scheme val="minor"/>
    </font>
    <font>
      <u/>
      <sz val="12"/>
      <color theme="1"/>
      <name val="Calibri"/>
      <family val="2"/>
      <scheme val="minor"/>
    </font>
    <font>
      <sz val="14"/>
      <color rgb="FFFF0000"/>
      <name val="Arial Narrow"/>
      <family val="2"/>
    </font>
    <font>
      <sz val="14"/>
      <color rgb="FFC00000"/>
      <name val="Arial Narrow"/>
      <family val="2"/>
    </font>
    <font>
      <sz val="14"/>
      <color theme="1"/>
      <name val="Calibri"/>
      <family val="2"/>
      <scheme val="minor"/>
    </font>
    <font>
      <sz val="14"/>
      <color rgb="FFFF0000"/>
      <name val="Calibri"/>
      <family val="2"/>
      <scheme val="minor"/>
    </font>
    <font>
      <sz val="8"/>
      <name val="Calibri"/>
      <family val="2"/>
      <scheme val="minor"/>
    </font>
    <font>
      <sz val="24"/>
      <name val="Arial"/>
      <family val="2"/>
    </font>
    <font>
      <sz val="20"/>
      <color rgb="FF0000FF"/>
      <name val="Arial"/>
      <family val="2"/>
    </font>
    <font>
      <sz val="12"/>
      <color rgb="FFFF0000"/>
      <name val="Arial"/>
      <family val="2"/>
    </font>
    <font>
      <u/>
      <sz val="14"/>
      <name val="Arial Narrow"/>
      <family val="2"/>
    </font>
    <font>
      <b/>
      <i/>
      <sz val="14"/>
      <color rgb="FF310FFD"/>
      <name val="Arial Narrow"/>
      <family val="2"/>
    </font>
    <font>
      <u val="double"/>
      <sz val="14"/>
      <name val="Arial Narrow"/>
      <family val="2"/>
    </font>
    <font>
      <b/>
      <i/>
      <sz val="13"/>
      <color rgb="FF310FFD"/>
      <name val="Arial Narrow"/>
      <family val="2"/>
    </font>
    <font>
      <sz val="9"/>
      <name val="Arial"/>
      <family val="2"/>
    </font>
    <font>
      <b/>
      <u/>
      <sz val="14"/>
      <name val="Arial Narrow"/>
      <family val="2"/>
    </font>
    <font>
      <b/>
      <sz val="14"/>
      <color rgb="FF310FFD"/>
      <name val="Arial Narrow"/>
      <family val="2"/>
    </font>
    <font>
      <b/>
      <sz val="18"/>
      <color theme="1"/>
      <name val="Calibri"/>
      <family val="2"/>
      <scheme val="minor"/>
    </font>
    <font>
      <b/>
      <sz val="10"/>
      <color rgb="FF000000"/>
      <name val="Calibri"/>
      <family val="2"/>
    </font>
    <font>
      <sz val="10"/>
      <color rgb="FF000000"/>
      <name val="Calibri"/>
      <family val="2"/>
    </font>
    <font>
      <b/>
      <sz val="12"/>
      <color theme="1"/>
      <name val="Calibri"/>
      <family val="2"/>
      <scheme val="minor"/>
    </font>
    <font>
      <b/>
      <sz val="14"/>
      <color rgb="FFFF0000"/>
      <name val="Arial"/>
      <family val="2"/>
    </font>
  </fonts>
  <fills count="11">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0F0F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CCFFCC"/>
        <bgColor indexed="64"/>
      </patternFill>
    </fill>
    <fill>
      <patternFill patternType="solid">
        <fgColor rgb="FFFFFFFF"/>
        <bgColor rgb="FF000000"/>
      </patternFill>
    </fill>
    <fill>
      <patternFill patternType="solid">
        <fgColor rgb="FFCCFFCC"/>
        <bgColor rgb="FFFFFFFF"/>
      </patternFill>
    </fill>
    <fill>
      <patternFill patternType="solid">
        <fgColor rgb="FFFFC000"/>
        <bgColor indexed="64"/>
      </patternFill>
    </fill>
  </fills>
  <borders count="37">
    <border>
      <left/>
      <right/>
      <top/>
      <bottom/>
      <diagonal/>
    </border>
    <border>
      <left/>
      <right/>
      <top style="thin">
        <color rgb="FF000000"/>
      </top>
      <bottom/>
      <diagonal/>
    </border>
    <border>
      <left/>
      <right/>
      <top/>
      <bottom style="thin">
        <color indexed="64"/>
      </bottom>
      <diagonal/>
    </border>
    <border>
      <left/>
      <right/>
      <top/>
      <bottom style="thin">
        <color rgb="FF000000"/>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right/>
      <top style="medium">
        <color rgb="FF000000"/>
      </top>
      <bottom style="thin">
        <color indexed="64"/>
      </bottom>
      <diagonal/>
    </border>
    <border>
      <left/>
      <right/>
      <top style="thin">
        <color indexed="64"/>
      </top>
      <bottom style="thin">
        <color rgb="FF000000"/>
      </bottom>
      <diagonal/>
    </border>
    <border>
      <left style="thick">
        <color rgb="FF006600"/>
      </left>
      <right style="thin">
        <color indexed="64"/>
      </right>
      <top style="thick">
        <color rgb="FF006600"/>
      </top>
      <bottom style="thin">
        <color indexed="64"/>
      </bottom>
      <diagonal/>
    </border>
    <border>
      <left style="thin">
        <color indexed="64"/>
      </left>
      <right style="thin">
        <color indexed="64"/>
      </right>
      <top style="thick">
        <color rgb="FF006600"/>
      </top>
      <bottom style="thin">
        <color indexed="64"/>
      </bottom>
      <diagonal/>
    </border>
    <border>
      <left style="thin">
        <color indexed="64"/>
      </left>
      <right style="thick">
        <color rgb="FF006600"/>
      </right>
      <top style="thick">
        <color rgb="FF006600"/>
      </top>
      <bottom style="thin">
        <color indexed="64"/>
      </bottom>
      <diagonal/>
    </border>
    <border>
      <left style="thick">
        <color rgb="FF0066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6600"/>
      </right>
      <top style="thin">
        <color indexed="64"/>
      </top>
      <bottom style="thin">
        <color indexed="64"/>
      </bottom>
      <diagonal/>
    </border>
    <border>
      <left style="thick">
        <color rgb="FF006600"/>
      </left>
      <right style="thin">
        <color indexed="64"/>
      </right>
      <top style="thin">
        <color indexed="64"/>
      </top>
      <bottom style="thick">
        <color rgb="FF006600"/>
      </bottom>
      <diagonal/>
    </border>
    <border>
      <left style="thin">
        <color indexed="64"/>
      </left>
      <right style="thin">
        <color indexed="64"/>
      </right>
      <top style="thin">
        <color indexed="64"/>
      </top>
      <bottom style="thick">
        <color rgb="FF006600"/>
      </bottom>
      <diagonal/>
    </border>
    <border>
      <left style="thin">
        <color indexed="64"/>
      </left>
      <right style="thick">
        <color rgb="FF006600"/>
      </right>
      <top style="thin">
        <color indexed="64"/>
      </top>
      <bottom style="thick">
        <color rgb="FF006600"/>
      </bottom>
      <diagonal/>
    </border>
  </borders>
  <cellStyleXfs count="5">
    <xf numFmtId="0" fontId="0" fillId="0" borderId="0"/>
    <xf numFmtId="43" fontId="5" fillId="0" borderId="0" applyFont="0" applyFill="0" applyBorder="0" applyAlignment="0" applyProtection="0"/>
    <xf numFmtId="0" fontId="1" fillId="0" borderId="0"/>
    <xf numFmtId="9" fontId="1" fillId="0" borderId="0" applyFont="0" applyFill="0" applyBorder="0" applyAlignment="0" applyProtection="0"/>
    <xf numFmtId="0" fontId="5" fillId="0" borderId="0"/>
  </cellStyleXfs>
  <cellXfs count="355">
    <xf numFmtId="0" fontId="0" fillId="0" borderId="0" xfId="0"/>
    <xf numFmtId="0" fontId="1" fillId="0" borderId="0" xfId="2"/>
    <xf numFmtId="0" fontId="2" fillId="0" borderId="0" xfId="2" applyFont="1"/>
    <xf numFmtId="0" fontId="3" fillId="0" borderId="0" xfId="2" applyFont="1"/>
    <xf numFmtId="0" fontId="4" fillId="0" borderId="0" xfId="2" applyFont="1" applyAlignment="1">
      <alignment horizontal="center"/>
    </xf>
    <xf numFmtId="0" fontId="5" fillId="0" borderId="0" xfId="2" applyFont="1" applyAlignment="1">
      <alignment horizontal="left"/>
    </xf>
    <xf numFmtId="0" fontId="6" fillId="0" borderId="0" xfId="2" applyFont="1" applyAlignment="1">
      <alignment horizontal="center"/>
    </xf>
    <xf numFmtId="0" fontId="7" fillId="0" borderId="0" xfId="2" applyFont="1" applyAlignment="1">
      <alignment horizontal="centerContinuous"/>
    </xf>
    <xf numFmtId="0" fontId="8" fillId="0" borderId="0" xfId="2" applyFont="1"/>
    <xf numFmtId="0" fontId="9" fillId="0" borderId="0" xfId="2" applyFont="1"/>
    <xf numFmtId="0" fontId="10" fillId="0" borderId="0" xfId="2" applyFont="1"/>
    <xf numFmtId="0" fontId="2" fillId="0" borderId="0" xfId="2" applyFont="1" applyAlignment="1">
      <alignment horizontal="centerContinuous" vertical="center"/>
    </xf>
    <xf numFmtId="0" fontId="11" fillId="0" borderId="0" xfId="2" applyFont="1" applyAlignment="1">
      <alignment horizontal="centerContinuous" vertical="center"/>
    </xf>
    <xf numFmtId="0" fontId="2" fillId="0" borderId="0" xfId="2" applyFont="1" applyAlignment="1" applyProtection="1">
      <alignment horizontal="centerContinuous" vertical="center"/>
      <protection hidden="1"/>
    </xf>
    <xf numFmtId="0" fontId="12" fillId="0" borderId="0" xfId="2" applyFont="1" applyAlignment="1">
      <alignment horizontal="center" vertical="center"/>
    </xf>
    <xf numFmtId="0" fontId="13" fillId="0" borderId="0" xfId="2" applyFont="1" applyAlignment="1" applyProtection="1">
      <alignment horizontal="center"/>
      <protection locked="0"/>
    </xf>
    <xf numFmtId="0" fontId="13" fillId="0" borderId="0" xfId="2" applyFont="1" applyAlignment="1">
      <alignment horizontal="center"/>
    </xf>
    <xf numFmtId="0" fontId="14" fillId="0" borderId="0" xfId="2" applyFont="1" applyAlignment="1">
      <alignment horizontal="center" vertical="center"/>
    </xf>
    <xf numFmtId="0" fontId="14" fillId="0" borderId="0" xfId="2" applyFont="1" applyAlignment="1">
      <alignment horizontal="center"/>
    </xf>
    <xf numFmtId="0" fontId="15" fillId="0" borderId="0" xfId="2" applyFont="1" applyAlignment="1">
      <alignment horizontal="right"/>
    </xf>
    <xf numFmtId="164" fontId="16" fillId="0" borderId="0" xfId="2" applyNumberFormat="1" applyFont="1" applyAlignment="1">
      <alignment horizontal="center"/>
    </xf>
    <xf numFmtId="0" fontId="15" fillId="0" borderId="0" xfId="2" applyFont="1"/>
    <xf numFmtId="0" fontId="2" fillId="0" borderId="0" xfId="2" applyFont="1" applyProtection="1">
      <protection hidden="1"/>
    </xf>
    <xf numFmtId="0" fontId="17" fillId="0" borderId="0" xfId="2" applyFont="1" applyAlignment="1">
      <alignment horizontal="centerContinuous"/>
    </xf>
    <xf numFmtId="0" fontId="18" fillId="0" borderId="0" xfId="2" applyFont="1" applyAlignment="1">
      <alignment horizontal="centerContinuous"/>
    </xf>
    <xf numFmtId="0" fontId="2" fillId="0" borderId="0" xfId="2" applyFont="1" applyAlignment="1">
      <alignment horizontal="left" vertical="top"/>
    </xf>
    <xf numFmtId="0" fontId="19" fillId="0" borderId="0" xfId="2" applyFont="1" applyAlignment="1">
      <alignment horizontal="center" vertical="center"/>
    </xf>
    <xf numFmtId="0" fontId="5" fillId="0" borderId="0" xfId="2" applyFont="1" applyAlignment="1">
      <alignment horizontal="center"/>
    </xf>
    <xf numFmtId="0" fontId="20" fillId="0" borderId="0" xfId="2" applyFont="1" applyAlignment="1">
      <alignment horizontal="center" vertical="center"/>
    </xf>
    <xf numFmtId="0" fontId="20" fillId="0" borderId="0" xfId="2" applyFont="1" applyAlignment="1">
      <alignment horizontal="center"/>
    </xf>
    <xf numFmtId="0" fontId="15" fillId="0" borderId="0" xfId="2" applyFont="1" applyAlignment="1">
      <alignment horizontal="left"/>
    </xf>
    <xf numFmtId="0" fontId="18" fillId="0" borderId="0" xfId="2" applyFont="1"/>
    <xf numFmtId="0" fontId="3" fillId="0" borderId="0" xfId="2" applyFont="1" applyProtection="1">
      <protection locked="0"/>
    </xf>
    <xf numFmtId="0" fontId="21" fillId="0" borderId="0" xfId="2" applyFont="1"/>
    <xf numFmtId="0" fontId="22" fillId="0" borderId="0" xfId="2" applyFont="1"/>
    <xf numFmtId="0" fontId="23" fillId="0" borderId="0" xfId="2" applyFont="1" applyAlignment="1">
      <alignment horizontal="center" vertical="center"/>
    </xf>
    <xf numFmtId="0" fontId="11" fillId="0" borderId="0" xfId="2" applyFont="1" applyAlignment="1">
      <alignment horizontal="left" vertical="top"/>
    </xf>
    <xf numFmtId="0" fontId="23" fillId="0" borderId="0" xfId="2" applyFont="1"/>
    <xf numFmtId="0" fontId="24" fillId="0" borderId="0" xfId="2" applyFont="1" applyAlignment="1">
      <alignment horizontal="center"/>
    </xf>
    <xf numFmtId="0" fontId="23" fillId="0" borderId="0" xfId="2" applyFont="1" applyAlignment="1">
      <alignment horizontal="center"/>
    </xf>
    <xf numFmtId="0" fontId="23" fillId="0" borderId="0" xfId="2" applyFont="1" applyAlignment="1" applyProtection="1">
      <alignment horizontal="center" vertical="center"/>
      <protection hidden="1"/>
    </xf>
    <xf numFmtId="0" fontId="23" fillId="0" borderId="1" xfId="2" applyFont="1" applyBorder="1" applyAlignment="1">
      <alignment horizontal="center" vertical="center"/>
    </xf>
    <xf numFmtId="0" fontId="23" fillId="0" borderId="2" xfId="2" applyFont="1" applyBorder="1" applyAlignment="1">
      <alignment horizontal="center" vertical="center" wrapText="1"/>
    </xf>
    <xf numFmtId="0" fontId="23" fillId="0" borderId="0" xfId="2" applyFont="1" applyAlignment="1">
      <alignment horizontal="center" vertical="center" wrapText="1"/>
    </xf>
    <xf numFmtId="165" fontId="23" fillId="0" borderId="0" xfId="2" applyNumberFormat="1" applyFont="1" applyAlignment="1">
      <alignment horizontal="center"/>
    </xf>
    <xf numFmtId="10" fontId="25" fillId="0" borderId="0" xfId="3" applyNumberFormat="1" applyFont="1" applyFill="1" applyBorder="1" applyAlignment="1">
      <alignment horizontal="center"/>
    </xf>
    <xf numFmtId="10" fontId="24" fillId="0" borderId="0" xfId="2" applyNumberFormat="1" applyFont="1"/>
    <xf numFmtId="166" fontId="23" fillId="0" borderId="0" xfId="2" applyNumberFormat="1" applyFont="1" applyAlignment="1">
      <alignment horizontal="center"/>
    </xf>
    <xf numFmtId="3" fontId="23" fillId="0" borderId="0" xfId="2" applyNumberFormat="1" applyFont="1" applyAlignment="1">
      <alignment horizontal="center" shrinkToFit="1"/>
    </xf>
    <xf numFmtId="0" fontId="23" fillId="0" borderId="0" xfId="2" applyFont="1" applyAlignment="1">
      <alignment horizontal="center" shrinkToFit="1"/>
    </xf>
    <xf numFmtId="0" fontId="23" fillId="0" borderId="0" xfId="2" applyFont="1" applyAlignment="1">
      <alignment horizontal="center" vertical="center" shrinkToFit="1"/>
    </xf>
    <xf numFmtId="166" fontId="23" fillId="0" borderId="0" xfId="2" applyNumberFormat="1" applyFont="1" applyAlignment="1">
      <alignment horizontal="center" vertical="center" shrinkToFit="1"/>
    </xf>
    <xf numFmtId="166" fontId="23" fillId="0" borderId="0" xfId="2" applyNumberFormat="1" applyFont="1" applyAlignment="1">
      <alignment horizontal="center" vertical="center"/>
    </xf>
    <xf numFmtId="167" fontId="23" fillId="0" borderId="0" xfId="2" applyNumberFormat="1" applyFont="1" applyAlignment="1">
      <alignment horizontal="center"/>
    </xf>
    <xf numFmtId="1" fontId="23" fillId="0" borderId="0" xfId="2" applyNumberFormat="1" applyFont="1" applyAlignment="1">
      <alignment horizontal="center"/>
    </xf>
    <xf numFmtId="1" fontId="26" fillId="0" borderId="0" xfId="2" applyNumberFormat="1" applyFont="1" applyAlignment="1">
      <alignment horizontal="center"/>
    </xf>
    <xf numFmtId="0" fontId="24" fillId="0" borderId="0" xfId="2" applyFont="1"/>
    <xf numFmtId="168" fontId="23" fillId="0" borderId="0" xfId="2" applyNumberFormat="1" applyFont="1" applyAlignment="1">
      <alignment horizontal="center"/>
    </xf>
    <xf numFmtId="0" fontId="27" fillId="0" borderId="0" xfId="2" applyFont="1" applyAlignment="1">
      <alignment horizontal="fill"/>
    </xf>
    <xf numFmtId="0" fontId="2" fillId="0" borderId="0" xfId="2" applyFont="1" applyAlignment="1">
      <alignment horizontal="fill" vertical="center"/>
    </xf>
    <xf numFmtId="9" fontId="2" fillId="0" borderId="0" xfId="2" applyNumberFormat="1" applyFont="1" applyAlignment="1">
      <alignment horizontal="fill" vertical="center"/>
    </xf>
    <xf numFmtId="0" fontId="27" fillId="0" borderId="0" xfId="2" applyFont="1"/>
    <xf numFmtId="0" fontId="27" fillId="0" borderId="0" xfId="2" applyFont="1" applyAlignment="1">
      <alignment horizontal="center"/>
    </xf>
    <xf numFmtId="10" fontId="27" fillId="0" borderId="0" xfId="2" applyNumberFormat="1" applyFont="1" applyAlignment="1">
      <alignment horizontal="center"/>
    </xf>
    <xf numFmtId="3" fontId="27" fillId="0" borderId="0" xfId="2" applyNumberFormat="1" applyFont="1" applyAlignment="1">
      <alignment horizontal="center"/>
    </xf>
    <xf numFmtId="1" fontId="27" fillId="0" borderId="0" xfId="2" applyNumberFormat="1" applyFont="1" applyAlignment="1">
      <alignment horizontal="center"/>
    </xf>
    <xf numFmtId="2" fontId="27" fillId="0" borderId="0" xfId="2" applyNumberFormat="1" applyFont="1" applyAlignment="1">
      <alignment horizontal="center"/>
    </xf>
    <xf numFmtId="169" fontId="27" fillId="0" borderId="0" xfId="2" applyNumberFormat="1" applyFont="1"/>
    <xf numFmtId="3" fontId="27" fillId="0" borderId="0" xfId="2" applyNumberFormat="1" applyFont="1"/>
    <xf numFmtId="0" fontId="28" fillId="0" borderId="0" xfId="2" applyFont="1" applyAlignment="1">
      <alignment horizontal="center"/>
    </xf>
    <xf numFmtId="4" fontId="27" fillId="0" borderId="0" xfId="2" applyNumberFormat="1" applyFont="1"/>
    <xf numFmtId="9" fontId="27" fillId="0" borderId="0" xfId="2" applyNumberFormat="1" applyFont="1" applyAlignment="1">
      <alignment horizontal="center"/>
    </xf>
    <xf numFmtId="164" fontId="27" fillId="0" borderId="0" xfId="2" applyNumberFormat="1" applyFont="1"/>
    <xf numFmtId="170" fontId="27" fillId="0" borderId="0" xfId="2" applyNumberFormat="1" applyFont="1"/>
    <xf numFmtId="3" fontId="2" fillId="0" borderId="0" xfId="2" applyNumberFormat="1" applyFont="1" applyAlignment="1">
      <alignment horizontal="center"/>
    </xf>
    <xf numFmtId="0" fontId="29" fillId="0" borderId="0" xfId="2" applyFont="1"/>
    <xf numFmtId="0" fontId="27" fillId="0" borderId="0" xfId="2" applyFont="1" applyAlignment="1">
      <alignment horizontal="fill" vertical="center"/>
    </xf>
    <xf numFmtId="0" fontId="27" fillId="0" borderId="0" xfId="2" applyFont="1" applyAlignment="1">
      <alignment vertical="center"/>
    </xf>
    <xf numFmtId="3" fontId="1" fillId="0" borderId="0" xfId="2" applyNumberFormat="1"/>
    <xf numFmtId="0" fontId="30" fillId="0" borderId="0" xfId="2" applyFont="1"/>
    <xf numFmtId="0" fontId="2" fillId="0" borderId="0" xfId="2" applyFont="1" applyAlignment="1">
      <alignment horizontal="center" vertical="center"/>
    </xf>
    <xf numFmtId="0" fontId="27" fillId="0" borderId="2" xfId="2" applyFont="1" applyBorder="1" applyAlignment="1">
      <alignment horizontal="center"/>
    </xf>
    <xf numFmtId="10" fontId="27" fillId="0" borderId="2" xfId="2" applyNumberFormat="1" applyFont="1" applyBorder="1" applyAlignment="1">
      <alignment horizontal="center"/>
    </xf>
    <xf numFmtId="3" fontId="27" fillId="0" borderId="2" xfId="2" applyNumberFormat="1" applyFont="1" applyBorder="1" applyAlignment="1">
      <alignment horizontal="center"/>
    </xf>
    <xf numFmtId="1" fontId="27" fillId="0" borderId="2" xfId="2" applyNumberFormat="1" applyFont="1" applyBorder="1" applyAlignment="1">
      <alignment horizontal="center"/>
    </xf>
    <xf numFmtId="2" fontId="27" fillId="0" borderId="2" xfId="2" applyNumberFormat="1" applyFont="1" applyBorder="1" applyAlignment="1">
      <alignment horizontal="center"/>
    </xf>
    <xf numFmtId="165" fontId="27" fillId="0" borderId="2" xfId="2" applyNumberFormat="1" applyFont="1" applyBorder="1"/>
    <xf numFmtId="3" fontId="27" fillId="0" borderId="2" xfId="2" applyNumberFormat="1" applyFont="1" applyBorder="1"/>
    <xf numFmtId="170" fontId="27" fillId="0" borderId="2" xfId="2" applyNumberFormat="1" applyFont="1" applyBorder="1"/>
    <xf numFmtId="0" fontId="27" fillId="0" borderId="2" xfId="2" applyFont="1" applyBorder="1"/>
    <xf numFmtId="4" fontId="27" fillId="0" borderId="2" xfId="2" applyNumberFormat="1" applyFont="1" applyBorder="1"/>
    <xf numFmtId="9" fontId="27" fillId="0" borderId="2" xfId="2" applyNumberFormat="1" applyFont="1" applyBorder="1" applyAlignment="1">
      <alignment horizontal="center"/>
    </xf>
    <xf numFmtId="164" fontId="27" fillId="0" borderId="2" xfId="2" applyNumberFormat="1" applyFont="1" applyBorder="1"/>
    <xf numFmtId="3" fontId="2" fillId="0" borderId="2" xfId="2" applyNumberFormat="1" applyFont="1" applyBorder="1" applyAlignment="1">
      <alignment horizontal="center"/>
    </xf>
    <xf numFmtId="0" fontId="1" fillId="0" borderId="2" xfId="2" applyBorder="1"/>
    <xf numFmtId="0" fontId="27" fillId="2" borderId="0" xfId="2" applyFont="1" applyFill="1" applyAlignment="1">
      <alignment horizontal="fill" vertical="center"/>
    </xf>
    <xf numFmtId="165" fontId="27" fillId="2" borderId="0" xfId="2" applyNumberFormat="1" applyFont="1" applyFill="1" applyAlignment="1">
      <alignment horizontal="fill" vertical="center"/>
    </xf>
    <xf numFmtId="166" fontId="27" fillId="2" borderId="0" xfId="2" applyNumberFormat="1" applyFont="1" applyFill="1" applyAlignment="1">
      <alignment horizontal="fill" vertical="center"/>
    </xf>
    <xf numFmtId="3" fontId="27" fillId="2" borderId="0" xfId="2" applyNumberFormat="1" applyFont="1" applyFill="1" applyAlignment="1">
      <alignment horizontal="fill" vertical="center"/>
    </xf>
    <xf numFmtId="3" fontId="27" fillId="3" borderId="0" xfId="2" applyNumberFormat="1" applyFont="1" applyFill="1" applyAlignment="1">
      <alignment horizontal="fill" vertical="center"/>
    </xf>
    <xf numFmtId="0" fontId="27" fillId="3" borderId="0" xfId="2" applyFont="1" applyFill="1" applyAlignment="1">
      <alignment horizontal="fill" vertical="center"/>
    </xf>
    <xf numFmtId="9" fontId="27" fillId="2" borderId="0" xfId="2" applyNumberFormat="1" applyFont="1" applyFill="1" applyAlignment="1">
      <alignment horizontal="fill" vertical="center"/>
    </xf>
    <xf numFmtId="0" fontId="27" fillId="2" borderId="0" xfId="2" applyFont="1" applyFill="1"/>
    <xf numFmtId="0" fontId="24" fillId="2" borderId="0" xfId="2" applyFont="1" applyFill="1"/>
    <xf numFmtId="3" fontId="27" fillId="3" borderId="0" xfId="2" applyNumberFormat="1" applyFont="1" applyFill="1" applyAlignment="1">
      <alignment horizontal="center"/>
    </xf>
    <xf numFmtId="3" fontId="27" fillId="2" borderId="0" xfId="2" applyNumberFormat="1" applyFont="1" applyFill="1" applyAlignment="1">
      <alignment horizontal="center"/>
    </xf>
    <xf numFmtId="171" fontId="27" fillId="2" borderId="0" xfId="1" applyNumberFormat="1" applyFont="1" applyFill="1" applyAlignment="1">
      <alignment horizontal="center"/>
    </xf>
    <xf numFmtId="171" fontId="27" fillId="4" borderId="0" xfId="1" applyNumberFormat="1" applyFont="1" applyFill="1" applyAlignment="1">
      <alignment horizontal="center"/>
    </xf>
    <xf numFmtId="171" fontId="27" fillId="2" borderId="0" xfId="1" applyNumberFormat="1" applyFont="1" applyFill="1"/>
    <xf numFmtId="171" fontId="1" fillId="0" borderId="0" xfId="1" applyNumberFormat="1" applyFont="1"/>
    <xf numFmtId="171" fontId="27" fillId="2" borderId="2" xfId="1" applyNumberFormat="1" applyFont="1" applyFill="1" applyBorder="1" applyAlignment="1">
      <alignment horizontal="center"/>
    </xf>
    <xf numFmtId="171" fontId="27" fillId="0" borderId="2" xfId="1" applyNumberFormat="1" applyFont="1" applyFill="1" applyBorder="1" applyAlignment="1">
      <alignment horizontal="center"/>
    </xf>
    <xf numFmtId="171" fontId="34" fillId="0" borderId="0" xfId="1" applyNumberFormat="1" applyFont="1"/>
    <xf numFmtId="171" fontId="27" fillId="5" borderId="4" xfId="1" applyNumberFormat="1" applyFont="1" applyFill="1" applyBorder="1" applyAlignment="1">
      <alignment horizontal="center"/>
    </xf>
    <xf numFmtId="171" fontId="1" fillId="3" borderId="0" xfId="1" applyNumberFormat="1" applyFont="1" applyFill="1"/>
    <xf numFmtId="171" fontId="27" fillId="2" borderId="5" xfId="1" applyNumberFormat="1" applyFont="1" applyFill="1" applyBorder="1" applyAlignment="1">
      <alignment horizontal="center"/>
    </xf>
    <xf numFmtId="0" fontId="27" fillId="2" borderId="0" xfId="2" applyFont="1" applyFill="1" applyAlignment="1">
      <alignment horizontal="center"/>
    </xf>
    <xf numFmtId="10" fontId="27" fillId="4" borderId="0" xfId="2" applyNumberFormat="1" applyFont="1" applyFill="1" applyAlignment="1">
      <alignment horizontal="center"/>
    </xf>
    <xf numFmtId="3" fontId="27" fillId="4" borderId="0" xfId="2" applyNumberFormat="1" applyFont="1" applyFill="1" applyAlignment="1">
      <alignment horizontal="center"/>
    </xf>
    <xf numFmtId="0" fontId="27" fillId="4" borderId="0" xfId="2" applyFont="1" applyFill="1" applyAlignment="1">
      <alignment horizontal="center"/>
    </xf>
    <xf numFmtId="1" fontId="27" fillId="4" borderId="0" xfId="2" applyNumberFormat="1" applyFont="1" applyFill="1" applyAlignment="1">
      <alignment horizontal="center"/>
    </xf>
    <xf numFmtId="2" fontId="27" fillId="2" borderId="0" xfId="2" applyNumberFormat="1" applyFont="1" applyFill="1" applyAlignment="1">
      <alignment horizontal="center"/>
    </xf>
    <xf numFmtId="169" fontId="27" fillId="2" borderId="0" xfId="2" applyNumberFormat="1" applyFont="1" applyFill="1"/>
    <xf numFmtId="3" fontId="27" fillId="2" borderId="0" xfId="2" applyNumberFormat="1" applyFont="1" applyFill="1"/>
    <xf numFmtId="170" fontId="27" fillId="2" borderId="0" xfId="2" applyNumberFormat="1" applyFont="1" applyFill="1"/>
    <xf numFmtId="1" fontId="27" fillId="2" borderId="0" xfId="2" applyNumberFormat="1" applyFont="1" applyFill="1" applyAlignment="1">
      <alignment horizontal="center"/>
    </xf>
    <xf numFmtId="4" fontId="27" fillId="2" borderId="0" xfId="2" applyNumberFormat="1" applyFont="1" applyFill="1"/>
    <xf numFmtId="9" fontId="27" fillId="2" borderId="0" xfId="2" applyNumberFormat="1" applyFont="1" applyFill="1" applyAlignment="1">
      <alignment horizontal="center"/>
    </xf>
    <xf numFmtId="164" fontId="27" fillId="2" borderId="0" xfId="2" applyNumberFormat="1" applyFont="1" applyFill="1"/>
    <xf numFmtId="0" fontId="27" fillId="2" borderId="14" xfId="2" applyFont="1" applyFill="1" applyBorder="1"/>
    <xf numFmtId="0" fontId="27" fillId="2" borderId="15" xfId="2" applyFont="1" applyFill="1" applyBorder="1" applyAlignment="1">
      <alignment horizontal="center"/>
    </xf>
    <xf numFmtId="1" fontId="27" fillId="2" borderId="15" xfId="2" applyNumberFormat="1" applyFont="1" applyFill="1" applyBorder="1" applyAlignment="1">
      <alignment horizontal="center"/>
    </xf>
    <xf numFmtId="4" fontId="27" fillId="2" borderId="15" xfId="2" applyNumberFormat="1" applyFont="1" applyFill="1" applyBorder="1"/>
    <xf numFmtId="9" fontId="27" fillId="2" borderId="15" xfId="2" applyNumberFormat="1" applyFont="1" applyFill="1" applyBorder="1" applyAlignment="1">
      <alignment horizontal="center"/>
    </xf>
    <xf numFmtId="170" fontId="27" fillId="2" borderId="15" xfId="2" applyNumberFormat="1" applyFont="1" applyFill="1" applyBorder="1"/>
    <xf numFmtId="3" fontId="27" fillId="2" borderId="15" xfId="2" applyNumberFormat="1" applyFont="1" applyFill="1" applyBorder="1"/>
    <xf numFmtId="164" fontId="27" fillId="2" borderId="15" xfId="2" applyNumberFormat="1" applyFont="1" applyFill="1" applyBorder="1"/>
    <xf numFmtId="3" fontId="27" fillId="2" borderId="15" xfId="2" applyNumberFormat="1" applyFont="1" applyFill="1" applyBorder="1" applyAlignment="1">
      <alignment horizontal="center"/>
    </xf>
    <xf numFmtId="171" fontId="1" fillId="0" borderId="16" xfId="1" applyNumberFormat="1" applyFont="1" applyBorder="1"/>
    <xf numFmtId="0" fontId="27" fillId="2" borderId="17" xfId="2" applyFont="1" applyFill="1" applyBorder="1"/>
    <xf numFmtId="0" fontId="1" fillId="0" borderId="18" xfId="2" applyBorder="1"/>
    <xf numFmtId="171" fontId="31" fillId="0" borderId="0" xfId="2" applyNumberFormat="1" applyFont="1"/>
    <xf numFmtId="171" fontId="31" fillId="0" borderId="18" xfId="2" applyNumberFormat="1" applyFont="1" applyBorder="1"/>
    <xf numFmtId="0" fontId="1" fillId="0" borderId="17" xfId="2" applyBorder="1"/>
    <xf numFmtId="0" fontId="1" fillId="0" borderId="19" xfId="2" applyBorder="1"/>
    <xf numFmtId="0" fontId="1" fillId="0" borderId="20" xfId="2" applyBorder="1"/>
    <xf numFmtId="171" fontId="31" fillId="6" borderId="0" xfId="1" applyNumberFormat="1" applyFont="1" applyFill="1"/>
    <xf numFmtId="171" fontId="31" fillId="6" borderId="6" xfId="1" applyNumberFormat="1" applyFont="1" applyFill="1" applyBorder="1"/>
    <xf numFmtId="171" fontId="31" fillId="6" borderId="7" xfId="1" applyNumberFormat="1" applyFont="1" applyFill="1" applyBorder="1"/>
    <xf numFmtId="171" fontId="31" fillId="6" borderId="8" xfId="1" applyNumberFormat="1" applyFont="1" applyFill="1" applyBorder="1"/>
    <xf numFmtId="171" fontId="31" fillId="6" borderId="9" xfId="1" applyNumberFormat="1" applyFont="1" applyFill="1" applyBorder="1"/>
    <xf numFmtId="171" fontId="31" fillId="6" borderId="0" xfId="1" applyNumberFormat="1" applyFont="1" applyFill="1" applyBorder="1"/>
    <xf numFmtId="171" fontId="31" fillId="6" borderId="10" xfId="1" applyNumberFormat="1" applyFont="1" applyFill="1" applyBorder="1"/>
    <xf numFmtId="171" fontId="31" fillId="6" borderId="11" xfId="1" applyNumberFormat="1" applyFont="1" applyFill="1" applyBorder="1"/>
    <xf numFmtId="171" fontId="31" fillId="6" borderId="12" xfId="1" applyNumberFormat="1" applyFont="1" applyFill="1" applyBorder="1"/>
    <xf numFmtId="171" fontId="31" fillId="6" borderId="13" xfId="1" applyNumberFormat="1" applyFont="1" applyFill="1" applyBorder="1"/>
    <xf numFmtId="171" fontId="31" fillId="6" borderId="2" xfId="1" applyNumberFormat="1" applyFont="1" applyFill="1" applyBorder="1" applyAlignment="1">
      <alignment horizontal="center"/>
    </xf>
    <xf numFmtId="171" fontId="31" fillId="6" borderId="21" xfId="1" applyNumberFormat="1" applyFont="1" applyFill="1" applyBorder="1" applyAlignment="1">
      <alignment horizontal="center"/>
    </xf>
    <xf numFmtId="0" fontId="31" fillId="6" borderId="0" xfId="2" applyFont="1" applyFill="1"/>
    <xf numFmtId="0" fontId="31" fillId="6" borderId="9" xfId="2" applyFont="1" applyFill="1" applyBorder="1"/>
    <xf numFmtId="0" fontId="31" fillId="6" borderId="10" xfId="2" applyFont="1" applyFill="1" applyBorder="1"/>
    <xf numFmtId="171" fontId="0" fillId="0" borderId="0" xfId="1" applyNumberFormat="1" applyFont="1"/>
    <xf numFmtId="171" fontId="35" fillId="0" borderId="0" xfId="1" applyNumberFormat="1" applyFont="1"/>
    <xf numFmtId="0" fontId="36" fillId="0" borderId="0" xfId="0" applyFont="1"/>
    <xf numFmtId="171" fontId="0" fillId="0" borderId="0" xfId="1" applyNumberFormat="1" applyFont="1" applyFill="1"/>
    <xf numFmtId="171" fontId="37" fillId="2" borderId="0" xfId="1" applyNumberFormat="1" applyFont="1" applyFill="1" applyAlignment="1">
      <alignment horizontal="center"/>
    </xf>
    <xf numFmtId="171" fontId="38" fillId="0" borderId="0" xfId="1" applyNumberFormat="1" applyFont="1" applyFill="1" applyAlignment="1">
      <alignment horizontal="center"/>
    </xf>
    <xf numFmtId="171" fontId="0" fillId="0" borderId="6" xfId="1" applyNumberFormat="1" applyFont="1" applyBorder="1"/>
    <xf numFmtId="171" fontId="0" fillId="0" borderId="7" xfId="1" applyNumberFormat="1" applyFont="1" applyBorder="1" applyAlignment="1">
      <alignment horizontal="right"/>
    </xf>
    <xf numFmtId="171" fontId="0" fillId="0" borderId="7" xfId="1" applyNumberFormat="1" applyFont="1" applyBorder="1"/>
    <xf numFmtId="171" fontId="0" fillId="0" borderId="8" xfId="1" applyNumberFormat="1" applyFont="1" applyBorder="1"/>
    <xf numFmtId="171" fontId="0" fillId="0" borderId="11" xfId="1" applyNumberFormat="1" applyFont="1" applyBorder="1"/>
    <xf numFmtId="171" fontId="0" fillId="0" borderId="12" xfId="1" applyNumberFormat="1" applyFont="1" applyBorder="1" applyAlignment="1">
      <alignment horizontal="right"/>
    </xf>
    <xf numFmtId="171" fontId="0" fillId="0" borderId="12" xfId="1" applyNumberFormat="1" applyFont="1" applyBorder="1"/>
    <xf numFmtId="171" fontId="0" fillId="0" borderId="13" xfId="1" applyNumberFormat="1" applyFont="1" applyBorder="1"/>
    <xf numFmtId="0" fontId="0" fillId="0" borderId="22" xfId="0" applyBorder="1"/>
    <xf numFmtId="0" fontId="0" fillId="0" borderId="23" xfId="0" applyBorder="1" applyAlignment="1">
      <alignment horizontal="right"/>
    </xf>
    <xf numFmtId="171" fontId="0" fillId="0" borderId="24" xfId="1" applyNumberFormat="1" applyFont="1" applyBorder="1"/>
    <xf numFmtId="0" fontId="39" fillId="0" borderId="14" xfId="2" applyFont="1" applyBorder="1"/>
    <xf numFmtId="0" fontId="39" fillId="0" borderId="15" xfId="2" applyFont="1" applyBorder="1"/>
    <xf numFmtId="0" fontId="39" fillId="0" borderId="17" xfId="2" applyFont="1" applyBorder="1"/>
    <xf numFmtId="0" fontId="39" fillId="0" borderId="0" xfId="2" applyFont="1"/>
    <xf numFmtId="0" fontId="39" fillId="0" borderId="19" xfId="2" applyFont="1" applyBorder="1"/>
    <xf numFmtId="0" fontId="39" fillId="0" borderId="2" xfId="2" applyFont="1" applyBorder="1"/>
    <xf numFmtId="171" fontId="39" fillId="0" borderId="15" xfId="1" applyNumberFormat="1" applyFont="1" applyBorder="1"/>
    <xf numFmtId="171" fontId="39" fillId="0" borderId="16" xfId="1" applyNumberFormat="1" applyFont="1" applyBorder="1"/>
    <xf numFmtId="171" fontId="39" fillId="0" borderId="2" xfId="1" applyNumberFormat="1" applyFont="1" applyBorder="1"/>
    <xf numFmtId="171" fontId="39" fillId="0" borderId="20" xfId="1" applyNumberFormat="1" applyFont="1" applyBorder="1"/>
    <xf numFmtId="0" fontId="37" fillId="0" borderId="0" xfId="2" applyFont="1"/>
    <xf numFmtId="3" fontId="37" fillId="0" borderId="0" xfId="2" applyNumberFormat="1" applyFont="1" applyAlignment="1">
      <alignment horizontal="center"/>
    </xf>
    <xf numFmtId="171" fontId="37" fillId="2" borderId="2" xfId="1" applyNumberFormat="1" applyFont="1" applyFill="1" applyBorder="1" applyAlignment="1">
      <alignment horizontal="center"/>
    </xf>
    <xf numFmtId="171" fontId="40" fillId="0" borderId="2" xfId="1" applyNumberFormat="1" applyFont="1" applyBorder="1"/>
    <xf numFmtId="171" fontId="40" fillId="0" borderId="15" xfId="1" applyNumberFormat="1" applyFont="1" applyBorder="1"/>
    <xf numFmtId="171" fontId="0" fillId="3" borderId="6" xfId="1" applyNumberFormat="1" applyFont="1" applyFill="1" applyBorder="1"/>
    <xf numFmtId="171" fontId="0" fillId="3" borderId="7" xfId="1" applyNumberFormat="1" applyFont="1" applyFill="1" applyBorder="1" applyAlignment="1">
      <alignment horizontal="right"/>
    </xf>
    <xf numFmtId="171" fontId="0" fillId="3" borderId="7" xfId="1" applyNumberFormat="1" applyFont="1" applyFill="1" applyBorder="1"/>
    <xf numFmtId="171" fontId="0" fillId="3" borderId="8" xfId="1" applyNumberFormat="1" applyFont="1" applyFill="1" applyBorder="1"/>
    <xf numFmtId="0" fontId="0" fillId="3" borderId="22" xfId="0" applyFill="1" applyBorder="1"/>
    <xf numFmtId="0" fontId="0" fillId="3" borderId="23" xfId="0" applyFill="1" applyBorder="1" applyAlignment="1">
      <alignment horizontal="right"/>
    </xf>
    <xf numFmtId="171" fontId="0" fillId="3" borderId="24" xfId="1" applyNumberFormat="1" applyFont="1" applyFill="1" applyBorder="1"/>
    <xf numFmtId="171" fontId="0" fillId="3" borderId="11" xfId="1" applyNumberFormat="1" applyFont="1" applyFill="1" applyBorder="1"/>
    <xf numFmtId="171" fontId="0" fillId="3" borderId="12" xfId="1" applyNumberFormat="1" applyFont="1" applyFill="1" applyBorder="1" applyAlignment="1">
      <alignment horizontal="right"/>
    </xf>
    <xf numFmtId="171" fontId="0" fillId="3" borderId="12" xfId="1" applyNumberFormat="1" applyFont="1" applyFill="1" applyBorder="1"/>
    <xf numFmtId="171" fontId="0" fillId="3" borderId="13" xfId="1" applyNumberFormat="1" applyFont="1" applyFill="1" applyBorder="1"/>
    <xf numFmtId="171" fontId="0" fillId="3" borderId="0" xfId="1" applyNumberFormat="1" applyFont="1" applyFill="1"/>
    <xf numFmtId="171" fontId="37" fillId="0" borderId="2" xfId="1" applyNumberFormat="1" applyFont="1" applyFill="1" applyBorder="1" applyAlignment="1">
      <alignment horizontal="center"/>
    </xf>
    <xf numFmtId="171" fontId="0" fillId="0" borderId="2" xfId="1" applyNumberFormat="1" applyFont="1" applyBorder="1"/>
    <xf numFmtId="1" fontId="36" fillId="0" borderId="0" xfId="0" applyNumberFormat="1" applyFont="1" applyAlignment="1">
      <alignment horizontal="center"/>
    </xf>
    <xf numFmtId="171" fontId="0" fillId="0" borderId="0" xfId="0" applyNumberFormat="1"/>
    <xf numFmtId="171" fontId="0" fillId="3" borderId="2" xfId="1" applyNumberFormat="1" applyFont="1" applyFill="1" applyBorder="1"/>
    <xf numFmtId="171" fontId="35" fillId="0" borderId="0" xfId="1" applyNumberFormat="1" applyFont="1" applyBorder="1"/>
    <xf numFmtId="0" fontId="35" fillId="0" borderId="0" xfId="0" applyFont="1"/>
    <xf numFmtId="171" fontId="35" fillId="0" borderId="0" xfId="1" applyNumberFormat="1" applyFont="1" applyBorder="1" applyAlignment="1">
      <alignment horizontal="center"/>
    </xf>
    <xf numFmtId="0" fontId="35" fillId="0" borderId="0" xfId="0" applyFont="1" applyAlignment="1">
      <alignment horizontal="center"/>
    </xf>
    <xf numFmtId="0" fontId="0" fillId="3" borderId="0" xfId="0" applyFill="1"/>
    <xf numFmtId="0" fontId="28" fillId="2" borderId="0" xfId="2" applyFont="1" applyFill="1" applyAlignment="1">
      <alignment horizontal="center"/>
    </xf>
    <xf numFmtId="169" fontId="27" fillId="7" borderId="0" xfId="2" applyNumberFormat="1" applyFont="1" applyFill="1"/>
    <xf numFmtId="3" fontId="27" fillId="7" borderId="0" xfId="2" applyNumberFormat="1" applyFont="1" applyFill="1"/>
    <xf numFmtId="170" fontId="27" fillId="7" borderId="0" xfId="2" applyNumberFormat="1" applyFont="1" applyFill="1"/>
    <xf numFmtId="0" fontId="27" fillId="7" borderId="0" xfId="2" applyFont="1" applyFill="1"/>
    <xf numFmtId="0" fontId="27" fillId="7" borderId="0" xfId="2" applyFont="1" applyFill="1" applyAlignment="1">
      <alignment horizontal="center"/>
    </xf>
    <xf numFmtId="1" fontId="27" fillId="7" borderId="0" xfId="2" applyNumberFormat="1" applyFont="1" applyFill="1" applyAlignment="1">
      <alignment horizontal="center"/>
    </xf>
    <xf numFmtId="4" fontId="27" fillId="7" borderId="0" xfId="2" applyNumberFormat="1" applyFont="1" applyFill="1"/>
    <xf numFmtId="9" fontId="27" fillId="7" borderId="0" xfId="2" applyNumberFormat="1" applyFont="1" applyFill="1" applyAlignment="1">
      <alignment horizontal="center"/>
    </xf>
    <xf numFmtId="164" fontId="27" fillId="7" borderId="0" xfId="2" applyNumberFormat="1" applyFont="1" applyFill="1"/>
    <xf numFmtId="3" fontId="27" fillId="7" borderId="0" xfId="2" applyNumberFormat="1" applyFont="1" applyFill="1" applyAlignment="1">
      <alignment horizontal="center"/>
    </xf>
    <xf numFmtId="0" fontId="28" fillId="7" borderId="0" xfId="2" applyFont="1" applyFill="1" applyAlignment="1">
      <alignment horizontal="center"/>
    </xf>
    <xf numFmtId="165" fontId="27" fillId="7" borderId="0" xfId="2" applyNumberFormat="1" applyFont="1" applyFill="1"/>
    <xf numFmtId="166" fontId="4" fillId="0" borderId="0" xfId="2" applyNumberFormat="1" applyFont="1" applyAlignment="1">
      <alignment horizontal="centerContinuous"/>
    </xf>
    <xf numFmtId="166" fontId="4" fillId="0" borderId="0" xfId="2" applyNumberFormat="1" applyFont="1" applyAlignment="1">
      <alignment horizontal="center"/>
    </xf>
    <xf numFmtId="166" fontId="42" fillId="0" borderId="0" xfId="2" applyNumberFormat="1" applyFont="1" applyAlignment="1">
      <alignment horizontal="centerContinuous"/>
    </xf>
    <xf numFmtId="0" fontId="42" fillId="0" borderId="0" xfId="2" applyFont="1" applyAlignment="1">
      <alignment horizontal="centerContinuous"/>
    </xf>
    <xf numFmtId="0" fontId="43" fillId="0" borderId="0" xfId="2" applyFont="1" applyAlignment="1">
      <alignment horizontal="center"/>
    </xf>
    <xf numFmtId="0" fontId="42" fillId="0" borderId="0" xfId="2" applyFont="1"/>
    <xf numFmtId="166" fontId="44" fillId="0" borderId="0" xfId="2" applyNumberFormat="1" applyFont="1" applyAlignment="1">
      <alignment horizontal="left"/>
    </xf>
    <xf numFmtId="166" fontId="2" fillId="0" borderId="0" xfId="2" applyNumberFormat="1" applyFont="1"/>
    <xf numFmtId="166" fontId="12" fillId="0" borderId="0" xfId="2" applyNumberFormat="1" applyFont="1" applyAlignment="1">
      <alignment horizontal="center"/>
    </xf>
    <xf numFmtId="1" fontId="23" fillId="0" borderId="0" xfId="2" applyNumberFormat="1" applyFont="1" applyAlignment="1">
      <alignment horizontal="right"/>
    </xf>
    <xf numFmtId="164" fontId="44" fillId="0" borderId="0" xfId="2" applyNumberFormat="1" applyFont="1" applyAlignment="1">
      <alignment horizontal="left" vertical="center"/>
    </xf>
    <xf numFmtId="165" fontId="2" fillId="0" borderId="0" xfId="2" applyNumberFormat="1" applyFont="1" applyProtection="1">
      <protection hidden="1"/>
    </xf>
    <xf numFmtId="3" fontId="12" fillId="0" borderId="0" xfId="2" applyNumberFormat="1" applyFont="1" applyAlignment="1">
      <alignment horizontal="center" vertical="center"/>
    </xf>
    <xf numFmtId="166" fontId="23" fillId="0" borderId="0" xfId="2" applyNumberFormat="1" applyFont="1"/>
    <xf numFmtId="0" fontId="25" fillId="0" borderId="0" xfId="2" applyFont="1"/>
    <xf numFmtId="166" fontId="45" fillId="0" borderId="0" xfId="2" applyNumberFormat="1" applyFont="1"/>
    <xf numFmtId="3" fontId="23" fillId="0" borderId="0" xfId="2" applyNumberFormat="1" applyFont="1" applyAlignment="1">
      <alignment horizontal="center" vertical="center"/>
    </xf>
    <xf numFmtId="172" fontId="12" fillId="2" borderId="0" xfId="2" applyNumberFormat="1" applyFont="1" applyFill="1" applyAlignment="1">
      <alignment horizontal="right"/>
    </xf>
    <xf numFmtId="1" fontId="12" fillId="8" borderId="0" xfId="2" applyNumberFormat="1" applyFont="1" applyFill="1" applyAlignment="1">
      <alignment horizontal="right"/>
    </xf>
    <xf numFmtId="166" fontId="23" fillId="0" borderId="25" xfId="2" applyNumberFormat="1" applyFont="1" applyBorder="1"/>
    <xf numFmtId="166" fontId="3" fillId="0" borderId="26" xfId="2" applyNumberFormat="1" applyFont="1" applyBorder="1"/>
    <xf numFmtId="1" fontId="46" fillId="0" borderId="25" xfId="2" applyNumberFormat="1" applyFont="1" applyBorder="1" applyAlignment="1">
      <alignment horizontal="right"/>
    </xf>
    <xf numFmtId="37" fontId="2" fillId="0" borderId="25" xfId="2" applyNumberFormat="1" applyFont="1" applyBorder="1" applyAlignment="1">
      <alignment horizontal="right"/>
    </xf>
    <xf numFmtId="37" fontId="2" fillId="0" borderId="25" xfId="2" applyNumberFormat="1" applyFont="1" applyBorder="1"/>
    <xf numFmtId="166" fontId="18" fillId="9" borderId="1" xfId="2" applyNumberFormat="1" applyFont="1" applyFill="1" applyBorder="1" applyProtection="1">
      <protection locked="0"/>
    </xf>
    <xf numFmtId="166" fontId="18" fillId="9" borderId="0" xfId="2" applyNumberFormat="1" applyFont="1" applyFill="1" applyProtection="1">
      <protection locked="0"/>
    </xf>
    <xf numFmtId="166" fontId="26" fillId="9" borderId="1" xfId="2" applyNumberFormat="1" applyFont="1" applyFill="1" applyBorder="1" applyProtection="1">
      <protection locked="0"/>
    </xf>
    <xf numFmtId="37" fontId="18" fillId="9" borderId="1" xfId="2" applyNumberFormat="1" applyFont="1" applyFill="1" applyBorder="1" applyAlignment="1">
      <alignment horizontal="right"/>
    </xf>
    <xf numFmtId="166" fontId="26" fillId="9" borderId="0" xfId="2" applyNumberFormat="1" applyFont="1" applyFill="1" applyProtection="1">
      <protection locked="0"/>
    </xf>
    <xf numFmtId="37" fontId="18" fillId="9" borderId="0" xfId="2" applyNumberFormat="1" applyFont="1" applyFill="1" applyAlignment="1">
      <alignment horizontal="right"/>
    </xf>
    <xf numFmtId="166" fontId="18" fillId="9" borderId="3" xfId="2" applyNumberFormat="1" applyFont="1" applyFill="1" applyBorder="1" applyProtection="1">
      <protection locked="0"/>
    </xf>
    <xf numFmtId="166" fontId="46" fillId="9" borderId="1" xfId="2" applyNumberFormat="1" applyFont="1" applyFill="1" applyBorder="1" applyAlignment="1" applyProtection="1">
      <alignment horizontal="right"/>
      <protection locked="0"/>
    </xf>
    <xf numFmtId="37" fontId="26" fillId="9" borderId="1" xfId="2" applyNumberFormat="1" applyFont="1" applyFill="1" applyBorder="1" applyAlignment="1">
      <alignment horizontal="right"/>
    </xf>
    <xf numFmtId="166" fontId="23" fillId="4" borderId="1" xfId="2" applyNumberFormat="1" applyFont="1" applyFill="1" applyBorder="1"/>
    <xf numFmtId="166" fontId="3" fillId="4" borderId="1" xfId="2" applyNumberFormat="1" applyFont="1" applyFill="1" applyBorder="1"/>
    <xf numFmtId="1" fontId="2" fillId="4" borderId="1" xfId="2" applyNumberFormat="1" applyFont="1" applyFill="1" applyBorder="1"/>
    <xf numFmtId="10" fontId="2" fillId="4" borderId="1" xfId="2" applyNumberFormat="1" applyFont="1" applyFill="1" applyBorder="1" applyAlignment="1">
      <alignment horizontal="right"/>
    </xf>
    <xf numFmtId="166" fontId="23" fillId="0" borderId="1" xfId="2" applyNumberFormat="1" applyFont="1" applyBorder="1"/>
    <xf numFmtId="166" fontId="3" fillId="0" borderId="1" xfId="2" applyNumberFormat="1" applyFont="1" applyBorder="1"/>
    <xf numFmtId="1" fontId="46" fillId="0" borderId="1" xfId="2" applyNumberFormat="1" applyFont="1" applyBorder="1" applyAlignment="1">
      <alignment horizontal="right"/>
    </xf>
    <xf numFmtId="37" fontId="2" fillId="0" borderId="15" xfId="2" applyNumberFormat="1" applyFont="1" applyBorder="1" applyAlignment="1">
      <alignment horizontal="right"/>
    </xf>
    <xf numFmtId="37" fontId="2" fillId="0" borderId="1" xfId="2" applyNumberFormat="1" applyFont="1" applyBorder="1"/>
    <xf numFmtId="166" fontId="3" fillId="0" borderId="0" xfId="2" applyNumberFormat="1" applyFont="1"/>
    <xf numFmtId="1" fontId="23" fillId="0" borderId="0" xfId="2" applyNumberFormat="1" applyFont="1"/>
    <xf numFmtId="37" fontId="2" fillId="0" borderId="0" xfId="2" applyNumberFormat="1" applyFont="1" applyAlignment="1">
      <alignment horizontal="right"/>
    </xf>
    <xf numFmtId="166" fontId="2" fillId="0" borderId="0" xfId="2" applyNumberFormat="1" applyFont="1" applyAlignment="1">
      <alignment vertical="center"/>
    </xf>
    <xf numFmtId="1" fontId="2" fillId="0" borderId="0" xfId="2" applyNumberFormat="1" applyFont="1" applyAlignment="1">
      <alignment vertical="center"/>
    </xf>
    <xf numFmtId="3" fontId="2" fillId="0" borderId="0" xfId="2" applyNumberFormat="1" applyFont="1" applyAlignment="1">
      <alignment horizontal="fill" vertical="center"/>
    </xf>
    <xf numFmtId="1" fontId="2" fillId="0" borderId="0" xfId="2" applyNumberFormat="1" applyFont="1"/>
    <xf numFmtId="166" fontId="47" fillId="0" borderId="0" xfId="2" applyNumberFormat="1" applyFont="1" applyAlignment="1">
      <alignment horizontal="right"/>
    </xf>
    <xf numFmtId="166" fontId="2" fillId="0" borderId="0" xfId="2" applyNumberFormat="1" applyFont="1" applyAlignment="1">
      <alignment horizontal="center"/>
    </xf>
    <xf numFmtId="1" fontId="48" fillId="0" borderId="0" xfId="2" applyNumberFormat="1" applyFont="1" applyAlignment="1">
      <alignment horizontal="right"/>
    </xf>
    <xf numFmtId="3" fontId="2" fillId="0" borderId="0" xfId="2" applyNumberFormat="1" applyFont="1" applyAlignment="1">
      <alignment horizontal="left"/>
    </xf>
    <xf numFmtId="3" fontId="2" fillId="0" borderId="0" xfId="2" applyNumberFormat="1" applyFont="1" applyAlignment="1">
      <alignment horizontal="right"/>
    </xf>
    <xf numFmtId="6" fontId="2" fillId="0" borderId="0" xfId="2" applyNumberFormat="1" applyFont="1"/>
    <xf numFmtId="38" fontId="18" fillId="0" borderId="0" xfId="2" applyNumberFormat="1" applyFont="1" applyAlignment="1">
      <alignment horizontal="right"/>
    </xf>
    <xf numFmtId="0" fontId="2" fillId="0" borderId="0" xfId="2" applyFont="1" applyAlignment="1">
      <alignment horizontal="center"/>
    </xf>
    <xf numFmtId="2" fontId="2" fillId="0" borderId="0" xfId="2" applyNumberFormat="1" applyFont="1"/>
    <xf numFmtId="166" fontId="49" fillId="0" borderId="0" xfId="2" applyNumberFormat="1" applyFont="1" applyAlignment="1">
      <alignment horizontal="right"/>
    </xf>
    <xf numFmtId="10" fontId="49" fillId="0" borderId="0" xfId="2" applyNumberFormat="1" applyFont="1"/>
    <xf numFmtId="166" fontId="49" fillId="0" borderId="0" xfId="2" applyNumberFormat="1" applyFont="1" applyAlignment="1">
      <alignment horizontal="right" vertical="center"/>
    </xf>
    <xf numFmtId="10" fontId="49" fillId="0" borderId="0" xfId="2" applyNumberFormat="1" applyFont="1" applyAlignment="1">
      <alignment horizontal="center" vertical="center"/>
    </xf>
    <xf numFmtId="3" fontId="45" fillId="0" borderId="0" xfId="2" applyNumberFormat="1" applyFont="1"/>
    <xf numFmtId="3" fontId="2" fillId="0" borderId="0" xfId="2" applyNumberFormat="1" applyFont="1"/>
    <xf numFmtId="166" fontId="23" fillId="0" borderId="0" xfId="2" applyNumberFormat="1" applyFont="1" applyAlignment="1" applyProtection="1">
      <alignment horizontal="center"/>
      <protection locked="0"/>
    </xf>
    <xf numFmtId="166" fontId="12" fillId="2" borderId="0" xfId="2" applyNumberFormat="1" applyFont="1" applyFill="1"/>
    <xf numFmtId="1" fontId="12" fillId="8" borderId="0" xfId="2" applyNumberFormat="1" applyFont="1" applyFill="1"/>
    <xf numFmtId="1" fontId="2" fillId="0" borderId="25" xfId="2" applyNumberFormat="1" applyFont="1" applyBorder="1"/>
    <xf numFmtId="166" fontId="2" fillId="0" borderId="25" xfId="2" applyNumberFormat="1" applyFont="1" applyBorder="1" applyProtection="1">
      <protection locked="0"/>
    </xf>
    <xf numFmtId="166" fontId="18" fillId="9" borderId="15" xfId="2" applyNumberFormat="1" applyFont="1" applyFill="1" applyBorder="1" applyProtection="1">
      <protection locked="0"/>
    </xf>
    <xf numFmtId="3" fontId="26" fillId="9" borderId="1" xfId="2" applyNumberFormat="1" applyFont="1" applyFill="1" applyBorder="1" applyProtection="1">
      <protection locked="0"/>
    </xf>
    <xf numFmtId="3" fontId="26" fillId="9" borderId="0" xfId="2" applyNumberFormat="1" applyFont="1" applyFill="1" applyProtection="1">
      <protection locked="0"/>
    </xf>
    <xf numFmtId="166" fontId="18" fillId="9" borderId="2" xfId="2" applyNumberFormat="1" applyFont="1" applyFill="1" applyBorder="1" applyProtection="1">
      <protection locked="0"/>
    </xf>
    <xf numFmtId="166" fontId="26" fillId="9" borderId="27" xfId="2" applyNumberFormat="1" applyFont="1" applyFill="1" applyBorder="1" applyProtection="1">
      <protection locked="0"/>
    </xf>
    <xf numFmtId="166" fontId="2" fillId="4" borderId="1" xfId="2" applyNumberFormat="1" applyFont="1" applyFill="1" applyBorder="1"/>
    <xf numFmtId="10" fontId="2" fillId="4" borderId="1" xfId="2" applyNumberFormat="1" applyFont="1" applyFill="1" applyBorder="1"/>
    <xf numFmtId="1" fontId="2" fillId="0" borderId="1" xfId="2" applyNumberFormat="1" applyFont="1" applyBorder="1"/>
    <xf numFmtId="166" fontId="2" fillId="0" borderId="1" xfId="2" applyNumberFormat="1" applyFont="1" applyBorder="1"/>
    <xf numFmtId="173" fontId="2" fillId="0" borderId="0" xfId="2" applyNumberFormat="1" applyFont="1"/>
    <xf numFmtId="166" fontId="47" fillId="0" borderId="0" xfId="2" applyNumberFormat="1" applyFont="1"/>
    <xf numFmtId="166" fontId="2" fillId="0" borderId="0" xfId="2" applyNumberFormat="1" applyFont="1" applyAlignment="1">
      <alignment horizontal="centerContinuous"/>
    </xf>
    <xf numFmtId="166" fontId="2" fillId="0" borderId="0" xfId="2" applyNumberFormat="1" applyFont="1" applyAlignment="1">
      <alignment horizontal="right"/>
    </xf>
    <xf numFmtId="174" fontId="18" fillId="0" borderId="0" xfId="2" applyNumberFormat="1" applyFont="1"/>
    <xf numFmtId="3" fontId="23" fillId="0" borderId="0" xfId="2" applyNumberFormat="1" applyFont="1" applyAlignment="1">
      <alignment horizontal="right"/>
    </xf>
    <xf numFmtId="175" fontId="18" fillId="0" borderId="0" xfId="2" applyNumberFormat="1" applyFont="1"/>
    <xf numFmtId="166" fontId="50" fillId="0" borderId="0" xfId="2" applyNumberFormat="1" applyFont="1"/>
    <xf numFmtId="1" fontId="2" fillId="0" borderId="0" xfId="2" applyNumberFormat="1" applyFont="1" applyProtection="1">
      <protection locked="0"/>
    </xf>
    <xf numFmtId="1" fontId="46" fillId="0" borderId="0" xfId="2" applyNumberFormat="1" applyFont="1" applyAlignment="1">
      <alignment horizontal="right"/>
    </xf>
    <xf numFmtId="164" fontId="51" fillId="0" borderId="0" xfId="2" applyNumberFormat="1" applyFont="1" applyAlignment="1">
      <alignment horizontal="centerContinuous" vertical="center"/>
    </xf>
    <xf numFmtId="166" fontId="10" fillId="0" borderId="0" xfId="2" applyNumberFormat="1" applyFont="1"/>
    <xf numFmtId="0" fontId="5" fillId="0" borderId="0" xfId="4"/>
    <xf numFmtId="7" fontId="1" fillId="0" borderId="0" xfId="2" applyNumberFormat="1"/>
    <xf numFmtId="172" fontId="1" fillId="0" borderId="0" xfId="2" applyNumberFormat="1"/>
    <xf numFmtId="1" fontId="1" fillId="0" borderId="0" xfId="2" applyNumberFormat="1"/>
    <xf numFmtId="3" fontId="37" fillId="2" borderId="0" xfId="2" applyNumberFormat="1" applyFont="1" applyFill="1" applyAlignment="1">
      <alignment horizontal="center"/>
    </xf>
    <xf numFmtId="3" fontId="37" fillId="0" borderId="2" xfId="2" applyNumberFormat="1" applyFont="1" applyBorder="1" applyAlignment="1">
      <alignment horizontal="center"/>
    </xf>
    <xf numFmtId="171" fontId="0" fillId="10" borderId="0" xfId="1" applyNumberFormat="1" applyFont="1" applyFill="1"/>
    <xf numFmtId="171" fontId="0" fillId="10" borderId="2" xfId="1" applyNumberFormat="1" applyFont="1" applyFill="1" applyBorder="1"/>
    <xf numFmtId="3" fontId="37" fillId="0" borderId="0" xfId="2" applyNumberFormat="1" applyFont="1"/>
    <xf numFmtId="0" fontId="55" fillId="0" borderId="0" xfId="0" applyFont="1"/>
    <xf numFmtId="0" fontId="56" fillId="0" borderId="0" xfId="2" applyFont="1" applyAlignment="1">
      <alignment horizontal="center"/>
    </xf>
    <xf numFmtId="0" fontId="23" fillId="0" borderId="0" xfId="2" applyFont="1" applyAlignment="1">
      <alignment horizontal="center" vertical="center"/>
    </xf>
    <xf numFmtId="0" fontId="23" fillId="0" borderId="2" xfId="2" applyFont="1" applyBorder="1" applyAlignment="1">
      <alignment horizontal="center" vertical="center" wrapText="1"/>
    </xf>
    <xf numFmtId="0" fontId="23" fillId="0" borderId="3" xfId="2" applyFont="1" applyBorder="1" applyAlignment="1">
      <alignment horizontal="center" vertical="center"/>
    </xf>
    <xf numFmtId="0" fontId="52" fillId="7" borderId="28" xfId="2" applyFont="1" applyFill="1" applyBorder="1" applyAlignment="1">
      <alignment horizontal="center" vertical="center"/>
    </xf>
    <xf numFmtId="0" fontId="52" fillId="7" borderId="29" xfId="2" applyFont="1" applyFill="1" applyBorder="1" applyAlignment="1">
      <alignment horizontal="center" vertical="center"/>
    </xf>
    <xf numFmtId="0" fontId="52" fillId="7" borderId="30" xfId="2" applyFont="1" applyFill="1" applyBorder="1" applyAlignment="1">
      <alignment horizontal="center" vertical="center"/>
    </xf>
    <xf numFmtId="0" fontId="52" fillId="7" borderId="31" xfId="2" applyFont="1" applyFill="1" applyBorder="1" applyAlignment="1">
      <alignment horizontal="center" vertical="center"/>
    </xf>
    <xf numFmtId="0" fontId="52" fillId="7" borderId="32" xfId="2" applyFont="1" applyFill="1" applyBorder="1" applyAlignment="1">
      <alignment horizontal="center" vertical="center"/>
    </xf>
    <xf numFmtId="0" fontId="52" fillId="7" borderId="33" xfId="2" applyFont="1" applyFill="1" applyBorder="1" applyAlignment="1">
      <alignment horizontal="center" vertical="center"/>
    </xf>
    <xf numFmtId="0" fontId="52" fillId="7" borderId="34" xfId="2" applyFont="1" applyFill="1" applyBorder="1" applyAlignment="1">
      <alignment horizontal="center" vertical="center"/>
    </xf>
    <xf numFmtId="0" fontId="52" fillId="7" borderId="35" xfId="2" applyFont="1" applyFill="1" applyBorder="1" applyAlignment="1">
      <alignment horizontal="center" vertical="center"/>
    </xf>
    <xf numFmtId="0" fontId="52" fillId="7" borderId="36" xfId="2" applyFont="1" applyFill="1" applyBorder="1" applyAlignment="1">
      <alignment horizontal="center" vertical="center"/>
    </xf>
    <xf numFmtId="0" fontId="1" fillId="7" borderId="28" xfId="2" applyFill="1" applyBorder="1" applyAlignment="1">
      <alignment horizontal="center" wrapText="1"/>
    </xf>
    <xf numFmtId="0" fontId="1" fillId="7" borderId="31" xfId="2" applyFill="1" applyBorder="1" applyAlignment="1">
      <alignment horizontal="center" wrapText="1"/>
    </xf>
    <xf numFmtId="0" fontId="1" fillId="7" borderId="29" xfId="2" applyFill="1" applyBorder="1" applyAlignment="1">
      <alignment horizontal="center" wrapText="1"/>
    </xf>
    <xf numFmtId="0" fontId="1" fillId="7" borderId="32" xfId="2" applyFill="1" applyBorder="1" applyAlignment="1">
      <alignment horizontal="center" wrapText="1"/>
    </xf>
    <xf numFmtId="0" fontId="1" fillId="7" borderId="30" xfId="2" applyFill="1" applyBorder="1" applyAlignment="1">
      <alignment horizontal="center" wrapText="1"/>
    </xf>
    <xf numFmtId="0" fontId="1" fillId="7" borderId="33" xfId="2" applyFill="1" applyBorder="1" applyAlignment="1">
      <alignment horizontal="center" wrapText="1"/>
    </xf>
    <xf numFmtId="0" fontId="1" fillId="7" borderId="31" xfId="2" applyFill="1" applyBorder="1" applyAlignment="1">
      <alignment horizontal="center" vertical="center"/>
    </xf>
    <xf numFmtId="37" fontId="1" fillId="7" borderId="32" xfId="2" applyNumberFormat="1" applyFill="1" applyBorder="1" applyAlignment="1">
      <alignment horizontal="center" vertical="center"/>
    </xf>
    <xf numFmtId="0" fontId="1" fillId="7" borderId="32" xfId="2" applyFill="1" applyBorder="1" applyAlignment="1">
      <alignment horizontal="center" vertical="center"/>
    </xf>
    <xf numFmtId="166" fontId="1" fillId="7" borderId="33" xfId="2" applyNumberFormat="1" applyFill="1" applyBorder="1" applyAlignment="1">
      <alignment horizontal="center" vertical="center"/>
    </xf>
    <xf numFmtId="0" fontId="1" fillId="7" borderId="33" xfId="2" applyFill="1" applyBorder="1" applyAlignment="1">
      <alignment horizontal="center" vertical="center"/>
    </xf>
    <xf numFmtId="0" fontId="1" fillId="7" borderId="36" xfId="2" applyFill="1" applyBorder="1" applyAlignment="1">
      <alignment horizontal="center" vertical="center"/>
    </xf>
    <xf numFmtId="0" fontId="1" fillId="7" borderId="34" xfId="2" applyFill="1" applyBorder="1" applyAlignment="1">
      <alignment horizontal="center" vertical="center"/>
    </xf>
    <xf numFmtId="0" fontId="1" fillId="7" borderId="35" xfId="2" applyFill="1" applyBorder="1" applyAlignment="1">
      <alignment horizontal="center" vertical="center"/>
    </xf>
  </cellXfs>
  <cellStyles count="5">
    <cellStyle name="Comma" xfId="1" builtinId="3"/>
    <cellStyle name="Normal" xfId="0" builtinId="0"/>
    <cellStyle name="Normal 2" xfId="4" xr:uid="{AD69575B-DFEF-6849-852E-0D997189ABFA}"/>
    <cellStyle name="Normal 3 2" xfId="2" xr:uid="{D58765B9-0BE8-E74D-9363-4CDD851F1466}"/>
    <cellStyle name="Percent 2 2" xfId="3" xr:uid="{717646A8-C0F0-8145-8576-6C8FF2ADCF0D}"/>
  </cellStyles>
  <dxfs count="30">
    <dxf>
      <border>
        <bottom style="thin">
          <color auto="1"/>
        </bottom>
      </border>
    </dxf>
    <dxf>
      <fill>
        <patternFill>
          <fgColor rgb="FF000000"/>
          <bgColor rgb="FFFF0000"/>
        </patternFill>
      </fill>
    </dxf>
    <dxf>
      <fill>
        <patternFill>
          <bgColor rgb="FFC5D9F1"/>
        </patternFill>
      </fill>
    </dxf>
    <dxf>
      <fill>
        <patternFill>
          <bgColor rgb="FFD9D9D9"/>
        </patternFill>
      </fill>
    </dxf>
    <dxf>
      <fill>
        <patternFill>
          <bgColor rgb="FFD9D9D9"/>
        </patternFill>
      </fill>
    </dxf>
    <dxf>
      <fill>
        <patternFill>
          <bgColor rgb="FFC5D9F1"/>
        </patternFill>
      </fill>
    </dxf>
    <dxf>
      <fill>
        <patternFill>
          <fgColor rgb="FF000000"/>
          <bgColor rgb="FFFF0000"/>
        </patternFill>
      </fill>
    </dxf>
    <dxf>
      <fill>
        <patternFill>
          <bgColor rgb="FFC5D9F1"/>
        </patternFill>
      </fill>
    </dxf>
    <dxf>
      <fill>
        <patternFill>
          <bgColor rgb="FFC5D9F1"/>
        </patternFill>
      </fill>
    </dxf>
    <dxf>
      <fill>
        <patternFill>
          <bgColor rgb="FFD9D9D9"/>
        </patternFill>
      </fill>
    </dxf>
    <dxf>
      <border>
        <bottom style="thin">
          <color auto="1"/>
        </bottom>
      </border>
    </dxf>
    <dxf>
      <fill>
        <patternFill>
          <fgColor rgb="FF000000"/>
          <bgColor rgb="FFFF0000"/>
        </patternFill>
      </fill>
    </dxf>
    <dxf>
      <fill>
        <patternFill>
          <bgColor rgb="FFC5D9F1"/>
        </patternFill>
      </fill>
    </dxf>
    <dxf>
      <fill>
        <patternFill>
          <bgColor rgb="FFD9D9D9"/>
        </patternFill>
      </fill>
    </dxf>
    <dxf>
      <fill>
        <patternFill>
          <bgColor rgb="FFD9D9D9"/>
        </patternFill>
      </fill>
    </dxf>
    <dxf>
      <fill>
        <patternFill>
          <bgColor rgb="FFC5D9F1"/>
        </patternFill>
      </fill>
    </dxf>
    <dxf>
      <fill>
        <patternFill>
          <fgColor rgb="FF000000"/>
          <bgColor rgb="FFFF0000"/>
        </patternFill>
      </fill>
    </dxf>
    <dxf>
      <fill>
        <patternFill>
          <bgColor rgb="FFC5D9F1"/>
        </patternFill>
      </fill>
    </dxf>
    <dxf>
      <fill>
        <patternFill>
          <bgColor rgb="FFC5D9F1"/>
        </patternFill>
      </fill>
    </dxf>
    <dxf>
      <fill>
        <patternFill>
          <bgColor rgb="FFD9D9D9"/>
        </patternFill>
      </fill>
    </dxf>
    <dxf>
      <border>
        <bottom style="thin">
          <color auto="1"/>
        </bottom>
      </border>
    </dxf>
    <dxf>
      <fill>
        <patternFill>
          <fgColor rgb="FF000000"/>
          <bgColor rgb="FFFF0000"/>
        </patternFill>
      </fill>
    </dxf>
    <dxf>
      <fill>
        <patternFill>
          <bgColor rgb="FFC5D9F1"/>
        </patternFill>
      </fill>
    </dxf>
    <dxf>
      <fill>
        <patternFill>
          <bgColor rgb="FFD9D9D9"/>
        </patternFill>
      </fill>
    </dxf>
    <dxf>
      <fill>
        <patternFill>
          <bgColor rgb="FFD9D9D9"/>
        </patternFill>
      </fill>
    </dxf>
    <dxf>
      <fill>
        <patternFill>
          <bgColor rgb="FFC5D9F1"/>
        </patternFill>
      </fill>
    </dxf>
    <dxf>
      <fill>
        <patternFill>
          <fgColor rgb="FF000000"/>
          <bgColor rgb="FFFF0000"/>
        </patternFill>
      </fill>
    </dxf>
    <dxf>
      <fill>
        <patternFill>
          <bgColor rgb="FFC5D9F1"/>
        </patternFill>
      </fill>
    </dxf>
    <dxf>
      <fill>
        <patternFill>
          <bgColor rgb="FFC5D9F1"/>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Recommended Reserve Funding Graph</a:t>
            </a:r>
          </a:p>
        </c:rich>
      </c:tx>
      <c:overlay val="0"/>
    </c:title>
    <c:autoTitleDeleted val="0"/>
    <c:plotArea>
      <c:layout/>
      <c:barChart>
        <c:barDir val="col"/>
        <c:grouping val="stacked"/>
        <c:varyColors val="0"/>
        <c:ser>
          <c:idx val="0"/>
          <c:order val="0"/>
          <c:tx>
            <c:v>Reserve Expenditures</c:v>
          </c:tx>
          <c:spPr>
            <a:solidFill>
              <a:srgbClr val="910930"/>
            </a:solidFill>
            <a:ln>
              <a:solidFill>
                <a:srgbClr val="000000"/>
              </a:solidFill>
              <a:prstDash val="solid"/>
            </a:ln>
          </c:spPr>
          <c:invertIfNegative val="0"/>
          <c:cat>
            <c:numRef>
              <c:f>'Funding Plan 2023 (4-24)'!$F$172:$AJ$172</c:f>
              <c:numCache>
                <c:formatCode>0</c:formatCode>
                <c:ptCount val="31"/>
                <c:pt idx="0" formatCode="&quot;FY&quot;000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numCache>
            </c:numRef>
          </c:cat>
          <c:val>
            <c:numRef>
              <c:f>'Funding Plan 2023 (4-24)'!$F$173:$AJ$173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7F0-FB45-BAF0-5606F0786FC5}"/>
            </c:ext>
          </c:extLst>
        </c:ser>
        <c:ser>
          <c:idx val="1"/>
          <c:order val="1"/>
          <c:tx>
            <c:v>Recommended Reserve Contributions</c:v>
          </c:tx>
          <c:spPr>
            <a:solidFill>
              <a:srgbClr val="00AB00"/>
            </a:solidFill>
            <a:ln>
              <a:solidFill>
                <a:srgbClr val="000000"/>
              </a:solidFill>
              <a:prstDash val="solid"/>
            </a:ln>
          </c:spPr>
          <c:invertIfNegative val="0"/>
          <c:cat>
            <c:numRef>
              <c:f>'Funding Plan 2023 (4-24)'!$F$172:$AJ$172</c:f>
              <c:numCache>
                <c:formatCode>0</c:formatCode>
                <c:ptCount val="31"/>
                <c:pt idx="0" formatCode="&quot;FY&quot;000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numCache>
            </c:numRef>
          </c:cat>
          <c:val>
            <c:numRef>
              <c:f>'Funding Plan 2023 (4-24)'!$F$174:$AJ$174</c:f>
              <c:numCache>
                <c:formatCode>General</c:formatCode>
                <c:ptCount val="31"/>
                <c:pt idx="0">
                  <c:v>0</c:v>
                </c:pt>
                <c:pt idx="1">
                  <c:v>0</c:v>
                </c:pt>
                <c:pt idx="2">
                  <c:v>750</c:v>
                </c:pt>
                <c:pt idx="3">
                  <c:v>776.2</c:v>
                </c:pt>
                <c:pt idx="4">
                  <c:v>803.4</c:v>
                </c:pt>
                <c:pt idx="5">
                  <c:v>831.5</c:v>
                </c:pt>
                <c:pt idx="6">
                  <c:v>860.6</c:v>
                </c:pt>
                <c:pt idx="7">
                  <c:v>560</c:v>
                </c:pt>
                <c:pt idx="8">
                  <c:v>579.6</c:v>
                </c:pt>
                <c:pt idx="9">
                  <c:v>599.9</c:v>
                </c:pt>
                <c:pt idx="10">
                  <c:v>620.9</c:v>
                </c:pt>
                <c:pt idx="11">
                  <c:v>642.6</c:v>
                </c:pt>
                <c:pt idx="12">
                  <c:v>665.1</c:v>
                </c:pt>
                <c:pt idx="13">
                  <c:v>688.4</c:v>
                </c:pt>
                <c:pt idx="14">
                  <c:v>712.5</c:v>
                </c:pt>
                <c:pt idx="15">
                  <c:v>737.4</c:v>
                </c:pt>
                <c:pt idx="16">
                  <c:v>763.2</c:v>
                </c:pt>
                <c:pt idx="17">
                  <c:v>789.9</c:v>
                </c:pt>
                <c:pt idx="18">
                  <c:v>817.5</c:v>
                </c:pt>
                <c:pt idx="19">
                  <c:v>846.1</c:v>
                </c:pt>
                <c:pt idx="20">
                  <c:v>875.7</c:v>
                </c:pt>
                <c:pt idx="21">
                  <c:v>906.3</c:v>
                </c:pt>
                <c:pt idx="22">
                  <c:v>938</c:v>
                </c:pt>
                <c:pt idx="23">
                  <c:v>970.8</c:v>
                </c:pt>
                <c:pt idx="24">
                  <c:v>1004.8</c:v>
                </c:pt>
                <c:pt idx="25">
                  <c:v>1040</c:v>
                </c:pt>
                <c:pt idx="26">
                  <c:v>1076.4000000000001</c:v>
                </c:pt>
                <c:pt idx="27">
                  <c:v>1114.0999999999999</c:v>
                </c:pt>
                <c:pt idx="28">
                  <c:v>1153.0999999999999</c:v>
                </c:pt>
                <c:pt idx="29">
                  <c:v>1193.5</c:v>
                </c:pt>
                <c:pt idx="30">
                  <c:v>1235.3</c:v>
                </c:pt>
              </c:numCache>
            </c:numRef>
          </c:val>
          <c:extLst>
            <c:ext xmlns:c16="http://schemas.microsoft.com/office/drawing/2014/chart" uri="{C3380CC4-5D6E-409C-BE32-E72D297353CC}">
              <c16:uniqueId val="{00000001-D7F0-FB45-BAF0-5606F0786FC5}"/>
            </c:ext>
          </c:extLst>
        </c:ser>
        <c:ser>
          <c:idx val="2"/>
          <c:order val="2"/>
          <c:tx>
            <c:v>Additional Reserve Contributions</c:v>
          </c:tx>
          <c:spPr>
            <a:ln>
              <a:solidFill>
                <a:srgbClr val="000000"/>
              </a:solidFill>
              <a:prstDash val="solid"/>
            </a:ln>
          </c:spPr>
          <c:invertIfNegative val="0"/>
          <c:cat>
            <c:numRef>
              <c:f>'Funding Plan 2023 (4-24)'!$F$172:$AJ$172</c:f>
              <c:numCache>
                <c:formatCode>0</c:formatCode>
                <c:ptCount val="31"/>
                <c:pt idx="0" formatCode="&quot;FY&quot;000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numCache>
            </c:numRef>
          </c:cat>
          <c:val>
            <c:numRef>
              <c:f>'Funding Plan 2023 (4-24)'!$F$175:$AJ$175</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D7F0-FB45-BAF0-5606F0786FC5}"/>
            </c:ext>
          </c:extLst>
        </c:ser>
        <c:ser>
          <c:idx val="3"/>
          <c:order val="3"/>
          <c:tx>
            <c:v>Additional Assessment</c:v>
          </c:tx>
          <c:spPr>
            <a:ln>
              <a:solidFill>
                <a:srgbClr val="000000"/>
              </a:solidFill>
              <a:prstDash val="solid"/>
            </a:ln>
          </c:spPr>
          <c:invertIfNegative val="0"/>
          <c:cat>
            <c:numRef>
              <c:f>'Funding Plan 2023 (4-24)'!$F$172:$AJ$172</c:f>
              <c:numCache>
                <c:formatCode>0</c:formatCode>
                <c:ptCount val="31"/>
                <c:pt idx="0" formatCode="&quot;FY&quot;000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numCache>
            </c:numRef>
          </c:cat>
          <c:val>
            <c:numRef>
              <c:f>'Funding Plan 2023 (4-24)'!$F$176:$AJ$176</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D7F0-FB45-BAF0-5606F0786FC5}"/>
            </c:ext>
          </c:extLst>
        </c:ser>
        <c:dLbls>
          <c:showLegendKey val="0"/>
          <c:showVal val="0"/>
          <c:showCatName val="0"/>
          <c:showSerName val="0"/>
          <c:showPercent val="0"/>
          <c:showBubbleSize val="0"/>
        </c:dLbls>
        <c:gapWidth val="0"/>
        <c:overlap val="100"/>
        <c:axId val="568942416"/>
        <c:axId val="568939536"/>
      </c:barChart>
      <c:lineChart>
        <c:grouping val="standard"/>
        <c:varyColors val="0"/>
        <c:ser>
          <c:idx val="4"/>
          <c:order val="4"/>
          <c:tx>
            <c:v>Year-End Reserve Balance</c:v>
          </c:tx>
          <c:spPr>
            <a:ln w="38100">
              <a:solidFill>
                <a:srgbClr val="1F497D"/>
              </a:solidFill>
              <a:prstDash val="solid"/>
            </a:ln>
          </c:spPr>
          <c:marker>
            <c:symbol val="none"/>
          </c:marker>
          <c:cat>
            <c:numRef>
              <c:f>'Funding Plan 2023 (4-24)'!$F$172:$AJ$172</c:f>
              <c:numCache>
                <c:formatCode>0</c:formatCode>
                <c:ptCount val="31"/>
                <c:pt idx="0" formatCode="&quot;FY&quot;000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numCache>
            </c:numRef>
          </c:cat>
          <c:val>
            <c:numRef>
              <c:f>'Funding Plan 2023 (4-24)'!$F$177:$AJ$177</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4-D7F0-FB45-BAF0-5606F0786FC5}"/>
            </c:ext>
          </c:extLst>
        </c:ser>
        <c:dLbls>
          <c:showLegendKey val="0"/>
          <c:showVal val="0"/>
          <c:showCatName val="0"/>
          <c:showSerName val="0"/>
          <c:showPercent val="0"/>
          <c:showBubbleSize val="0"/>
        </c:dLbls>
        <c:marker val="1"/>
        <c:smooth val="0"/>
        <c:axId val="568942416"/>
        <c:axId val="568939536"/>
      </c:lineChart>
      <c:catAx>
        <c:axId val="568942416"/>
        <c:scaling>
          <c:orientation val="minMax"/>
        </c:scaling>
        <c:delete val="0"/>
        <c:axPos val="b"/>
        <c:numFmt formatCode="&quot;FY&quot;0000" sourceLinked="1"/>
        <c:majorTickMark val="none"/>
        <c:minorTickMark val="none"/>
        <c:tickLblPos val="low"/>
        <c:txPr>
          <a:bodyPr rot="-1800000" vert="horz"/>
          <a:lstStyle/>
          <a:p>
            <a:pPr>
              <a:defRPr/>
            </a:pPr>
            <a:endParaRPr lang="en-US"/>
          </a:p>
        </c:txPr>
        <c:crossAx val="568939536"/>
        <c:crosses val="autoZero"/>
        <c:auto val="1"/>
        <c:lblAlgn val="ctr"/>
        <c:lblOffset val="100"/>
        <c:noMultiLvlLbl val="0"/>
      </c:catAx>
      <c:valAx>
        <c:axId val="568939536"/>
        <c:scaling>
          <c:orientation val="minMax"/>
        </c:scaling>
        <c:delete val="0"/>
        <c:axPos val="l"/>
        <c:majorGridlines/>
        <c:title>
          <c:tx>
            <c:rich>
              <a:bodyPr/>
              <a:lstStyle/>
              <a:p>
                <a:pPr>
                  <a:defRPr/>
                </a:pPr>
                <a:r>
                  <a:rPr lang="en-US"/>
                  <a:t>$ Thousands</a:t>
                </a:r>
              </a:p>
            </c:rich>
          </c:tx>
          <c:overlay val="0"/>
        </c:title>
        <c:numFmt formatCode="General" sourceLinked="1"/>
        <c:majorTickMark val="out"/>
        <c:minorTickMark val="none"/>
        <c:tickLblPos val="nextTo"/>
        <c:crossAx val="568942416"/>
        <c:crosses val="autoZero"/>
        <c:crossBetween val="between"/>
      </c:valAx>
    </c:plotArea>
    <c:legend>
      <c:legendPos val="b"/>
      <c:layout>
        <c:manualLayout>
          <c:xMode val="edge"/>
          <c:yMode val="edge"/>
          <c:x val="0.10154659772006111"/>
          <c:y val="0.89572864930345242"/>
          <c:w val="0.59701492537313428"/>
          <c:h val="0.10427135069654754"/>
        </c:manualLayou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printSettings>
    <c:headerFooter/>
    <c:pageMargins b="0.75" l="0.7" r="0.7" t="0.75" header="0.3" footer="0.3"/>
    <c:pageSetup/>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660400</xdr:colOff>
      <xdr:row>2</xdr:row>
      <xdr:rowOff>184150</xdr:rowOff>
    </xdr:from>
    <xdr:to>
      <xdr:col>9</xdr:col>
      <xdr:colOff>0</xdr:colOff>
      <xdr:row>5</xdr:row>
      <xdr:rowOff>28575</xdr:rowOff>
    </xdr:to>
    <xdr:sp macro="openHelpModule" textlink="">
      <xdr:nvSpPr>
        <xdr:cNvPr id="2" name="helpForm">
          <a:extLst>
            <a:ext uri="{FF2B5EF4-FFF2-40B4-BE49-F238E27FC236}">
              <a16:creationId xmlns:a16="http://schemas.microsoft.com/office/drawing/2014/main" id="{B217DAA6-7292-6443-8065-7D4563F72CAE}"/>
            </a:ext>
          </a:extLst>
        </xdr:cNvPr>
        <xdr:cNvSpPr/>
      </xdr:nvSpPr>
      <xdr:spPr>
        <a:xfrm>
          <a:off x="0" y="895350"/>
          <a:ext cx="0" cy="6445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2400"/>
            <a:t>Column/Editing Information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660400</xdr:colOff>
      <xdr:row>2</xdr:row>
      <xdr:rowOff>184150</xdr:rowOff>
    </xdr:from>
    <xdr:to>
      <xdr:col>9</xdr:col>
      <xdr:colOff>0</xdr:colOff>
      <xdr:row>5</xdr:row>
      <xdr:rowOff>28575</xdr:rowOff>
    </xdr:to>
    <xdr:sp macro="openHelpModule" textlink="">
      <xdr:nvSpPr>
        <xdr:cNvPr id="2" name="helpForm">
          <a:extLst>
            <a:ext uri="{FF2B5EF4-FFF2-40B4-BE49-F238E27FC236}">
              <a16:creationId xmlns:a16="http://schemas.microsoft.com/office/drawing/2014/main" id="{4B1355B6-2B82-0940-A78E-1174AEAE190F}"/>
            </a:ext>
          </a:extLst>
        </xdr:cNvPr>
        <xdr:cNvSpPr/>
      </xdr:nvSpPr>
      <xdr:spPr>
        <a:xfrm>
          <a:off x="0" y="895350"/>
          <a:ext cx="0" cy="6445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2400"/>
            <a:t>Column/Editing Information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660400</xdr:colOff>
      <xdr:row>2</xdr:row>
      <xdr:rowOff>184150</xdr:rowOff>
    </xdr:from>
    <xdr:to>
      <xdr:col>9</xdr:col>
      <xdr:colOff>0</xdr:colOff>
      <xdr:row>5</xdr:row>
      <xdr:rowOff>28575</xdr:rowOff>
    </xdr:to>
    <xdr:sp macro="openHelpModule" textlink="">
      <xdr:nvSpPr>
        <xdr:cNvPr id="2" name="helpForm">
          <a:extLst>
            <a:ext uri="{FF2B5EF4-FFF2-40B4-BE49-F238E27FC236}">
              <a16:creationId xmlns:a16="http://schemas.microsoft.com/office/drawing/2014/main" id="{C88D2787-7281-9E42-A8FB-3F4B7EFD51A0}"/>
            </a:ext>
          </a:extLst>
        </xdr:cNvPr>
        <xdr:cNvSpPr/>
      </xdr:nvSpPr>
      <xdr:spPr>
        <a:xfrm>
          <a:off x="203200" y="895350"/>
          <a:ext cx="3479800" cy="6445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2400"/>
            <a:t>Column/Editing Information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895350</xdr:colOff>
      <xdr:row>1</xdr:row>
      <xdr:rowOff>63500</xdr:rowOff>
    </xdr:from>
    <xdr:to>
      <xdr:col>16</xdr:col>
      <xdr:colOff>431800</xdr:colOff>
      <xdr:row>3</xdr:row>
      <xdr:rowOff>60325</xdr:rowOff>
    </xdr:to>
    <xdr:sp macro="openFundingModule" textlink="">
      <xdr:nvSpPr>
        <xdr:cNvPr id="2" name="fundingButton">
          <a:extLst>
            <a:ext uri="{FF2B5EF4-FFF2-40B4-BE49-F238E27FC236}">
              <a16:creationId xmlns:a16="http://schemas.microsoft.com/office/drawing/2014/main" id="{30216B3E-2FD6-104E-8F89-15B33D3A1CA8}"/>
            </a:ext>
          </a:extLst>
        </xdr:cNvPr>
        <xdr:cNvSpPr/>
      </xdr:nvSpPr>
      <xdr:spPr>
        <a:xfrm>
          <a:off x="12922250" y="444500"/>
          <a:ext cx="5861050" cy="6318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en-US" sz="2400"/>
            <a:t>Open Funding Controls</a:t>
          </a:r>
        </a:p>
      </xdr:txBody>
    </xdr:sp>
    <xdr:clientData/>
  </xdr:twoCellAnchor>
  <xdr:twoCellAnchor>
    <xdr:from>
      <xdr:col>2</xdr:col>
      <xdr:colOff>0</xdr:colOff>
      <xdr:row>50</xdr:row>
      <xdr:rowOff>0</xdr:rowOff>
    </xdr:from>
    <xdr:to>
      <xdr:col>8</xdr:col>
      <xdr:colOff>784225</xdr:colOff>
      <xdr:row>76</xdr:row>
      <xdr:rowOff>0</xdr:rowOff>
    </xdr:to>
    <xdr:graphicFrame macro="">
      <xdr:nvGraphicFramePr>
        <xdr:cNvPr id="3" name="Chart 2">
          <a:extLst>
            <a:ext uri="{FF2B5EF4-FFF2-40B4-BE49-F238E27FC236}">
              <a16:creationId xmlns:a16="http://schemas.microsoft.com/office/drawing/2014/main" id="{4B43580E-32B0-8C46-B57E-D901E80AF8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die\Documents\164%20Oceanage\HOA\Oceanage%20Reserve%20Study%20Dec%202023\Reserve%20Study%20Budget%20The%20Oceanage%20Association,%20Inc.%20Excel%202023%20FIN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ddie\Documents\164%20Oceanage\HOA\Finance%20Committee\2025%20Budget\Reserve%20Study%20Budget%20The%20Oceanage%20Association,%20Inc.%20Excel%202023%20FINAL%20eep.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ddie\Documents\164%20Oceanage\HOA\Finance%20Committee\The%20Oceanage%20Association,%20Inc.%20Excel%202023%20FINAL%204-20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ddie\Documents\164%20Oceanage\HOA\Finance%20Committee\2025%20Budget\2025%20Budget%20Finance%20Committee%20V7%20FOR%20BOARD%20APPROVAL%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Info"/>
      <sheetName val="Expenditures"/>
      <sheetName val="Reserve Study Budget The Oceana"/>
    </sheetNames>
    <definedNames>
      <definedName name="Interest"/>
    </defined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Inf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erty Info"/>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 Exp 2024"/>
      <sheetName val="Budget 2025"/>
    </sheetNames>
    <sheetDataSet>
      <sheetData sheetId="0" refreshError="1"/>
      <sheetData sheetId="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0AE2A-B5E5-5E40-8658-6534D5EACE01}">
  <sheetPr>
    <tabColor rgb="FF92D050"/>
  </sheetPr>
  <dimension ref="A1:L37"/>
  <sheetViews>
    <sheetView workbookViewId="0">
      <selection activeCell="D21" sqref="D21"/>
    </sheetView>
  </sheetViews>
  <sheetFormatPr defaultColWidth="11.19921875" defaultRowHeight="15.6" x14ac:dyDescent="0.3"/>
  <cols>
    <col min="1" max="1" width="34.69921875" customWidth="1"/>
    <col min="3" max="3" width="11.5" bestFit="1" customWidth="1"/>
    <col min="4" max="5" width="13" bestFit="1" customWidth="1"/>
  </cols>
  <sheetData>
    <row r="1" spans="1:10" x14ac:dyDescent="0.3">
      <c r="A1" t="str">
        <f>+'Reserve Analysis - 2025 Update'!N4</f>
        <v>The Oceanage Association, Inc.</v>
      </c>
    </row>
    <row r="4" spans="1:10" x14ac:dyDescent="0.3">
      <c r="A4" t="s">
        <v>187</v>
      </c>
      <c r="C4" s="207">
        <f>+'Reserve Analysis - 2025 Update'!Z9</f>
        <v>2025</v>
      </c>
      <c r="D4" s="207">
        <f>+'Reserve Analysis - 2025 Update'!AA9</f>
        <v>2026</v>
      </c>
      <c r="E4" s="207">
        <f>+'Reserve Analysis - 2025 Update'!AB9</f>
        <v>2027</v>
      </c>
    </row>
    <row r="5" spans="1:10" x14ac:dyDescent="0.3">
      <c r="A5" t="s">
        <v>186</v>
      </c>
      <c r="C5" s="161">
        <f>+'Reserve Analysis - 2025 Update'!Z21</f>
        <v>308000</v>
      </c>
      <c r="D5" s="161">
        <f>+'Reserve Analysis - 2025 Update'!AA21</f>
        <v>924000.00000000012</v>
      </c>
      <c r="E5" s="161">
        <f>+'Reserve Analysis - 2025 Update'!AB21</f>
        <v>1386000</v>
      </c>
    </row>
    <row r="6" spans="1:10" x14ac:dyDescent="0.3">
      <c r="A6" t="s">
        <v>188</v>
      </c>
      <c r="C6" s="209">
        <f>+'Reserve Analysis - 2025 Update'!expenditures2-C5</f>
        <v>156750</v>
      </c>
      <c r="D6" s="206">
        <f>+'Reserve Analysis - 2025 Update'!expenditures3-'Reserve Qtrly 7-25 NOT UPDATED'!D5</f>
        <v>443753.99999999988</v>
      </c>
      <c r="E6" s="206">
        <f>+'Reserve Analysis - 2025 Update'!expenditures4-'Reserve Qtrly 7-25 NOT UPDATED'!E5</f>
        <v>427802</v>
      </c>
      <c r="F6" s="214" t="s">
        <v>249</v>
      </c>
      <c r="G6" s="214"/>
      <c r="H6" s="214"/>
      <c r="I6" s="214"/>
      <c r="J6" s="214"/>
    </row>
    <row r="7" spans="1:10" x14ac:dyDescent="0.3">
      <c r="A7" t="s">
        <v>15</v>
      </c>
      <c r="C7" s="161">
        <f>SUM(C5:C6)</f>
        <v>464750</v>
      </c>
      <c r="D7" s="161">
        <f t="shared" ref="D7:E7" si="0">SUM(D5:D6)</f>
        <v>1367754</v>
      </c>
      <c r="E7" s="161">
        <f t="shared" si="0"/>
        <v>1813802</v>
      </c>
    </row>
    <row r="8" spans="1:10" x14ac:dyDescent="0.3">
      <c r="C8" s="161"/>
      <c r="D8" s="161"/>
      <c r="E8" s="161"/>
    </row>
    <row r="9" spans="1:10" x14ac:dyDescent="0.3">
      <c r="A9" t="s">
        <v>189</v>
      </c>
      <c r="C9" s="161"/>
      <c r="D9" s="161"/>
      <c r="E9" s="161"/>
    </row>
    <row r="10" spans="1:10" x14ac:dyDescent="0.3">
      <c r="A10" t="str">
        <f>+'Reserve Analysis - 2025 Update'!N74</f>
        <v>Beginning Balance</v>
      </c>
      <c r="C10" s="161" t="e">
        <f>+'Reserve Analysis - 2025 Update'!Z74</f>
        <v>#REF!</v>
      </c>
      <c r="D10" s="161" t="e">
        <f>+'Reserve Analysis - 2025 Update'!AA74</f>
        <v>#REF!</v>
      </c>
      <c r="E10" s="161" t="e">
        <f>+'Reserve Analysis - 2025 Update'!AB74</f>
        <v>#REF!</v>
      </c>
    </row>
    <row r="11" spans="1:10" x14ac:dyDescent="0.3">
      <c r="A11" t="str">
        <f>+'Reserve Analysis - 2025 Update'!N75</f>
        <v>Special Assessment Funding</v>
      </c>
      <c r="B11" t="s">
        <v>190</v>
      </c>
      <c r="C11" s="161">
        <f>+'Reserve Analysis - 2025 Update'!Z75</f>
        <v>425000</v>
      </c>
      <c r="D11" s="161">
        <f>+'Reserve Analysis - 2025 Update'!AA75</f>
        <v>425000</v>
      </c>
      <c r="E11" s="161"/>
    </row>
    <row r="12" spans="1:10" x14ac:dyDescent="0.3">
      <c r="A12" t="str">
        <f>+A11</f>
        <v>Special Assessment Funding</v>
      </c>
      <c r="B12" t="s">
        <v>191</v>
      </c>
      <c r="C12" s="161"/>
      <c r="D12" s="161"/>
      <c r="E12" s="161">
        <f>+'Reserve Analysis - 2025 Update'!AB75</f>
        <v>1400000</v>
      </c>
    </row>
    <row r="13" spans="1:10" x14ac:dyDescent="0.3">
      <c r="A13" t="str">
        <f>+'Reserve Analysis - 2025 Update'!N76</f>
        <v>Annual Assessment Funding - Qrtly Dues</v>
      </c>
      <c r="C13" s="206">
        <f>+'Reserve Analysis - 2025 Update'!Z76</f>
        <v>400000</v>
      </c>
      <c r="D13" s="206">
        <f>+'Reserve Analysis - 2025 Update'!AA76</f>
        <v>650000</v>
      </c>
      <c r="E13" s="206">
        <f>+'Reserve Analysis - 2025 Update'!AB76</f>
        <v>650000</v>
      </c>
      <c r="G13" t="s">
        <v>250</v>
      </c>
    </row>
    <row r="14" spans="1:10" x14ac:dyDescent="0.3">
      <c r="A14" t="str">
        <f>+'Reserve Analysis - 2025 Update'!N77</f>
        <v>Total Funding</v>
      </c>
      <c r="C14" s="161" t="e">
        <f>SUM(C10:C13)</f>
        <v>#REF!</v>
      </c>
      <c r="D14" s="161" t="e">
        <f t="shared" ref="D14:E14" si="1">SUM(D10:D13)</f>
        <v>#REF!</v>
      </c>
      <c r="E14" s="161" t="e">
        <f t="shared" si="1"/>
        <v>#REF!</v>
      </c>
    </row>
    <row r="15" spans="1:10" x14ac:dyDescent="0.3">
      <c r="A15" t="str">
        <f>+'Reserve Analysis - 2025 Update'!N78</f>
        <v>Expenses</v>
      </c>
      <c r="C15" s="206">
        <f>+'Reserve Analysis - 2025 Update'!Z78</f>
        <v>-464750</v>
      </c>
      <c r="D15" s="206">
        <f>+'Reserve Analysis - 2025 Update'!AA78</f>
        <v>-1367754</v>
      </c>
      <c r="E15" s="206">
        <f>+'Reserve Analysis - 2025 Update'!AB78</f>
        <v>-1813802</v>
      </c>
    </row>
    <row r="16" spans="1:10" x14ac:dyDescent="0.3">
      <c r="A16" t="str">
        <f>+'Reserve Analysis - 2025 Update'!N79</f>
        <v>Ending Balance</v>
      </c>
      <c r="C16" s="161" t="e">
        <f>SUM(C14:C15)</f>
        <v>#REF!</v>
      </c>
      <c r="D16" s="161" t="e">
        <f t="shared" ref="D16:E16" si="2">SUM(D14:D15)</f>
        <v>#REF!</v>
      </c>
      <c r="E16" s="161" t="e">
        <f t="shared" si="2"/>
        <v>#REF!</v>
      </c>
    </row>
    <row r="17" spans="1:12" x14ac:dyDescent="0.3">
      <c r="C17" s="161"/>
      <c r="D17" s="161"/>
      <c r="E17" s="161"/>
    </row>
    <row r="19" spans="1:12" ht="17.399999999999999" x14ac:dyDescent="0.45">
      <c r="A19" t="s">
        <v>187</v>
      </c>
      <c r="C19" s="210" t="s">
        <v>192</v>
      </c>
      <c r="D19" s="211" t="s">
        <v>193</v>
      </c>
      <c r="E19" s="210" t="s">
        <v>194</v>
      </c>
      <c r="F19" s="210" t="s">
        <v>195</v>
      </c>
      <c r="G19" s="210" t="s">
        <v>196</v>
      </c>
      <c r="H19" s="210" t="s">
        <v>197</v>
      </c>
      <c r="I19" s="210" t="s">
        <v>198</v>
      </c>
      <c r="J19" s="210" t="s">
        <v>199</v>
      </c>
      <c r="K19" s="210" t="s">
        <v>200</v>
      </c>
      <c r="L19" s="210" t="s">
        <v>201</v>
      </c>
    </row>
    <row r="20" spans="1:12" x14ac:dyDescent="0.3">
      <c r="A20" t="s">
        <v>186</v>
      </c>
      <c r="C20" s="161">
        <f>+C5</f>
        <v>308000</v>
      </c>
      <c r="D20" s="161"/>
      <c r="E20" s="161">
        <v>500000</v>
      </c>
      <c r="F20" s="161">
        <v>500000</v>
      </c>
      <c r="G20" s="161"/>
      <c r="H20" s="161">
        <v>200000</v>
      </c>
      <c r="I20" s="161">
        <v>600000</v>
      </c>
      <c r="J20" s="161">
        <v>600000</v>
      </c>
      <c r="K20" s="161"/>
      <c r="L20" s="161"/>
    </row>
    <row r="21" spans="1:12" x14ac:dyDescent="0.3">
      <c r="A21" t="s">
        <v>188</v>
      </c>
      <c r="C21" s="209">
        <f>+C6/2-17064</f>
        <v>61311</v>
      </c>
      <c r="D21" s="325">
        <f>+C6/2</f>
        <v>78375</v>
      </c>
      <c r="E21" s="206">
        <f>+D6/4</f>
        <v>110938.49999999997</v>
      </c>
      <c r="F21" s="206">
        <f>+E21</f>
        <v>110938.49999999997</v>
      </c>
      <c r="G21" s="206">
        <f t="shared" ref="G21:H21" si="3">+F21</f>
        <v>110938.49999999997</v>
      </c>
      <c r="H21" s="206">
        <f t="shared" si="3"/>
        <v>110938.49999999997</v>
      </c>
      <c r="I21" s="206">
        <f>+E6/4</f>
        <v>106950.5</v>
      </c>
      <c r="J21" s="206">
        <f>+I21</f>
        <v>106950.5</v>
      </c>
      <c r="K21" s="206">
        <f t="shared" ref="K21:L21" si="4">+J21</f>
        <v>106950.5</v>
      </c>
      <c r="L21" s="206">
        <f t="shared" si="4"/>
        <v>106950.5</v>
      </c>
    </row>
    <row r="22" spans="1:12" x14ac:dyDescent="0.3">
      <c r="A22" t="s">
        <v>15</v>
      </c>
      <c r="C22" s="161">
        <f>SUM(C20:C21)</f>
        <v>369311</v>
      </c>
      <c r="D22" s="161">
        <f t="shared" ref="D22" si="5">SUM(D20:D21)</f>
        <v>78375</v>
      </c>
      <c r="E22" s="161">
        <f t="shared" ref="E22" si="6">SUM(E20:E21)</f>
        <v>610938.5</v>
      </c>
      <c r="F22" s="161">
        <f t="shared" ref="F22" si="7">SUM(F20:F21)</f>
        <v>610938.5</v>
      </c>
      <c r="G22" s="161">
        <f t="shared" ref="G22" si="8">SUM(G20:G21)</f>
        <v>110938.49999999997</v>
      </c>
      <c r="H22" s="161">
        <f t="shared" ref="H22" si="9">SUM(H20:H21)</f>
        <v>310938.5</v>
      </c>
      <c r="I22" s="161">
        <f t="shared" ref="I22" si="10">SUM(I20:I21)</f>
        <v>706950.5</v>
      </c>
      <c r="J22" s="161">
        <f t="shared" ref="J22" si="11">SUM(J20:J21)</f>
        <v>706950.5</v>
      </c>
      <c r="K22" s="161">
        <f t="shared" ref="K22" si="12">SUM(K20:K21)</f>
        <v>106950.5</v>
      </c>
      <c r="L22" s="161">
        <f t="shared" ref="L22" si="13">SUM(L20:L21)</f>
        <v>106950.5</v>
      </c>
    </row>
    <row r="23" spans="1:12" x14ac:dyDescent="0.3">
      <c r="C23" s="161"/>
      <c r="D23" s="161"/>
      <c r="E23" s="161"/>
    </row>
    <row r="24" spans="1:12" x14ac:dyDescent="0.3">
      <c r="C24" s="161"/>
      <c r="D24" s="161"/>
      <c r="E24" s="161"/>
    </row>
    <row r="25" spans="1:12" ht="17.399999999999999" x14ac:dyDescent="0.45">
      <c r="A25" t="s">
        <v>189</v>
      </c>
      <c r="C25" s="212" t="s">
        <v>192</v>
      </c>
      <c r="D25" s="213" t="s">
        <v>193</v>
      </c>
      <c r="E25" s="212" t="s">
        <v>194</v>
      </c>
      <c r="F25" s="212" t="s">
        <v>195</v>
      </c>
      <c r="G25" s="212" t="s">
        <v>196</v>
      </c>
      <c r="H25" s="212" t="s">
        <v>197</v>
      </c>
      <c r="I25" s="212" t="s">
        <v>198</v>
      </c>
      <c r="J25" s="212" t="s">
        <v>199</v>
      </c>
      <c r="K25" s="212" t="s">
        <v>200</v>
      </c>
      <c r="L25" s="212" t="s">
        <v>201</v>
      </c>
    </row>
    <row r="26" spans="1:12" x14ac:dyDescent="0.3">
      <c r="A26" t="str">
        <f>+A10</f>
        <v>Beginning Balance</v>
      </c>
      <c r="C26" s="324">
        <v>859099</v>
      </c>
      <c r="D26" s="161">
        <f>+C32</f>
        <v>589788</v>
      </c>
      <c r="E26" s="161">
        <f t="shared" ref="E26:L26" si="14">+D32</f>
        <v>1036413</v>
      </c>
      <c r="F26" s="161">
        <f t="shared" si="14"/>
        <v>1012974.5</v>
      </c>
      <c r="G26" s="161">
        <f t="shared" si="14"/>
        <v>564536</v>
      </c>
      <c r="H26" s="161">
        <f t="shared" si="14"/>
        <v>616097.5</v>
      </c>
      <c r="I26" s="161">
        <f t="shared" si="14"/>
        <v>1167659</v>
      </c>
      <c r="J26" s="161">
        <f t="shared" si="14"/>
        <v>1323208.5</v>
      </c>
      <c r="K26" s="161">
        <f t="shared" si="14"/>
        <v>778758</v>
      </c>
      <c r="L26" s="161">
        <f t="shared" si="14"/>
        <v>834307.5</v>
      </c>
    </row>
    <row r="27" spans="1:12" x14ac:dyDescent="0.3">
      <c r="A27" t="str">
        <f t="shared" ref="A27:A32" si="15">+A11</f>
        <v>Special Assessment Funding</v>
      </c>
      <c r="B27" t="s">
        <v>190</v>
      </c>
      <c r="C27" s="161">
        <f>+'Reserve Analysis - 2025 Update'!Z85</f>
        <v>0</v>
      </c>
      <c r="D27" s="161">
        <f>+C11</f>
        <v>425000</v>
      </c>
      <c r="E27" s="161">
        <f>+D27</f>
        <v>425000</v>
      </c>
    </row>
    <row r="28" spans="1:12" x14ac:dyDescent="0.3">
      <c r="A28" t="str">
        <f t="shared" si="15"/>
        <v>Special Assessment Funding</v>
      </c>
      <c r="B28" t="s">
        <v>191</v>
      </c>
      <c r="C28" s="161"/>
      <c r="D28" s="161"/>
      <c r="E28" s="161"/>
      <c r="H28">
        <v>700000</v>
      </c>
      <c r="I28">
        <v>700000</v>
      </c>
    </row>
    <row r="29" spans="1:12" x14ac:dyDescent="0.3">
      <c r="A29" t="str">
        <f t="shared" si="15"/>
        <v>Annual Assessment Funding - Qrtly Dues</v>
      </c>
      <c r="C29" s="206">
        <v>100000</v>
      </c>
      <c r="D29" s="206">
        <v>100000</v>
      </c>
      <c r="E29" s="206">
        <f>+D13/4</f>
        <v>162500</v>
      </c>
      <c r="F29" s="206">
        <f>+E29</f>
        <v>162500</v>
      </c>
      <c r="G29" s="206">
        <f t="shared" ref="G29:H29" si="16">+F29</f>
        <v>162500</v>
      </c>
      <c r="H29" s="206">
        <f t="shared" si="16"/>
        <v>162500</v>
      </c>
      <c r="I29" s="206">
        <f>+E13/4</f>
        <v>162500</v>
      </c>
      <c r="J29" s="206">
        <f>+I29</f>
        <v>162500</v>
      </c>
      <c r="K29" s="206">
        <f t="shared" ref="K29:L29" si="17">+J29</f>
        <v>162500</v>
      </c>
      <c r="L29" s="206">
        <f t="shared" si="17"/>
        <v>162500</v>
      </c>
    </row>
    <row r="30" spans="1:12" x14ac:dyDescent="0.3">
      <c r="A30" t="str">
        <f t="shared" si="15"/>
        <v>Total Funding</v>
      </c>
      <c r="C30" s="161">
        <f>SUM(C26:C29)</f>
        <v>959099</v>
      </c>
      <c r="D30" s="161">
        <f t="shared" ref="D30" si="18">SUM(D26:D29)</f>
        <v>1114788</v>
      </c>
      <c r="E30" s="161">
        <f t="shared" ref="E30" si="19">SUM(E26:E29)</f>
        <v>1623913</v>
      </c>
      <c r="F30" s="161">
        <f t="shared" ref="F30" si="20">SUM(F26:F29)</f>
        <v>1175474.5</v>
      </c>
      <c r="G30" s="161">
        <f t="shared" ref="G30" si="21">SUM(G26:G29)</f>
        <v>727036</v>
      </c>
      <c r="H30" s="161">
        <f t="shared" ref="H30" si="22">SUM(H26:H29)</f>
        <v>1478597.5</v>
      </c>
      <c r="I30" s="161">
        <f t="shared" ref="I30" si="23">SUM(I26:I29)</f>
        <v>2030159</v>
      </c>
      <c r="J30" s="161">
        <f t="shared" ref="J30" si="24">SUM(J26:J29)</f>
        <v>1485708.5</v>
      </c>
      <c r="K30" s="161">
        <f t="shared" ref="K30" si="25">SUM(K26:K29)</f>
        <v>941258</v>
      </c>
      <c r="L30" s="161">
        <f t="shared" ref="L30" si="26">SUM(L26:L29)</f>
        <v>996807.5</v>
      </c>
    </row>
    <row r="31" spans="1:12" x14ac:dyDescent="0.3">
      <c r="A31" t="str">
        <f t="shared" si="15"/>
        <v>Expenses</v>
      </c>
      <c r="C31" s="206">
        <f>-C22</f>
        <v>-369311</v>
      </c>
      <c r="D31" s="206">
        <f>-D22</f>
        <v>-78375</v>
      </c>
      <c r="E31" s="206">
        <f>-E22</f>
        <v>-610938.5</v>
      </c>
      <c r="F31" s="206">
        <f t="shared" ref="F31:L31" si="27">-F22</f>
        <v>-610938.5</v>
      </c>
      <c r="G31" s="206">
        <f t="shared" si="27"/>
        <v>-110938.49999999997</v>
      </c>
      <c r="H31" s="206">
        <f t="shared" si="27"/>
        <v>-310938.5</v>
      </c>
      <c r="I31" s="206">
        <f t="shared" si="27"/>
        <v>-706950.5</v>
      </c>
      <c r="J31" s="206">
        <f t="shared" si="27"/>
        <v>-706950.5</v>
      </c>
      <c r="K31" s="206">
        <f t="shared" si="27"/>
        <v>-106950.5</v>
      </c>
      <c r="L31" s="206">
        <f t="shared" si="27"/>
        <v>-106950.5</v>
      </c>
    </row>
    <row r="32" spans="1:12" x14ac:dyDescent="0.3">
      <c r="A32" t="str">
        <f t="shared" si="15"/>
        <v>Ending Balance</v>
      </c>
      <c r="C32" s="161">
        <f>SUM(C30:C31)</f>
        <v>589788</v>
      </c>
      <c r="D32" s="161">
        <f t="shared" ref="D32" si="28">SUM(D30:D31)</f>
        <v>1036413</v>
      </c>
      <c r="E32" s="161">
        <f t="shared" ref="E32" si="29">SUM(E30:E31)</f>
        <v>1012974.5</v>
      </c>
      <c r="F32" s="161">
        <f t="shared" ref="F32" si="30">SUM(F30:F31)</f>
        <v>564536</v>
      </c>
      <c r="G32" s="161">
        <f t="shared" ref="G32" si="31">SUM(G30:G31)</f>
        <v>616097.5</v>
      </c>
      <c r="H32" s="161">
        <f t="shared" ref="H32" si="32">SUM(H30:H31)</f>
        <v>1167659</v>
      </c>
      <c r="I32" s="161">
        <f t="shared" ref="I32" si="33">SUM(I30:I31)</f>
        <v>1323208.5</v>
      </c>
      <c r="J32" s="161">
        <f t="shared" ref="J32" si="34">SUM(J30:J31)</f>
        <v>778758</v>
      </c>
      <c r="K32" s="161">
        <f t="shared" ref="K32" si="35">SUM(K30:K31)</f>
        <v>834307.5</v>
      </c>
      <c r="L32" s="161">
        <f t="shared" ref="L32" si="36">SUM(L30:L31)</f>
        <v>889857</v>
      </c>
    </row>
    <row r="34" spans="1:12" x14ac:dyDescent="0.3">
      <c r="A34" t="s">
        <v>248</v>
      </c>
      <c r="D34" s="208" t="e">
        <f>+D32-C16</f>
        <v>#REF!</v>
      </c>
      <c r="H34" s="208" t="e">
        <f>+H32-D16</f>
        <v>#REF!</v>
      </c>
      <c r="L34" s="208" t="e">
        <f>+L32-E16</f>
        <v>#REF!</v>
      </c>
    </row>
    <row r="35" spans="1:12" x14ac:dyDescent="0.3">
      <c r="D35" t="s">
        <v>202</v>
      </c>
      <c r="H35" t="s">
        <v>203</v>
      </c>
      <c r="L35" t="s">
        <v>202</v>
      </c>
    </row>
    <row r="37" spans="1:12" x14ac:dyDescent="0.3">
      <c r="A37" s="214" t="s">
        <v>204</v>
      </c>
      <c r="B37" s="214"/>
      <c r="C37" s="214"/>
      <c r="D37" s="214"/>
      <c r="E37" s="214"/>
      <c r="F37" s="214"/>
      <c r="G37" s="214"/>
      <c r="H37" s="214"/>
      <c r="I37" s="214"/>
      <c r="J37" s="214"/>
    </row>
  </sheetData>
  <phoneticPr fontId="41"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F7BE4-C95B-2D43-814B-4FD89D15159F}">
  <sheetPr>
    <tabColor rgb="FF92D050"/>
    <pageSetUpPr fitToPage="1"/>
  </sheetPr>
  <dimension ref="A1:EX120"/>
  <sheetViews>
    <sheetView tabSelected="1" zoomScale="91" zoomScaleNormal="70" workbookViewId="0">
      <pane xSplit="14" ySplit="10" topLeftCell="V11" activePane="bottomRight" state="frozen"/>
      <selection activeCell="J23" sqref="J23"/>
      <selection pane="topRight" activeCell="J23" sqref="J23"/>
      <selection pane="bottomLeft" activeCell="J23" sqref="J23"/>
      <selection pane="bottomRight" activeCell="Y6" sqref="Y6"/>
    </sheetView>
  </sheetViews>
  <sheetFormatPr defaultColWidth="8.796875" defaultRowHeight="15.6" x14ac:dyDescent="0.3"/>
  <cols>
    <col min="1" max="1" width="2.69921875" hidden="1" customWidth="1"/>
    <col min="2" max="2" width="14.5" hidden="1" customWidth="1"/>
    <col min="3" max="3" width="11.296875" hidden="1" customWidth="1"/>
    <col min="4" max="4" width="10" hidden="1" customWidth="1"/>
    <col min="5" max="5" width="11.69921875" hidden="1" customWidth="1"/>
    <col min="6" max="6" width="10.69921875" hidden="1" customWidth="1"/>
    <col min="7" max="7" width="9.296875" hidden="1" customWidth="1"/>
    <col min="8" max="8" width="0.796875" hidden="1" customWidth="1"/>
    <col min="9" max="9" width="2.69921875" hidden="1" customWidth="1"/>
    <col min="10" max="10" width="9.5" hidden="1" customWidth="1"/>
    <col min="11" max="11" width="13.296875" hidden="1" customWidth="1"/>
    <col min="12" max="12" width="11.296875" hidden="1" customWidth="1"/>
    <col min="13" max="13" width="15.69921875" hidden="1" customWidth="1"/>
    <col min="14" max="14" width="100.69921875" customWidth="1"/>
    <col min="15" max="15" width="13" hidden="1" customWidth="1"/>
    <col min="16" max="16" width="10" hidden="1" customWidth="1"/>
    <col min="17" max="17" width="13.69921875" hidden="1" customWidth="1"/>
    <col min="18" max="18" width="15.5" hidden="1" customWidth="1"/>
    <col min="19" max="19" width="0" hidden="1" customWidth="1"/>
    <col min="20" max="20" width="15.5" hidden="1" customWidth="1"/>
    <col min="21" max="21" width="16.5" hidden="1" customWidth="1"/>
    <col min="22" max="22" width="17.69921875" customWidth="1"/>
    <col min="23" max="23" width="15.19921875" hidden="1" customWidth="1"/>
    <col min="24" max="24" width="15" customWidth="1"/>
    <col min="25" max="25" width="20" customWidth="1"/>
    <col min="26" max="47" width="15" customWidth="1"/>
    <col min="48" max="48" width="15.69921875" customWidth="1"/>
    <col min="49" max="49" width="13.796875" customWidth="1"/>
    <col min="50" max="50" width="15.5" customWidth="1"/>
    <col min="51" max="51" width="13.5" bestFit="1" customWidth="1"/>
    <col min="52" max="52" width="13.796875" customWidth="1"/>
    <col min="53" max="53" width="15.296875" customWidth="1"/>
    <col min="54" max="54" width="16" customWidth="1"/>
    <col min="55" max="55" width="14.5" customWidth="1"/>
    <col min="56" max="56" width="11.19921875" customWidth="1"/>
    <col min="57" max="57" width="10.19921875" customWidth="1"/>
    <col min="58" max="58" width="10" bestFit="1" customWidth="1"/>
    <col min="59" max="59" width="11.796875" customWidth="1"/>
  </cols>
  <sheetData>
    <row r="1" spans="1:72" ht="30" customHeight="1" x14ac:dyDescent="0.3">
      <c r="A1" s="1"/>
      <c r="B1" s="1"/>
      <c r="C1" s="1"/>
      <c r="D1" s="1"/>
      <c r="E1" s="1"/>
      <c r="F1" s="1"/>
      <c r="G1" s="1"/>
      <c r="H1" s="1"/>
      <c r="I1" s="1"/>
      <c r="J1" s="1"/>
      <c r="K1" s="1"/>
      <c r="L1" s="1"/>
      <c r="M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25.95" customHeight="1" x14ac:dyDescent="0.5">
      <c r="A2" s="1"/>
      <c r="B2" s="2"/>
      <c r="C2" s="2"/>
      <c r="D2" s="2"/>
      <c r="E2" s="2"/>
      <c r="F2" s="2"/>
      <c r="G2" s="2"/>
      <c r="H2" s="2"/>
      <c r="I2" s="2"/>
      <c r="J2" s="3"/>
      <c r="K2" s="3"/>
      <c r="L2" s="3"/>
      <c r="M2" s="3"/>
      <c r="N2" s="4" t="s">
        <v>183</v>
      </c>
      <c r="O2" s="5"/>
      <c r="P2" s="6"/>
      <c r="Q2" s="7"/>
      <c r="R2" s="7"/>
      <c r="S2" s="7"/>
      <c r="T2" s="7"/>
      <c r="U2" s="7"/>
      <c r="V2" s="7"/>
      <c r="W2" s="7"/>
      <c r="X2" s="8"/>
      <c r="Y2" s="9" t="s">
        <v>151</v>
      </c>
      <c r="Z2" s="7"/>
      <c r="AA2" s="9"/>
      <c r="AB2" s="7"/>
      <c r="AC2" s="7"/>
      <c r="AD2" s="7"/>
      <c r="AE2" s="7"/>
      <c r="AF2" s="7"/>
      <c r="AG2" s="7"/>
      <c r="AH2" s="7"/>
      <c r="AI2" s="7"/>
      <c r="AJ2" s="7"/>
      <c r="AK2" s="7"/>
      <c r="AL2" s="7"/>
      <c r="AM2" s="7"/>
      <c r="AN2" s="7"/>
      <c r="AO2" s="7"/>
      <c r="AP2" s="3"/>
      <c r="AQ2" s="3"/>
      <c r="AR2" s="3"/>
      <c r="AS2" s="3"/>
      <c r="AT2" s="3"/>
      <c r="AU2" s="3"/>
      <c r="AV2" s="3"/>
      <c r="AW2" s="10"/>
      <c r="AX2" s="3"/>
      <c r="AY2" s="3"/>
      <c r="AZ2" s="3"/>
      <c r="BA2" s="3"/>
      <c r="BB2" s="3"/>
      <c r="BC2" s="1"/>
      <c r="BD2" s="1"/>
      <c r="BE2" s="1"/>
      <c r="BF2" s="1"/>
      <c r="BG2" s="1"/>
      <c r="BH2" s="1"/>
      <c r="BI2" s="1"/>
      <c r="BJ2" s="1"/>
      <c r="BK2" s="1"/>
      <c r="BL2" s="1"/>
      <c r="BM2" s="1"/>
      <c r="BN2" s="1"/>
      <c r="BO2" s="1"/>
      <c r="BP2" s="1"/>
      <c r="BQ2" s="1"/>
      <c r="BR2" s="1"/>
      <c r="BS2" s="1"/>
      <c r="BT2" s="1"/>
    </row>
    <row r="3" spans="1:72" ht="19.05" customHeight="1" x14ac:dyDescent="0.35">
      <c r="A3" s="1"/>
      <c r="B3" s="2"/>
      <c r="C3" s="2"/>
      <c r="D3" s="2"/>
      <c r="E3" s="2"/>
      <c r="F3" s="2"/>
      <c r="G3" s="2"/>
      <c r="H3" s="2"/>
      <c r="I3" s="2"/>
      <c r="J3" s="11"/>
      <c r="K3" s="12"/>
      <c r="L3" s="11"/>
      <c r="M3" s="13"/>
      <c r="N3" s="14"/>
      <c r="O3" s="15"/>
      <c r="P3" s="16"/>
      <c r="Q3" s="17"/>
      <c r="R3" s="18"/>
      <c r="S3" s="18"/>
      <c r="T3" s="18"/>
      <c r="U3" s="18"/>
      <c r="V3" s="18"/>
      <c r="W3" s="3"/>
      <c r="X3" s="19" t="s">
        <v>152</v>
      </c>
      <c r="Y3" s="20" t="e">
        <f>IF(Inflation=secondaryInflation,Inflation,secondaryInflation)</f>
        <v>#REF!</v>
      </c>
      <c r="Z3" s="21" t="e">
        <f>IF(Inflation=secondaryInflation,"is the estimated Inflation Rate for estimating Future Replacement Costs.","is the estimated Inflation Rate through "&amp;secondaryInflationYear&amp;".")</f>
        <v>#REF!</v>
      </c>
      <c r="AA3" s="8"/>
      <c r="AB3" s="2"/>
      <c r="AC3" s="22"/>
      <c r="AD3" s="22"/>
      <c r="AE3" s="2"/>
      <c r="AF3" s="37" t="s">
        <v>153</v>
      </c>
      <c r="AG3" s="2"/>
      <c r="AH3" s="2"/>
      <c r="AI3" s="2"/>
      <c r="AJ3" s="2"/>
      <c r="AK3" s="2"/>
      <c r="AL3" s="2"/>
      <c r="AM3" s="2"/>
      <c r="AN3" s="2"/>
      <c r="AO3" s="2"/>
      <c r="AP3" s="2"/>
      <c r="AQ3" s="2"/>
      <c r="AR3" s="2"/>
      <c r="AS3" s="23"/>
      <c r="AT3" s="24"/>
      <c r="AU3" s="24"/>
      <c r="AV3" s="24"/>
      <c r="AW3" s="24"/>
      <c r="AX3" s="24"/>
      <c r="AY3" s="24"/>
      <c r="AZ3" s="24"/>
      <c r="BA3" s="24"/>
      <c r="BB3" s="24"/>
      <c r="BC3" s="1"/>
      <c r="BD3" s="1"/>
      <c r="BE3" s="1"/>
      <c r="BF3" s="1"/>
      <c r="BG3" s="1"/>
      <c r="BH3" s="1"/>
      <c r="BI3" s="1"/>
      <c r="BJ3" s="1"/>
      <c r="BK3" s="1"/>
      <c r="BL3" s="1"/>
      <c r="BM3" s="1"/>
      <c r="BN3" s="1"/>
      <c r="BO3" s="1"/>
      <c r="BP3" s="1"/>
      <c r="BQ3" s="1"/>
      <c r="BR3" s="1"/>
      <c r="BS3" s="1"/>
      <c r="BT3" s="1"/>
    </row>
    <row r="4" spans="1:72" ht="22.05" customHeight="1" x14ac:dyDescent="0.35">
      <c r="A4" s="1"/>
      <c r="B4" s="2"/>
      <c r="C4" s="2"/>
      <c r="D4" s="2"/>
      <c r="E4" s="2"/>
      <c r="F4" s="2"/>
      <c r="G4" s="2"/>
      <c r="H4" s="2"/>
      <c r="I4" s="2"/>
      <c r="J4" s="25"/>
      <c r="K4" s="12"/>
      <c r="L4" s="11"/>
      <c r="M4" s="11"/>
      <c r="N4" s="26" t="s">
        <v>0</v>
      </c>
      <c r="O4" s="27"/>
      <c r="P4" s="27"/>
      <c r="Q4" s="28"/>
      <c r="R4" s="29"/>
      <c r="S4" s="29"/>
      <c r="T4" s="29"/>
      <c r="U4" s="29"/>
      <c r="V4" s="29"/>
      <c r="W4" s="3"/>
      <c r="X4" s="19" t="s">
        <v>154</v>
      </c>
      <c r="Y4" s="30" t="s">
        <v>155</v>
      </c>
      <c r="Z4" s="2"/>
      <c r="AA4" s="8"/>
      <c r="AB4" s="2"/>
      <c r="AC4" s="2"/>
      <c r="AD4" s="2"/>
      <c r="AE4" s="2"/>
      <c r="AF4" s="2"/>
      <c r="AG4" s="3"/>
      <c r="AH4" s="2"/>
      <c r="AI4" s="2"/>
      <c r="AJ4" s="2"/>
      <c r="AK4" s="2"/>
      <c r="AL4" s="2"/>
      <c r="AM4" s="2"/>
      <c r="AN4" s="2"/>
      <c r="AO4" s="2"/>
      <c r="AP4" s="2"/>
      <c r="AQ4" s="2"/>
      <c r="AR4" s="2"/>
      <c r="AS4" s="31"/>
      <c r="AT4" s="31"/>
      <c r="AU4" s="31"/>
      <c r="AV4" s="31"/>
      <c r="AW4" s="31"/>
      <c r="AX4" s="31"/>
      <c r="AY4" s="31"/>
      <c r="AZ4" s="31"/>
      <c r="BA4" s="31"/>
      <c r="BB4" s="31"/>
      <c r="BC4" s="1"/>
      <c r="BD4" s="1"/>
      <c r="BE4" s="1"/>
      <c r="BF4" s="1"/>
      <c r="BG4" s="1"/>
      <c r="BH4" s="1"/>
      <c r="BI4" s="1"/>
      <c r="BJ4" s="1"/>
      <c r="BK4" s="1"/>
      <c r="BL4" s="1"/>
      <c r="BM4" s="1"/>
      <c r="BN4" s="1"/>
      <c r="BO4" s="1"/>
      <c r="BP4" s="1"/>
      <c r="BQ4" s="1"/>
      <c r="BR4" s="1"/>
      <c r="BS4" s="1"/>
      <c r="BT4" s="1"/>
    </row>
    <row r="5" spans="1:72" ht="22.05" customHeight="1" x14ac:dyDescent="0.35">
      <c r="A5" s="1"/>
      <c r="B5" s="2"/>
      <c r="C5" s="2"/>
      <c r="D5" s="2"/>
      <c r="E5" s="2"/>
      <c r="F5" s="2"/>
      <c r="G5" s="2"/>
      <c r="H5" s="2"/>
      <c r="I5" s="2"/>
      <c r="J5" s="11"/>
      <c r="K5" s="12"/>
      <c r="L5" s="11"/>
      <c r="M5" s="13"/>
      <c r="N5" s="26" t="s">
        <v>1</v>
      </c>
      <c r="O5" s="32"/>
      <c r="P5" s="12"/>
      <c r="Q5" s="11"/>
      <c r="R5" s="2"/>
      <c r="S5" s="2"/>
      <c r="T5" s="2"/>
      <c r="U5" s="2"/>
      <c r="V5" s="2"/>
      <c r="W5" s="3"/>
      <c r="X5" s="19" t="s">
        <v>42</v>
      </c>
      <c r="Y5" s="33"/>
      <c r="Z5" s="8"/>
      <c r="AA5" s="8"/>
      <c r="AB5" s="2"/>
      <c r="AC5" s="2"/>
      <c r="AD5" s="2"/>
      <c r="AE5" s="2"/>
      <c r="AF5" s="2"/>
      <c r="AG5" s="2"/>
      <c r="AH5" s="2"/>
      <c r="AI5" s="2"/>
      <c r="AJ5" s="2"/>
      <c r="AK5" s="2"/>
      <c r="AL5" s="2"/>
      <c r="AM5" s="2"/>
      <c r="AN5" s="2"/>
      <c r="AO5" s="2"/>
      <c r="AP5" s="2"/>
      <c r="AQ5" s="2"/>
      <c r="AR5" s="2"/>
      <c r="AS5" s="34"/>
      <c r="AT5" s="31"/>
      <c r="AU5" s="31"/>
      <c r="AV5" s="31"/>
      <c r="AW5" s="31"/>
      <c r="AX5" s="31"/>
      <c r="AY5" s="31"/>
      <c r="AZ5" s="31"/>
      <c r="BA5" s="31"/>
      <c r="BB5" s="31"/>
      <c r="BC5" s="1"/>
      <c r="BD5" s="1"/>
      <c r="BE5" s="1"/>
      <c r="BF5" s="1"/>
      <c r="BG5" s="1"/>
      <c r="BH5" s="1"/>
      <c r="BI5" s="1"/>
      <c r="BJ5" s="1"/>
      <c r="BK5" s="1"/>
      <c r="BL5" s="1"/>
      <c r="BM5" s="1"/>
      <c r="BN5" s="1"/>
      <c r="BO5" s="1"/>
      <c r="BP5" s="1"/>
      <c r="BQ5" s="1"/>
      <c r="BR5" s="1"/>
      <c r="BS5" s="1"/>
      <c r="BT5" s="1"/>
    </row>
    <row r="6" spans="1:72" ht="19.05" customHeight="1" x14ac:dyDescent="0.35">
      <c r="A6" s="1"/>
      <c r="B6" s="2"/>
      <c r="C6" s="2"/>
      <c r="D6" s="2"/>
      <c r="E6" s="2"/>
      <c r="F6" s="2"/>
      <c r="G6" s="2"/>
      <c r="H6" s="2"/>
      <c r="I6" s="2"/>
      <c r="J6" s="11"/>
      <c r="K6" s="12"/>
      <c r="L6" s="11"/>
      <c r="M6" s="13"/>
      <c r="N6" s="80"/>
      <c r="O6" s="25"/>
      <c r="P6" s="36"/>
      <c r="Q6" s="11"/>
      <c r="R6" s="11"/>
      <c r="S6" s="11"/>
      <c r="T6" s="3"/>
      <c r="U6" s="3"/>
      <c r="V6" s="3"/>
      <c r="W6" s="11"/>
      <c r="X6" s="37"/>
      <c r="Y6" s="328" t="s">
        <v>263</v>
      </c>
      <c r="Z6" s="2"/>
      <c r="AA6" s="2"/>
      <c r="AB6" s="2"/>
      <c r="AC6" s="2"/>
      <c r="AD6" s="2"/>
      <c r="AE6" s="2"/>
      <c r="AF6" s="2"/>
      <c r="AG6" s="2"/>
      <c r="AH6" s="2"/>
      <c r="AI6" s="2"/>
      <c r="AJ6" s="2"/>
      <c r="AK6" s="2"/>
      <c r="AL6" s="2"/>
      <c r="AM6" s="2"/>
      <c r="AN6" s="2"/>
      <c r="AO6" s="2"/>
      <c r="AP6" s="2"/>
      <c r="AQ6" s="2"/>
      <c r="AR6" s="2"/>
      <c r="AS6" s="31"/>
      <c r="AT6" s="31"/>
      <c r="AU6" s="31"/>
      <c r="AV6" s="31"/>
      <c r="AW6" s="31"/>
      <c r="AX6" s="31"/>
      <c r="AY6" s="31"/>
      <c r="AZ6" s="31"/>
      <c r="BA6" s="31"/>
      <c r="BB6" s="31"/>
      <c r="BC6" s="1"/>
      <c r="BD6" s="1"/>
      <c r="BE6" s="1"/>
      <c r="BF6" s="1"/>
      <c r="BG6" s="1"/>
      <c r="BH6" s="1"/>
      <c r="BI6" s="1"/>
      <c r="BJ6" s="1"/>
      <c r="BK6" s="1"/>
      <c r="BL6" s="1"/>
      <c r="BM6" s="1"/>
      <c r="BN6" s="1"/>
      <c r="BO6" s="1"/>
      <c r="BP6" s="1"/>
      <c r="BQ6" s="1"/>
      <c r="BR6" s="1"/>
      <c r="BS6" s="1"/>
      <c r="BT6" s="1"/>
    </row>
    <row r="7" spans="1:72" ht="19.05" customHeight="1" x14ac:dyDescent="0.35">
      <c r="A7" s="38"/>
      <c r="B7" s="39"/>
      <c r="C7" s="39"/>
      <c r="D7" s="39"/>
      <c r="E7" s="39"/>
      <c r="F7" s="39"/>
      <c r="G7" s="39"/>
      <c r="H7" s="39"/>
      <c r="I7" s="39"/>
      <c r="J7" s="35"/>
      <c r="K7" s="35"/>
      <c r="L7" s="35"/>
      <c r="M7" s="40" t="s">
        <v>2</v>
      </c>
      <c r="N7" s="41"/>
      <c r="O7" s="35" t="s">
        <v>3</v>
      </c>
      <c r="P7" s="329" t="s">
        <v>4</v>
      </c>
      <c r="Q7" s="329"/>
      <c r="R7" s="330" t="s">
        <v>5</v>
      </c>
      <c r="S7" s="330"/>
      <c r="T7" s="330"/>
      <c r="U7" s="330"/>
      <c r="V7" s="42"/>
      <c r="W7" s="43" t="s">
        <v>6</v>
      </c>
      <c r="X7" s="44">
        <v>3.5000000000000003E-2</v>
      </c>
      <c r="Y7" s="45">
        <v>3.5000000000000003E-2</v>
      </c>
      <c r="Z7" s="45">
        <v>3.5000000000000003E-2</v>
      </c>
      <c r="AA7" s="45">
        <v>3.5000000000000003E-2</v>
      </c>
      <c r="AB7" s="45">
        <v>3.5000000000000003E-2</v>
      </c>
      <c r="AC7" s="45">
        <v>3.5000000000000003E-2</v>
      </c>
      <c r="AD7" s="45">
        <v>3.5000000000000003E-2</v>
      </c>
      <c r="AE7" s="45">
        <v>3.5000000000000003E-2</v>
      </c>
      <c r="AF7" s="45">
        <v>3.5000000000000003E-2</v>
      </c>
      <c r="AG7" s="45">
        <v>3.5000000000000003E-2</v>
      </c>
      <c r="AH7" s="45">
        <v>3.5000000000000003E-2</v>
      </c>
      <c r="AI7" s="45">
        <v>3.5000000000000003E-2</v>
      </c>
      <c r="AJ7" s="45">
        <v>3.5000000000000003E-2</v>
      </c>
      <c r="AK7" s="45">
        <v>3.5000000000000003E-2</v>
      </c>
      <c r="AL7" s="45">
        <v>3.5000000000000003E-2</v>
      </c>
      <c r="AM7" s="45">
        <v>3.5000000000000003E-2</v>
      </c>
      <c r="AN7" s="45">
        <v>3.5000000000000003E-2</v>
      </c>
      <c r="AO7" s="45">
        <v>3.5000000000000003E-2</v>
      </c>
      <c r="AP7" s="45">
        <v>3.5000000000000003E-2</v>
      </c>
      <c r="AQ7" s="45">
        <v>3.5000000000000003E-2</v>
      </c>
      <c r="AR7" s="45">
        <v>3.5000000000000003E-2</v>
      </c>
      <c r="AS7" s="45">
        <v>3.5000000000000003E-2</v>
      </c>
      <c r="AT7" s="45">
        <v>3.5000000000000003E-2</v>
      </c>
      <c r="AU7" s="45">
        <v>3.5000000000000003E-2</v>
      </c>
      <c r="AV7" s="45">
        <v>3.5000000000000003E-2</v>
      </c>
      <c r="AW7" s="45">
        <v>3.5000000000000003E-2</v>
      </c>
      <c r="AX7" s="45">
        <v>3.5000000000000003E-2</v>
      </c>
      <c r="AY7" s="45">
        <v>3.5000000000000003E-2</v>
      </c>
      <c r="AZ7" s="45">
        <v>3.5000000000000003E-2</v>
      </c>
      <c r="BA7" s="45">
        <v>3.5000000000000003E-2</v>
      </c>
      <c r="BB7" s="45">
        <v>3.5000000000000003E-2</v>
      </c>
      <c r="BC7" s="46"/>
      <c r="BD7" s="46"/>
      <c r="BE7" s="46"/>
      <c r="BF7" s="46"/>
      <c r="BG7" s="46"/>
      <c r="BH7" s="46"/>
      <c r="BI7" s="46"/>
      <c r="BJ7" s="46"/>
      <c r="BK7" s="46"/>
      <c r="BL7" s="46"/>
      <c r="BM7" s="46"/>
      <c r="BN7" s="46"/>
      <c r="BO7" s="46"/>
      <c r="BP7" s="46"/>
      <c r="BQ7" s="46"/>
      <c r="BR7" s="46"/>
      <c r="BS7" s="46"/>
      <c r="BT7" s="46"/>
    </row>
    <row r="8" spans="1:72" ht="19.05" customHeight="1" x14ac:dyDescent="0.35">
      <c r="A8" s="38"/>
      <c r="B8" s="47" t="s">
        <v>7</v>
      </c>
      <c r="C8" s="48" t="s">
        <v>8</v>
      </c>
      <c r="D8" s="49" t="s">
        <v>9</v>
      </c>
      <c r="E8" s="49" t="s">
        <v>10</v>
      </c>
      <c r="F8" s="50" t="s">
        <v>11</v>
      </c>
      <c r="G8" s="51" t="s">
        <v>12</v>
      </c>
      <c r="H8" s="52" t="s">
        <v>13</v>
      </c>
      <c r="I8" s="52"/>
      <c r="J8" s="35" t="s">
        <v>14</v>
      </c>
      <c r="K8" s="39" t="s">
        <v>15</v>
      </c>
      <c r="L8" s="35" t="s">
        <v>16</v>
      </c>
      <c r="M8" s="35"/>
      <c r="N8" s="35"/>
      <c r="O8" s="35" t="s">
        <v>17</v>
      </c>
      <c r="P8" s="331" t="s">
        <v>18</v>
      </c>
      <c r="Q8" s="331"/>
      <c r="R8" s="35" t="s">
        <v>19</v>
      </c>
      <c r="S8" s="35" t="s">
        <v>6</v>
      </c>
      <c r="T8" s="35" t="s">
        <v>16</v>
      </c>
      <c r="U8" s="35" t="s">
        <v>15</v>
      </c>
      <c r="V8" s="35" t="s">
        <v>20</v>
      </c>
      <c r="W8" s="35" t="s">
        <v>21</v>
      </c>
      <c r="X8" s="53">
        <v>0</v>
      </c>
      <c r="Y8" s="54">
        <v>1</v>
      </c>
      <c r="Z8" s="54">
        <v>2</v>
      </c>
      <c r="AA8" s="54">
        <v>3</v>
      </c>
      <c r="AB8" s="54">
        <v>4</v>
      </c>
      <c r="AC8" s="54">
        <v>5</v>
      </c>
      <c r="AD8" s="54">
        <v>6</v>
      </c>
      <c r="AE8" s="54">
        <v>7</v>
      </c>
      <c r="AF8" s="54">
        <v>8</v>
      </c>
      <c r="AG8" s="54">
        <v>9</v>
      </c>
      <c r="AH8" s="54">
        <v>10</v>
      </c>
      <c r="AI8" s="54">
        <v>11</v>
      </c>
      <c r="AJ8" s="54">
        <v>12</v>
      </c>
      <c r="AK8" s="54">
        <v>13</v>
      </c>
      <c r="AL8" s="54">
        <v>14</v>
      </c>
      <c r="AM8" s="54">
        <v>15</v>
      </c>
      <c r="AN8" s="54">
        <v>16</v>
      </c>
      <c r="AO8" s="54">
        <v>17</v>
      </c>
      <c r="AP8" s="54">
        <v>18</v>
      </c>
      <c r="AQ8" s="54">
        <v>19</v>
      </c>
      <c r="AR8" s="54">
        <v>20</v>
      </c>
      <c r="AS8" s="55">
        <v>21</v>
      </c>
      <c r="AT8" s="55">
        <v>22</v>
      </c>
      <c r="AU8" s="55">
        <v>23</v>
      </c>
      <c r="AV8" s="55">
        <v>24</v>
      </c>
      <c r="AW8" s="55">
        <v>25</v>
      </c>
      <c r="AX8" s="55">
        <v>26</v>
      </c>
      <c r="AY8" s="55">
        <v>27</v>
      </c>
      <c r="AZ8" s="55">
        <v>28</v>
      </c>
      <c r="BA8" s="55">
        <v>29</v>
      </c>
      <c r="BB8" s="55">
        <v>30</v>
      </c>
      <c r="BC8" s="56"/>
      <c r="BD8" s="56"/>
      <c r="BE8" s="56"/>
      <c r="BF8" s="56"/>
      <c r="BG8" s="56"/>
      <c r="BH8" s="56"/>
      <c r="BI8" s="56"/>
      <c r="BJ8" s="56"/>
      <c r="BK8" s="56"/>
      <c r="BL8" s="56"/>
      <c r="BM8" s="56"/>
      <c r="BN8" s="56"/>
      <c r="BO8" s="56"/>
      <c r="BP8" s="56"/>
      <c r="BQ8" s="56"/>
      <c r="BR8" s="56"/>
      <c r="BS8" s="56"/>
      <c r="BT8" s="56"/>
    </row>
    <row r="9" spans="1:72" ht="19.05" customHeight="1" x14ac:dyDescent="0.35">
      <c r="A9" s="38"/>
      <c r="B9" s="47" t="s">
        <v>22</v>
      </c>
      <c r="C9" s="48" t="s">
        <v>23</v>
      </c>
      <c r="D9" s="49" t="s">
        <v>24</v>
      </c>
      <c r="E9" s="49" t="s">
        <v>16</v>
      </c>
      <c r="F9" s="50" t="s">
        <v>25</v>
      </c>
      <c r="G9" s="51" t="s">
        <v>26</v>
      </c>
      <c r="H9" s="52" t="s">
        <v>27</v>
      </c>
      <c r="I9" s="52"/>
      <c r="J9" s="35" t="s">
        <v>28</v>
      </c>
      <c r="K9" s="35" t="s">
        <v>22</v>
      </c>
      <c r="L9" s="35" t="s">
        <v>22</v>
      </c>
      <c r="M9" s="35" t="s">
        <v>29</v>
      </c>
      <c r="N9" s="35" t="s">
        <v>156</v>
      </c>
      <c r="O9" s="35" t="s">
        <v>30</v>
      </c>
      <c r="P9" s="41" t="s">
        <v>12</v>
      </c>
      <c r="Q9" s="41" t="s">
        <v>31</v>
      </c>
      <c r="R9" s="35" t="s">
        <v>32</v>
      </c>
      <c r="S9" s="35" t="s">
        <v>33</v>
      </c>
      <c r="T9" s="35" t="s">
        <v>32</v>
      </c>
      <c r="U9" s="35" t="s">
        <v>32</v>
      </c>
      <c r="V9" s="35" t="s">
        <v>34</v>
      </c>
      <c r="W9" s="35" t="s">
        <v>35</v>
      </c>
      <c r="X9" s="57">
        <v>2023</v>
      </c>
      <c r="Y9" s="54">
        <v>2024</v>
      </c>
      <c r="Z9" s="54">
        <v>2025</v>
      </c>
      <c r="AA9" s="54">
        <v>2026</v>
      </c>
      <c r="AB9" s="54">
        <v>2027</v>
      </c>
      <c r="AC9" s="54">
        <v>2028</v>
      </c>
      <c r="AD9" s="54">
        <v>2029</v>
      </c>
      <c r="AE9" s="54">
        <v>2030</v>
      </c>
      <c r="AF9" s="54">
        <v>2031</v>
      </c>
      <c r="AG9" s="54">
        <v>2032</v>
      </c>
      <c r="AH9" s="54">
        <v>2033</v>
      </c>
      <c r="AI9" s="54">
        <v>2034</v>
      </c>
      <c r="AJ9" s="54">
        <v>2035</v>
      </c>
      <c r="AK9" s="54">
        <v>2036</v>
      </c>
      <c r="AL9" s="54">
        <v>2037</v>
      </c>
      <c r="AM9" s="54">
        <v>2038</v>
      </c>
      <c r="AN9" s="54">
        <v>2039</v>
      </c>
      <c r="AO9" s="54">
        <v>2040</v>
      </c>
      <c r="AP9" s="54">
        <v>2041</v>
      </c>
      <c r="AQ9" s="54">
        <v>2042</v>
      </c>
      <c r="AR9" s="54">
        <v>2043</v>
      </c>
      <c r="AS9" s="54">
        <v>2044</v>
      </c>
      <c r="AT9" s="54">
        <v>2045</v>
      </c>
      <c r="AU9" s="54">
        <v>2046</v>
      </c>
      <c r="AV9" s="54">
        <v>2047</v>
      </c>
      <c r="AW9" s="54">
        <v>2048</v>
      </c>
      <c r="AX9" s="54">
        <v>2049</v>
      </c>
      <c r="AY9" s="54">
        <v>2050</v>
      </c>
      <c r="AZ9" s="54">
        <v>2051</v>
      </c>
      <c r="BA9" s="54">
        <v>2052</v>
      </c>
      <c r="BB9" s="54">
        <v>2053</v>
      </c>
      <c r="BC9" s="56"/>
      <c r="BD9" s="56"/>
      <c r="BE9" s="56"/>
      <c r="BF9" s="56"/>
      <c r="BG9" s="56"/>
      <c r="BH9" s="56"/>
      <c r="BI9" s="56"/>
      <c r="BJ9" s="56"/>
      <c r="BK9" s="56"/>
      <c r="BL9" s="56"/>
      <c r="BM9" s="56"/>
      <c r="BN9" s="56"/>
      <c r="BO9" s="56"/>
      <c r="BP9" s="56"/>
      <c r="BQ9" s="56"/>
      <c r="BR9" s="56"/>
      <c r="BS9" s="56"/>
      <c r="BT9" s="56"/>
    </row>
    <row r="10" spans="1:72" ht="10.050000000000001" customHeight="1" x14ac:dyDescent="0.35">
      <c r="A10" s="58"/>
      <c r="B10" s="59"/>
      <c r="C10" s="59"/>
      <c r="D10" s="59" t="s">
        <v>36</v>
      </c>
      <c r="E10" s="59" t="s">
        <v>36</v>
      </c>
      <c r="F10" s="59" t="s">
        <v>36</v>
      </c>
      <c r="G10" s="59" t="s">
        <v>36</v>
      </c>
      <c r="H10" s="59"/>
      <c r="I10" s="59"/>
      <c r="J10" s="59" t="s">
        <v>36</v>
      </c>
      <c r="K10" s="59"/>
      <c r="L10" s="59" t="s">
        <v>36</v>
      </c>
      <c r="M10" s="59" t="s">
        <v>36</v>
      </c>
      <c r="N10" s="59" t="s">
        <v>36</v>
      </c>
      <c r="O10" s="59" t="s">
        <v>36</v>
      </c>
      <c r="P10" s="59" t="s">
        <v>36</v>
      </c>
      <c r="Q10" s="59" t="s">
        <v>36</v>
      </c>
      <c r="R10" s="59" t="s">
        <v>36</v>
      </c>
      <c r="S10" s="59" t="s">
        <v>36</v>
      </c>
      <c r="T10" s="59" t="s">
        <v>36</v>
      </c>
      <c r="U10" s="59" t="s">
        <v>36</v>
      </c>
      <c r="V10" s="59" t="s">
        <v>36</v>
      </c>
      <c r="W10" s="60" t="s">
        <v>36</v>
      </c>
      <c r="X10" s="59" t="s">
        <v>36</v>
      </c>
      <c r="Y10" s="59" t="s">
        <v>36</v>
      </c>
      <c r="Z10" s="59" t="s">
        <v>36</v>
      </c>
      <c r="AA10" s="59" t="s">
        <v>36</v>
      </c>
      <c r="AB10" s="59" t="s">
        <v>36</v>
      </c>
      <c r="AC10" s="59" t="s">
        <v>36</v>
      </c>
      <c r="AD10" s="59" t="s">
        <v>36</v>
      </c>
      <c r="AE10" s="59" t="s">
        <v>36</v>
      </c>
      <c r="AF10" s="59" t="s">
        <v>36</v>
      </c>
      <c r="AG10" s="59" t="s">
        <v>36</v>
      </c>
      <c r="AH10" s="59" t="s">
        <v>36</v>
      </c>
      <c r="AI10" s="59" t="s">
        <v>36</v>
      </c>
      <c r="AJ10" s="59" t="s">
        <v>36</v>
      </c>
      <c r="AK10" s="59" t="s">
        <v>36</v>
      </c>
      <c r="AL10" s="59" t="s">
        <v>36</v>
      </c>
      <c r="AM10" s="59" t="s">
        <v>36</v>
      </c>
      <c r="AN10" s="59" t="s">
        <v>36</v>
      </c>
      <c r="AO10" s="59" t="s">
        <v>36</v>
      </c>
      <c r="AP10" s="59" t="s">
        <v>36</v>
      </c>
      <c r="AQ10" s="59" t="s">
        <v>36</v>
      </c>
      <c r="AR10" s="59" t="s">
        <v>36</v>
      </c>
      <c r="AS10" s="59" t="s">
        <v>36</v>
      </c>
      <c r="AT10" s="59" t="s">
        <v>36</v>
      </c>
      <c r="AU10" s="59" t="s">
        <v>36</v>
      </c>
      <c r="AV10" s="59" t="s">
        <v>36</v>
      </c>
      <c r="AW10" s="59" t="s">
        <v>36</v>
      </c>
      <c r="AX10" s="59" t="s">
        <v>36</v>
      </c>
      <c r="AY10" s="59" t="s">
        <v>36</v>
      </c>
      <c r="AZ10" s="59" t="s">
        <v>36</v>
      </c>
      <c r="BA10" s="59" t="s">
        <v>36</v>
      </c>
      <c r="BB10" s="59" t="s">
        <v>36</v>
      </c>
      <c r="BC10" s="61"/>
      <c r="BD10" s="61"/>
      <c r="BE10" s="61"/>
      <c r="BF10" s="61"/>
      <c r="BG10" s="61"/>
      <c r="BH10" s="61"/>
      <c r="BI10" s="61"/>
      <c r="BJ10" s="61"/>
      <c r="BK10" s="61"/>
      <c r="BL10" s="61"/>
      <c r="BM10" s="61"/>
      <c r="BN10" s="61"/>
      <c r="BO10" s="61"/>
      <c r="BP10" s="61"/>
      <c r="BQ10" s="61"/>
      <c r="BR10" s="61"/>
      <c r="BS10" s="61"/>
      <c r="BT10" s="61"/>
    </row>
    <row r="11" spans="1:72" s="1" customFormat="1" ht="40.049999999999997" customHeight="1" x14ac:dyDescent="0.35">
      <c r="A11" s="62"/>
      <c r="B11" s="63"/>
      <c r="C11" s="64"/>
      <c r="D11" s="62"/>
      <c r="E11" s="62"/>
      <c r="F11" s="65"/>
      <c r="G11" s="65"/>
      <c r="H11" s="66"/>
      <c r="I11" s="66"/>
      <c r="J11" s="67"/>
      <c r="K11" s="68"/>
      <c r="L11" s="61"/>
      <c r="M11" s="61"/>
      <c r="N11" s="69" t="s">
        <v>37</v>
      </c>
      <c r="O11" s="62"/>
      <c r="P11" s="65"/>
      <c r="Q11" s="62"/>
      <c r="R11" s="70"/>
      <c r="S11" s="71"/>
      <c r="T11" s="61"/>
      <c r="U11" s="61"/>
      <c r="V11" s="68"/>
      <c r="W11" s="72"/>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row>
    <row r="12" spans="1:72" s="1" customFormat="1" ht="40.049999999999997" customHeight="1" x14ac:dyDescent="0.35">
      <c r="A12" s="62"/>
      <c r="B12" s="63">
        <v>1</v>
      </c>
      <c r="C12" s="64">
        <v>1</v>
      </c>
      <c r="D12" s="62">
        <v>1</v>
      </c>
      <c r="E12" s="62">
        <v>1</v>
      </c>
      <c r="F12" s="65">
        <v>2041</v>
      </c>
      <c r="G12" s="65">
        <v>30</v>
      </c>
      <c r="H12" s="66">
        <v>0.01</v>
      </c>
      <c r="I12" s="66"/>
      <c r="J12" s="67">
        <v>1.0409999999999999</v>
      </c>
      <c r="K12" s="68">
        <v>154</v>
      </c>
      <c r="L12" s="73">
        <v>154</v>
      </c>
      <c r="M12" s="61" t="s">
        <v>38</v>
      </c>
      <c r="N12" s="61" t="s">
        <v>39</v>
      </c>
      <c r="O12" s="62">
        <v>2041</v>
      </c>
      <c r="P12" s="65" t="s">
        <v>40</v>
      </c>
      <c r="Q12" s="62" t="s">
        <v>41</v>
      </c>
      <c r="R12" s="70">
        <v>900</v>
      </c>
      <c r="S12" s="71">
        <v>1</v>
      </c>
      <c r="T12" s="73">
        <v>138600</v>
      </c>
      <c r="U12" s="73">
        <v>138600</v>
      </c>
      <c r="V12" s="68">
        <f>SUM(Y12:BB12)</f>
        <v>257448</v>
      </c>
      <c r="W12" s="72">
        <v>1.0098927897017359E-2</v>
      </c>
      <c r="X12" s="74" t="s">
        <v>42</v>
      </c>
      <c r="Y12" s="74" t="s">
        <v>42</v>
      </c>
      <c r="Z12" s="74" t="s">
        <v>42</v>
      </c>
      <c r="AA12" s="74" t="s">
        <v>42</v>
      </c>
      <c r="AB12" s="74" t="s">
        <v>42</v>
      </c>
      <c r="AC12" s="74" t="s">
        <v>42</v>
      </c>
      <c r="AD12" s="74" t="s">
        <v>42</v>
      </c>
      <c r="AE12" s="74" t="s">
        <v>42</v>
      </c>
      <c r="AF12" s="74" t="s">
        <v>42</v>
      </c>
      <c r="AG12" s="74" t="s">
        <v>42</v>
      </c>
      <c r="AH12" s="74" t="s">
        <v>42</v>
      </c>
      <c r="AI12" s="74" t="s">
        <v>42</v>
      </c>
      <c r="AJ12" s="74" t="s">
        <v>42</v>
      </c>
      <c r="AK12" s="74" t="s">
        <v>42</v>
      </c>
      <c r="AL12" s="74" t="s">
        <v>42</v>
      </c>
      <c r="AM12" s="74" t="s">
        <v>42</v>
      </c>
      <c r="AN12" s="74" t="s">
        <v>42</v>
      </c>
      <c r="AO12" s="74" t="s">
        <v>42</v>
      </c>
      <c r="AP12" s="74">
        <v>257448</v>
      </c>
      <c r="AQ12" s="74" t="s">
        <v>42</v>
      </c>
      <c r="AR12" s="74" t="s">
        <v>42</v>
      </c>
      <c r="AS12" s="74" t="s">
        <v>42</v>
      </c>
      <c r="AT12" s="74" t="s">
        <v>42</v>
      </c>
      <c r="AU12" s="74" t="s">
        <v>42</v>
      </c>
      <c r="AV12" s="74" t="s">
        <v>42</v>
      </c>
      <c r="AW12" s="74" t="s">
        <v>42</v>
      </c>
      <c r="AX12" s="74" t="s">
        <v>42</v>
      </c>
      <c r="AY12" s="74" t="s">
        <v>42</v>
      </c>
      <c r="AZ12" s="74" t="s">
        <v>42</v>
      </c>
      <c r="BA12" s="74" t="s">
        <v>42</v>
      </c>
      <c r="BB12" s="74" t="s">
        <v>42</v>
      </c>
    </row>
    <row r="13" spans="1:72" s="1" customFormat="1" ht="40.049999999999997" customHeight="1" x14ac:dyDescent="0.35">
      <c r="A13" s="62"/>
      <c r="B13" s="63">
        <v>1</v>
      </c>
      <c r="C13" s="64">
        <v>1</v>
      </c>
      <c r="D13" s="62">
        <v>1</v>
      </c>
      <c r="E13" s="62">
        <v>1</v>
      </c>
      <c r="F13" s="65">
        <v>2028</v>
      </c>
      <c r="G13" s="65">
        <v>8</v>
      </c>
      <c r="H13" s="66">
        <v>0.01</v>
      </c>
      <c r="I13" s="66"/>
      <c r="J13" s="67">
        <v>1.06</v>
      </c>
      <c r="K13" s="68">
        <v>8100</v>
      </c>
      <c r="L13" s="73">
        <v>8100</v>
      </c>
      <c r="M13" s="61" t="s">
        <v>43</v>
      </c>
      <c r="N13" s="61" t="s">
        <v>44</v>
      </c>
      <c r="O13" s="62">
        <v>2028</v>
      </c>
      <c r="P13" s="65" t="s">
        <v>45</v>
      </c>
      <c r="Q13" s="62" t="s">
        <v>46</v>
      </c>
      <c r="R13" s="70">
        <v>16</v>
      </c>
      <c r="S13" s="71">
        <v>1</v>
      </c>
      <c r="T13" s="73">
        <v>129600</v>
      </c>
      <c r="U13" s="73">
        <v>129600</v>
      </c>
      <c r="V13" s="68">
        <f t="shared" ref="V13:V68" si="0">SUM(Y13:BB13)</f>
        <v>974974</v>
      </c>
      <c r="W13" s="72">
        <v>3.8245362665340586E-2</v>
      </c>
      <c r="X13" s="74" t="s">
        <v>42</v>
      </c>
      <c r="Y13" s="74" t="s">
        <v>42</v>
      </c>
      <c r="Z13" s="74" t="s">
        <v>42</v>
      </c>
      <c r="AA13" s="74" t="s">
        <v>42</v>
      </c>
      <c r="AB13" s="74" t="s">
        <v>42</v>
      </c>
      <c r="AC13" s="74">
        <v>153924</v>
      </c>
      <c r="AD13" s="74" t="s">
        <v>42</v>
      </c>
      <c r="AE13" s="74" t="s">
        <v>42</v>
      </c>
      <c r="AF13" s="74" t="s">
        <v>42</v>
      </c>
      <c r="AG13" s="74" t="s">
        <v>42</v>
      </c>
      <c r="AH13" s="74" t="s">
        <v>42</v>
      </c>
      <c r="AI13" s="74" t="s">
        <v>42</v>
      </c>
      <c r="AJ13" s="74" t="s">
        <v>42</v>
      </c>
      <c r="AK13" s="74">
        <v>202689</v>
      </c>
      <c r="AL13" s="74" t="s">
        <v>42</v>
      </c>
      <c r="AM13" s="74" t="s">
        <v>42</v>
      </c>
      <c r="AN13" s="74" t="s">
        <v>42</v>
      </c>
      <c r="AO13" s="74" t="s">
        <v>42</v>
      </c>
      <c r="AP13" s="74" t="s">
        <v>42</v>
      </c>
      <c r="AQ13" s="74" t="s">
        <v>42</v>
      </c>
      <c r="AR13" s="74" t="s">
        <v>42</v>
      </c>
      <c r="AS13" s="74">
        <v>266902</v>
      </c>
      <c r="AT13" s="74" t="s">
        <v>42</v>
      </c>
      <c r="AU13" s="74" t="s">
        <v>42</v>
      </c>
      <c r="AV13" s="74" t="s">
        <v>42</v>
      </c>
      <c r="AW13" s="74" t="s">
        <v>42</v>
      </c>
      <c r="AX13" s="74" t="s">
        <v>42</v>
      </c>
      <c r="AY13" s="74" t="s">
        <v>42</v>
      </c>
      <c r="AZ13" s="74" t="s">
        <v>42</v>
      </c>
      <c r="BA13" s="74">
        <v>351459</v>
      </c>
      <c r="BB13" s="74" t="s">
        <v>42</v>
      </c>
    </row>
    <row r="14" spans="1:72" s="1" customFormat="1" ht="40.049999999999997" customHeight="1" x14ac:dyDescent="0.35">
      <c r="A14" s="62"/>
      <c r="B14" s="63">
        <v>1</v>
      </c>
      <c r="C14" s="64">
        <v>1</v>
      </c>
      <c r="D14" s="62">
        <v>1</v>
      </c>
      <c r="E14" s="62">
        <v>1</v>
      </c>
      <c r="F14" s="65">
        <v>2041</v>
      </c>
      <c r="G14" s="65">
        <v>30</v>
      </c>
      <c r="H14" s="66">
        <v>0.01</v>
      </c>
      <c r="I14" s="66"/>
      <c r="J14" s="67">
        <v>1.0609999999999999</v>
      </c>
      <c r="K14" s="68">
        <v>4500</v>
      </c>
      <c r="L14" s="73">
        <v>4500</v>
      </c>
      <c r="M14" s="61" t="s">
        <v>47</v>
      </c>
      <c r="N14" s="61" t="s">
        <v>48</v>
      </c>
      <c r="O14" s="62">
        <v>2041</v>
      </c>
      <c r="P14" s="65" t="s">
        <v>40</v>
      </c>
      <c r="Q14" s="62" t="s">
        <v>41</v>
      </c>
      <c r="R14" s="70">
        <v>80</v>
      </c>
      <c r="S14" s="71">
        <v>1</v>
      </c>
      <c r="T14" s="73">
        <v>360000</v>
      </c>
      <c r="U14" s="73">
        <v>360000</v>
      </c>
      <c r="V14" s="68">
        <f t="shared" si="0"/>
        <v>668696</v>
      </c>
      <c r="W14" s="72">
        <v>2.6230977475155837E-2</v>
      </c>
      <c r="X14" s="74" t="s">
        <v>42</v>
      </c>
      <c r="Y14" s="74" t="s">
        <v>42</v>
      </c>
      <c r="Z14" s="74" t="s">
        <v>42</v>
      </c>
      <c r="AA14" s="74" t="s">
        <v>42</v>
      </c>
      <c r="AB14" s="74" t="s">
        <v>42</v>
      </c>
      <c r="AC14" s="74" t="s">
        <v>42</v>
      </c>
      <c r="AD14" s="74" t="s">
        <v>42</v>
      </c>
      <c r="AE14" s="74" t="s">
        <v>42</v>
      </c>
      <c r="AF14" s="74" t="s">
        <v>42</v>
      </c>
      <c r="AG14" s="74" t="s">
        <v>42</v>
      </c>
      <c r="AH14" s="74" t="s">
        <v>42</v>
      </c>
      <c r="AI14" s="74" t="s">
        <v>42</v>
      </c>
      <c r="AJ14" s="74" t="s">
        <v>42</v>
      </c>
      <c r="AK14" s="74" t="s">
        <v>42</v>
      </c>
      <c r="AL14" s="74" t="s">
        <v>42</v>
      </c>
      <c r="AM14" s="74" t="s">
        <v>42</v>
      </c>
      <c r="AN14" s="74" t="s">
        <v>42</v>
      </c>
      <c r="AO14" s="74" t="s">
        <v>42</v>
      </c>
      <c r="AP14" s="74">
        <v>668696</v>
      </c>
      <c r="AQ14" s="74" t="s">
        <v>42</v>
      </c>
      <c r="AR14" s="74" t="s">
        <v>42</v>
      </c>
      <c r="AS14" s="74" t="s">
        <v>42</v>
      </c>
      <c r="AT14" s="74" t="s">
        <v>42</v>
      </c>
      <c r="AU14" s="74" t="s">
        <v>42</v>
      </c>
      <c r="AV14" s="74" t="s">
        <v>42</v>
      </c>
      <c r="AW14" s="74" t="s">
        <v>42</v>
      </c>
      <c r="AX14" s="74" t="s">
        <v>42</v>
      </c>
      <c r="AY14" s="74" t="s">
        <v>42</v>
      </c>
      <c r="AZ14" s="74" t="s">
        <v>42</v>
      </c>
      <c r="BA14" s="74" t="s">
        <v>42</v>
      </c>
      <c r="BB14" s="74" t="s">
        <v>42</v>
      </c>
    </row>
    <row r="15" spans="1:72" s="1" customFormat="1" ht="40.049999999999997" customHeight="1" x14ac:dyDescent="0.35">
      <c r="A15" s="62"/>
      <c r="B15" s="63">
        <v>1</v>
      </c>
      <c r="C15" s="64">
        <v>1</v>
      </c>
      <c r="D15" s="62">
        <v>1</v>
      </c>
      <c r="E15" s="62">
        <v>1</v>
      </c>
      <c r="F15" s="65">
        <v>2036</v>
      </c>
      <c r="G15" s="65">
        <v>25</v>
      </c>
      <c r="H15" s="66">
        <v>0.01</v>
      </c>
      <c r="I15" s="66"/>
      <c r="J15" s="67">
        <v>1.103</v>
      </c>
      <c r="K15" s="68">
        <v>600</v>
      </c>
      <c r="L15" s="73">
        <v>600</v>
      </c>
      <c r="M15" s="61" t="s">
        <v>49</v>
      </c>
      <c r="N15" s="61" t="s">
        <v>50</v>
      </c>
      <c r="O15" s="62">
        <v>2036</v>
      </c>
      <c r="P15" s="65" t="s">
        <v>51</v>
      </c>
      <c r="Q15" s="62" t="s">
        <v>52</v>
      </c>
      <c r="R15" s="70">
        <v>90</v>
      </c>
      <c r="S15" s="71">
        <v>1</v>
      </c>
      <c r="T15" s="73">
        <v>54000</v>
      </c>
      <c r="U15" s="73">
        <v>54000</v>
      </c>
      <c r="V15" s="68">
        <f t="shared" si="0"/>
        <v>84454</v>
      </c>
      <c r="W15" s="72">
        <v>3.3128820445864952E-3</v>
      </c>
      <c r="X15" s="74" t="s">
        <v>42</v>
      </c>
      <c r="Y15" s="74" t="s">
        <v>42</v>
      </c>
      <c r="Z15" s="74" t="s">
        <v>42</v>
      </c>
      <c r="AA15" s="74" t="s">
        <v>42</v>
      </c>
      <c r="AB15" s="74" t="s">
        <v>42</v>
      </c>
      <c r="AC15" s="74" t="s">
        <v>42</v>
      </c>
      <c r="AD15" s="74" t="s">
        <v>42</v>
      </c>
      <c r="AE15" s="74" t="s">
        <v>42</v>
      </c>
      <c r="AF15" s="74" t="s">
        <v>42</v>
      </c>
      <c r="AG15" s="74" t="s">
        <v>42</v>
      </c>
      <c r="AH15" s="74" t="s">
        <v>42</v>
      </c>
      <c r="AI15" s="74" t="s">
        <v>42</v>
      </c>
      <c r="AJ15" s="74" t="s">
        <v>42</v>
      </c>
      <c r="AK15" s="74">
        <v>84454</v>
      </c>
      <c r="AL15" s="74" t="s">
        <v>42</v>
      </c>
      <c r="AM15" s="74" t="s">
        <v>42</v>
      </c>
      <c r="AN15" s="74" t="s">
        <v>42</v>
      </c>
      <c r="AO15" s="74" t="s">
        <v>42</v>
      </c>
      <c r="AP15" s="74" t="s">
        <v>42</v>
      </c>
      <c r="AQ15" s="74" t="s">
        <v>42</v>
      </c>
      <c r="AR15" s="74" t="s">
        <v>42</v>
      </c>
      <c r="AS15" s="74" t="s">
        <v>42</v>
      </c>
      <c r="AT15" s="74" t="s">
        <v>42</v>
      </c>
      <c r="AU15" s="74" t="s">
        <v>42</v>
      </c>
      <c r="AV15" s="74" t="s">
        <v>42</v>
      </c>
      <c r="AW15" s="74" t="s">
        <v>42</v>
      </c>
      <c r="AX15" s="74" t="s">
        <v>42</v>
      </c>
      <c r="AY15" s="74" t="s">
        <v>42</v>
      </c>
      <c r="AZ15" s="74" t="s">
        <v>42</v>
      </c>
      <c r="BA15" s="74" t="s">
        <v>42</v>
      </c>
      <c r="BB15" s="74" t="s">
        <v>42</v>
      </c>
    </row>
    <row r="16" spans="1:72" s="1" customFormat="1" ht="40.049999999999997" customHeight="1" x14ac:dyDescent="0.35">
      <c r="A16" s="62"/>
      <c r="B16" s="63">
        <v>1</v>
      </c>
      <c r="C16" s="64">
        <v>1</v>
      </c>
      <c r="D16" s="62">
        <v>2</v>
      </c>
      <c r="E16" s="62">
        <v>2</v>
      </c>
      <c r="F16" s="65">
        <v>2031</v>
      </c>
      <c r="G16" s="65">
        <v>20</v>
      </c>
      <c r="H16" s="66">
        <v>0.01</v>
      </c>
      <c r="I16" s="66"/>
      <c r="J16" s="67">
        <v>1.24</v>
      </c>
      <c r="K16" s="68">
        <v>3300</v>
      </c>
      <c r="L16" s="73">
        <v>1650</v>
      </c>
      <c r="M16" s="61" t="s">
        <v>47</v>
      </c>
      <c r="N16" s="61" t="s">
        <v>53</v>
      </c>
      <c r="O16" s="62">
        <v>2031</v>
      </c>
      <c r="P16" s="65" t="s">
        <v>54</v>
      </c>
      <c r="Q16" s="62" t="s">
        <v>55</v>
      </c>
      <c r="R16" s="70">
        <v>9.5</v>
      </c>
      <c r="S16" s="71">
        <v>1</v>
      </c>
      <c r="T16" s="73">
        <v>15675</v>
      </c>
      <c r="U16" s="73">
        <v>31350</v>
      </c>
      <c r="V16" s="68">
        <f t="shared" si="0"/>
        <v>125584</v>
      </c>
      <c r="W16" s="72">
        <v>4.9262909831073766E-3</v>
      </c>
      <c r="X16" s="74" t="s">
        <v>42</v>
      </c>
      <c r="Y16" s="74" t="s">
        <v>42</v>
      </c>
      <c r="Z16" s="74" t="s">
        <v>42</v>
      </c>
      <c r="AA16" s="74" t="s">
        <v>42</v>
      </c>
      <c r="AB16" s="74" t="s">
        <v>42</v>
      </c>
      <c r="AC16" s="74" t="s">
        <v>42</v>
      </c>
      <c r="AD16" s="74" t="s">
        <v>42</v>
      </c>
      <c r="AE16" s="74" t="s">
        <v>42</v>
      </c>
      <c r="AF16" s="74">
        <v>20641</v>
      </c>
      <c r="AG16" s="74">
        <v>21363</v>
      </c>
      <c r="AH16" s="74" t="s">
        <v>42</v>
      </c>
      <c r="AI16" s="74" t="s">
        <v>42</v>
      </c>
      <c r="AJ16" s="74" t="s">
        <v>42</v>
      </c>
      <c r="AK16" s="74" t="s">
        <v>42</v>
      </c>
      <c r="AL16" s="74" t="s">
        <v>42</v>
      </c>
      <c r="AM16" s="74" t="s">
        <v>42</v>
      </c>
      <c r="AN16" s="74" t="s">
        <v>42</v>
      </c>
      <c r="AO16" s="74" t="s">
        <v>42</v>
      </c>
      <c r="AP16" s="74" t="s">
        <v>42</v>
      </c>
      <c r="AQ16" s="74" t="s">
        <v>42</v>
      </c>
      <c r="AR16" s="74" t="s">
        <v>42</v>
      </c>
      <c r="AS16" s="74" t="s">
        <v>42</v>
      </c>
      <c r="AT16" s="74" t="s">
        <v>42</v>
      </c>
      <c r="AU16" s="74" t="s">
        <v>42</v>
      </c>
      <c r="AV16" s="74" t="s">
        <v>42</v>
      </c>
      <c r="AW16" s="74" t="s">
        <v>42</v>
      </c>
      <c r="AX16" s="74" t="s">
        <v>42</v>
      </c>
      <c r="AY16" s="74" t="s">
        <v>42</v>
      </c>
      <c r="AZ16" s="74">
        <v>41071</v>
      </c>
      <c r="BA16" s="74">
        <v>42509</v>
      </c>
      <c r="BB16" s="74" t="s">
        <v>42</v>
      </c>
    </row>
    <row r="17" spans="1:61" s="1" customFormat="1" ht="40.049999999999997" customHeight="1" x14ac:dyDescent="0.35">
      <c r="A17" s="62"/>
      <c r="B17" s="63">
        <v>1</v>
      </c>
      <c r="C17" s="64">
        <v>1</v>
      </c>
      <c r="D17" s="62">
        <v>1</v>
      </c>
      <c r="E17" s="62">
        <v>1</v>
      </c>
      <c r="F17" s="65">
        <v>2028</v>
      </c>
      <c r="G17" s="65">
        <v>20</v>
      </c>
      <c r="H17" s="66">
        <v>0.01</v>
      </c>
      <c r="I17" s="66"/>
      <c r="J17" s="67">
        <v>1.26</v>
      </c>
      <c r="K17" s="68">
        <v>102</v>
      </c>
      <c r="L17" s="73">
        <v>102</v>
      </c>
      <c r="M17" s="61" t="s">
        <v>38</v>
      </c>
      <c r="N17" s="61" t="s">
        <v>56</v>
      </c>
      <c r="O17" s="62">
        <v>2028</v>
      </c>
      <c r="P17" s="65" t="s">
        <v>57</v>
      </c>
      <c r="Q17" s="62" t="s">
        <v>46</v>
      </c>
      <c r="R17" s="70">
        <v>500</v>
      </c>
      <c r="S17" s="71">
        <v>1</v>
      </c>
      <c r="T17" s="73">
        <v>51000</v>
      </c>
      <c r="U17" s="73">
        <v>51000</v>
      </c>
      <c r="V17" s="68">
        <f t="shared" si="0"/>
        <v>185525</v>
      </c>
      <c r="W17" s="72">
        <v>7.103902711872505E-3</v>
      </c>
      <c r="X17" s="74" t="s">
        <v>42</v>
      </c>
      <c r="Y17" s="74" t="s">
        <v>42</v>
      </c>
      <c r="Z17" s="75"/>
      <c r="AA17" s="189">
        <v>5000</v>
      </c>
      <c r="AB17" s="189">
        <v>60000</v>
      </c>
      <c r="AC17" s="74"/>
      <c r="AD17" s="74" t="s">
        <v>42</v>
      </c>
      <c r="AE17" s="74" t="s">
        <v>42</v>
      </c>
      <c r="AF17" s="74" t="s">
        <v>42</v>
      </c>
      <c r="AG17" s="74" t="s">
        <v>42</v>
      </c>
      <c r="AH17" s="74" t="s">
        <v>42</v>
      </c>
      <c r="AI17" s="74" t="s">
        <v>42</v>
      </c>
      <c r="AJ17" s="74" t="s">
        <v>42</v>
      </c>
      <c r="AK17" s="74" t="s">
        <v>42</v>
      </c>
      <c r="AL17" s="74" t="s">
        <v>42</v>
      </c>
      <c r="AM17" s="74" t="s">
        <v>42</v>
      </c>
      <c r="AN17" s="74" t="s">
        <v>42</v>
      </c>
      <c r="AO17" s="74" t="s">
        <v>42</v>
      </c>
      <c r="AP17" s="74" t="s">
        <v>42</v>
      </c>
      <c r="AQ17" s="74" t="s">
        <v>42</v>
      </c>
      <c r="AR17" s="74" t="s">
        <v>42</v>
      </c>
      <c r="AS17" s="74" t="s">
        <v>42</v>
      </c>
      <c r="AT17" s="74" t="s">
        <v>42</v>
      </c>
      <c r="AU17" s="74" t="s">
        <v>42</v>
      </c>
      <c r="AV17" s="74" t="s">
        <v>42</v>
      </c>
      <c r="AW17" s="74">
        <v>120525</v>
      </c>
      <c r="AX17" s="74" t="s">
        <v>42</v>
      </c>
      <c r="AY17" s="74" t="s">
        <v>42</v>
      </c>
      <c r="AZ17" s="74" t="s">
        <v>42</v>
      </c>
      <c r="BA17" s="74" t="s">
        <v>42</v>
      </c>
      <c r="BB17" s="74" t="s">
        <v>42</v>
      </c>
    </row>
    <row r="18" spans="1:61" s="1" customFormat="1" ht="40.049999999999997" customHeight="1" x14ac:dyDescent="0.35">
      <c r="A18" s="62"/>
      <c r="B18" s="63">
        <v>1</v>
      </c>
      <c r="C18" s="64">
        <v>1</v>
      </c>
      <c r="D18" s="62">
        <v>1</v>
      </c>
      <c r="E18" s="62">
        <v>1</v>
      </c>
      <c r="F18" s="65">
        <v>2024</v>
      </c>
      <c r="G18" s="65">
        <v>25</v>
      </c>
      <c r="H18" s="66">
        <v>0.01</v>
      </c>
      <c r="I18" s="66"/>
      <c r="J18" s="67">
        <v>1.32</v>
      </c>
      <c r="K18" s="68">
        <v>340</v>
      </c>
      <c r="L18" s="73">
        <v>340</v>
      </c>
      <c r="M18" s="61" t="s">
        <v>58</v>
      </c>
      <c r="N18" s="61" t="s">
        <v>252</v>
      </c>
      <c r="O18" s="62">
        <v>2024</v>
      </c>
      <c r="P18" s="65" t="s">
        <v>60</v>
      </c>
      <c r="Q18" s="62" t="s">
        <v>61</v>
      </c>
      <c r="R18" s="70">
        <v>2400</v>
      </c>
      <c r="S18" s="71">
        <v>1</v>
      </c>
      <c r="T18" s="73">
        <v>816000</v>
      </c>
      <c r="U18" s="73">
        <v>816000</v>
      </c>
      <c r="V18" s="68" t="e">
        <f t="shared" si="0"/>
        <v>#REF!</v>
      </c>
      <c r="W18" s="72">
        <v>0.11038823922559195</v>
      </c>
      <c r="X18" s="74" t="s">
        <v>42</v>
      </c>
      <c r="Y18" s="189" t="e">
        <f>+'[4]Reserve Exp 2024'!U60+'[4]Reserve Exp 2024'!U63-'[4]Budget 2025'!M131</f>
        <v>#REF!</v>
      </c>
      <c r="Z18" s="74" t="s">
        <v>42</v>
      </c>
      <c r="AA18" s="74" t="s">
        <v>42</v>
      </c>
      <c r="AB18" s="74" t="s">
        <v>42</v>
      </c>
      <c r="AC18" s="74" t="s">
        <v>42</v>
      </c>
      <c r="AD18" s="74" t="s">
        <v>42</v>
      </c>
      <c r="AE18" s="74" t="s">
        <v>42</v>
      </c>
      <c r="AF18" s="74" t="s">
        <v>42</v>
      </c>
      <c r="AG18" s="74" t="s">
        <v>42</v>
      </c>
      <c r="AH18" s="74" t="s">
        <v>42</v>
      </c>
      <c r="AI18" s="74" t="s">
        <v>42</v>
      </c>
      <c r="AJ18" s="74" t="s">
        <v>42</v>
      </c>
      <c r="AK18" s="74" t="s">
        <v>42</v>
      </c>
      <c r="AL18" s="74" t="s">
        <v>42</v>
      </c>
      <c r="AM18" s="74" t="s">
        <v>42</v>
      </c>
      <c r="AN18" s="74" t="s">
        <v>42</v>
      </c>
      <c r="AO18" s="189">
        <v>50000</v>
      </c>
      <c r="AP18" s="74" t="s">
        <v>42</v>
      </c>
      <c r="AQ18" s="74" t="s">
        <v>42</v>
      </c>
      <c r="AR18" s="74" t="s">
        <v>42</v>
      </c>
      <c r="AS18" s="74" t="s">
        <v>42</v>
      </c>
      <c r="AT18" s="74" t="s">
        <v>42</v>
      </c>
      <c r="AU18" s="74" t="s">
        <v>42</v>
      </c>
      <c r="AV18" s="74" t="s">
        <v>42</v>
      </c>
      <c r="AW18" s="74" t="s">
        <v>42</v>
      </c>
      <c r="AX18" s="189" t="e">
        <f>-FV(0.035,15,0,Y18,0)</f>
        <v>#REF!</v>
      </c>
      <c r="AY18" s="74" t="s">
        <v>42</v>
      </c>
      <c r="AZ18" s="74" t="s">
        <v>42</v>
      </c>
      <c r="BA18" s="74" t="s">
        <v>42</v>
      </c>
      <c r="BB18" s="74" t="s">
        <v>42</v>
      </c>
    </row>
    <row r="19" spans="1:61" s="1" customFormat="1" ht="40.049999999999997" customHeight="1" x14ac:dyDescent="0.35">
      <c r="A19" s="62"/>
      <c r="B19" s="63">
        <v>1</v>
      </c>
      <c r="C19" s="64">
        <v>1</v>
      </c>
      <c r="D19" s="62">
        <v>1</v>
      </c>
      <c r="E19" s="62">
        <v>1</v>
      </c>
      <c r="F19" s="65">
        <v>2049</v>
      </c>
      <c r="G19" s="65">
        <v>30</v>
      </c>
      <c r="H19" s="66">
        <v>0.01</v>
      </c>
      <c r="I19" s="66"/>
      <c r="J19" s="67">
        <v>1.4</v>
      </c>
      <c r="K19" s="68">
        <v>8</v>
      </c>
      <c r="L19" s="73">
        <v>8</v>
      </c>
      <c r="M19" s="61" t="s">
        <v>38</v>
      </c>
      <c r="N19" s="188" t="s">
        <v>253</v>
      </c>
      <c r="O19" s="62">
        <v>2049</v>
      </c>
      <c r="P19" s="65" t="s">
        <v>40</v>
      </c>
      <c r="Q19" s="62" t="s">
        <v>63</v>
      </c>
      <c r="R19" s="70">
        <v>2900</v>
      </c>
      <c r="S19" s="71">
        <v>1</v>
      </c>
      <c r="T19" s="73">
        <v>23200</v>
      </c>
      <c r="U19" s="73">
        <v>23200</v>
      </c>
      <c r="V19" s="326">
        <f t="shared" si="0"/>
        <v>0</v>
      </c>
      <c r="W19" s="72">
        <v>2.2259786925676139E-3</v>
      </c>
      <c r="X19" s="74" t="s">
        <v>42</v>
      </c>
      <c r="Y19" s="74" t="s">
        <v>42</v>
      </c>
      <c r="Z19" s="74" t="s">
        <v>42</v>
      </c>
      <c r="AA19" s="74" t="s">
        <v>42</v>
      </c>
      <c r="AB19" s="74" t="s">
        <v>42</v>
      </c>
      <c r="AC19" s="74" t="s">
        <v>42</v>
      </c>
      <c r="AD19" s="74" t="s">
        <v>42</v>
      </c>
      <c r="AE19" s="74" t="s">
        <v>42</v>
      </c>
      <c r="AF19" s="74" t="s">
        <v>42</v>
      </c>
      <c r="AG19" s="74" t="s">
        <v>42</v>
      </c>
      <c r="AH19" s="74" t="s">
        <v>42</v>
      </c>
      <c r="AI19" s="74" t="s">
        <v>42</v>
      </c>
      <c r="AJ19" s="74" t="s">
        <v>42</v>
      </c>
      <c r="AK19" s="74" t="s">
        <v>42</v>
      </c>
      <c r="AL19" s="74" t="s">
        <v>42</v>
      </c>
      <c r="AM19" s="74" t="s">
        <v>42</v>
      </c>
      <c r="AN19" s="74" t="s">
        <v>42</v>
      </c>
      <c r="AO19" s="74" t="s">
        <v>42</v>
      </c>
      <c r="AP19" s="74" t="s">
        <v>42</v>
      </c>
      <c r="AQ19" s="74" t="s">
        <v>42</v>
      </c>
      <c r="AR19" s="74" t="s">
        <v>42</v>
      </c>
      <c r="AS19" s="74" t="s">
        <v>42</v>
      </c>
      <c r="AT19" s="74" t="s">
        <v>42</v>
      </c>
      <c r="AU19" s="74" t="s">
        <v>42</v>
      </c>
      <c r="AV19" s="74" t="s">
        <v>42</v>
      </c>
      <c r="AW19" s="74" t="s">
        <v>42</v>
      </c>
      <c r="AX19" s="74"/>
      <c r="AY19" s="74" t="s">
        <v>42</v>
      </c>
      <c r="AZ19" s="74" t="s">
        <v>42</v>
      </c>
      <c r="BA19" s="74" t="s">
        <v>42</v>
      </c>
      <c r="BB19" s="74" t="s">
        <v>42</v>
      </c>
    </row>
    <row r="20" spans="1:61" s="1" customFormat="1" ht="40.049999999999997" customHeight="1" x14ac:dyDescent="0.35">
      <c r="A20" s="62"/>
      <c r="B20" s="63">
        <v>1</v>
      </c>
      <c r="C20" s="64">
        <v>1</v>
      </c>
      <c r="D20" s="62">
        <v>1</v>
      </c>
      <c r="E20" s="62">
        <v>1</v>
      </c>
      <c r="F20" s="65">
        <v>2036</v>
      </c>
      <c r="G20" s="65">
        <v>30</v>
      </c>
      <c r="H20" s="66">
        <v>0.01</v>
      </c>
      <c r="I20" s="66"/>
      <c r="J20" s="67">
        <v>1.401</v>
      </c>
      <c r="K20" s="68">
        <v>37</v>
      </c>
      <c r="L20" s="73">
        <v>37</v>
      </c>
      <c r="M20" s="61" t="s">
        <v>38</v>
      </c>
      <c r="N20" s="61" t="s">
        <v>254</v>
      </c>
      <c r="O20" s="62">
        <v>2036</v>
      </c>
      <c r="P20" s="65" t="s">
        <v>40</v>
      </c>
      <c r="Q20" s="62" t="s">
        <v>52</v>
      </c>
      <c r="R20" s="70">
        <v>2900</v>
      </c>
      <c r="S20" s="71">
        <v>1</v>
      </c>
      <c r="T20" s="73">
        <v>107300</v>
      </c>
      <c r="U20" s="73">
        <v>107300</v>
      </c>
      <c r="V20" s="326">
        <f t="shared" si="0"/>
        <v>27500.000000000004</v>
      </c>
      <c r="W20" s="72">
        <v>6.5827712324596699E-3</v>
      </c>
      <c r="X20" s="74" t="s">
        <v>42</v>
      </c>
      <c r="Y20" s="74" t="s">
        <v>42</v>
      </c>
      <c r="Z20" s="74" t="s">
        <v>42</v>
      </c>
      <c r="AA20" s="74" t="s">
        <v>42</v>
      </c>
      <c r="AB20" s="189">
        <f>+(10*2500)*1.1</f>
        <v>27500.000000000004</v>
      </c>
      <c r="AC20" s="189"/>
      <c r="AD20" s="74" t="s">
        <v>42</v>
      </c>
      <c r="AE20" s="74" t="s">
        <v>42</v>
      </c>
      <c r="AF20" s="74" t="s">
        <v>42</v>
      </c>
      <c r="AG20" s="74" t="s">
        <v>42</v>
      </c>
      <c r="AH20" s="74" t="s">
        <v>42</v>
      </c>
      <c r="AI20" s="74" t="s">
        <v>42</v>
      </c>
      <c r="AJ20" s="74" t="s">
        <v>42</v>
      </c>
      <c r="AK20" s="74"/>
      <c r="AL20" s="74" t="s">
        <v>42</v>
      </c>
      <c r="AM20" s="74" t="s">
        <v>42</v>
      </c>
      <c r="AN20" s="74" t="s">
        <v>42</v>
      </c>
      <c r="AO20" s="74" t="s">
        <v>42</v>
      </c>
      <c r="AP20" s="74" t="s">
        <v>42</v>
      </c>
      <c r="AQ20" s="74" t="s">
        <v>42</v>
      </c>
      <c r="AR20" s="74" t="s">
        <v>42</v>
      </c>
      <c r="AS20" s="74" t="s">
        <v>42</v>
      </c>
      <c r="AT20" s="74" t="s">
        <v>42</v>
      </c>
      <c r="AU20" s="74" t="s">
        <v>42</v>
      </c>
      <c r="AV20" s="74" t="s">
        <v>42</v>
      </c>
      <c r="AW20" s="74" t="s">
        <v>42</v>
      </c>
      <c r="AX20" s="74" t="s">
        <v>42</v>
      </c>
      <c r="AY20" s="74" t="s">
        <v>42</v>
      </c>
      <c r="AZ20" s="74" t="s">
        <v>42</v>
      </c>
      <c r="BA20" s="74" t="s">
        <v>42</v>
      </c>
      <c r="BB20" s="189">
        <f>-FV(0.035,25,0,AC20,0)</f>
        <v>0</v>
      </c>
    </row>
    <row r="21" spans="1:61" s="1" customFormat="1" ht="40.049999999999997" customHeight="1" x14ac:dyDescent="0.35">
      <c r="A21" s="62"/>
      <c r="B21" s="63">
        <v>1</v>
      </c>
      <c r="C21" s="64">
        <v>2</v>
      </c>
      <c r="D21" s="62">
        <v>5</v>
      </c>
      <c r="E21" s="62">
        <v>3</v>
      </c>
      <c r="F21" s="65">
        <v>2025</v>
      </c>
      <c r="G21" s="65">
        <v>20</v>
      </c>
      <c r="H21" s="66">
        <v>0.01</v>
      </c>
      <c r="I21" s="66"/>
      <c r="J21" s="67">
        <v>1.5</v>
      </c>
      <c r="K21" s="68">
        <v>1070</v>
      </c>
      <c r="L21" s="73">
        <v>356.67</v>
      </c>
      <c r="M21" s="61" t="s">
        <v>58</v>
      </c>
      <c r="N21" s="61" t="s">
        <v>65</v>
      </c>
      <c r="O21" s="62">
        <v>2025</v>
      </c>
      <c r="P21" s="65" t="s">
        <v>54</v>
      </c>
      <c r="Q21" s="62" t="s">
        <v>66</v>
      </c>
      <c r="R21" s="70">
        <v>2200</v>
      </c>
      <c r="S21" s="71">
        <v>1</v>
      </c>
      <c r="T21" s="73">
        <v>784674</v>
      </c>
      <c r="U21" s="73">
        <v>2354000</v>
      </c>
      <c r="V21" s="68">
        <f t="shared" si="0"/>
        <v>7116427.8898007441</v>
      </c>
      <c r="W21" s="72">
        <v>0.31730956351384543</v>
      </c>
      <c r="X21" s="74" t="s">
        <v>42</v>
      </c>
      <c r="Y21" s="74" t="s">
        <v>42</v>
      </c>
      <c r="Z21" s="189">
        <f>(140000*2)*1.1</f>
        <v>308000</v>
      </c>
      <c r="AA21" s="189">
        <f>(140000*6)*1.1</f>
        <v>924000.00000000012</v>
      </c>
      <c r="AB21" s="189">
        <f>(140000*9)*1.1</f>
        <v>1386000</v>
      </c>
      <c r="AC21" s="74" t="s">
        <v>42</v>
      </c>
      <c r="AD21" s="74"/>
      <c r="AE21" s="189"/>
      <c r="AF21" s="189"/>
      <c r="AG21" s="74" t="s">
        <v>42</v>
      </c>
      <c r="AH21" s="74" t="s">
        <v>42</v>
      </c>
      <c r="AI21" s="74" t="s">
        <v>42</v>
      </c>
      <c r="AJ21" s="74" t="s">
        <v>42</v>
      </c>
      <c r="AK21" s="189">
        <f>35000*1.2</f>
        <v>42000</v>
      </c>
      <c r="AL21" s="74" t="s">
        <v>42</v>
      </c>
      <c r="AM21" s="74" t="s">
        <v>42</v>
      </c>
      <c r="AN21" s="74" t="s">
        <v>42</v>
      </c>
      <c r="AO21" s="189">
        <f>-FV(0.035,15,0,Z21,0)</f>
        <v>516007.43987166509</v>
      </c>
      <c r="AP21" s="189">
        <f t="shared" ref="AP21:AQ21" si="1">-FV(0.035,15,0,AA21,0)</f>
        <v>1548022.3196149955</v>
      </c>
      <c r="AQ21" s="189">
        <f t="shared" si="1"/>
        <v>2322033.4794224929</v>
      </c>
      <c r="AR21" s="74" t="s">
        <v>42</v>
      </c>
      <c r="AS21" s="74" t="s">
        <v>42</v>
      </c>
      <c r="AT21" s="189">
        <f t="shared" ref="AT21" si="2">-FV(0.035,15,0,AE21,0)</f>
        <v>0</v>
      </c>
      <c r="AU21" s="189">
        <f t="shared" ref="AU21" si="3">-FV(0.035,15,0,AF21,0)</f>
        <v>0</v>
      </c>
      <c r="AV21" s="74"/>
      <c r="AW21" s="74"/>
      <c r="AX21" s="74"/>
      <c r="AY21" s="74" t="s">
        <v>42</v>
      </c>
      <c r="AZ21" s="189">
        <f t="shared" ref="AZ21" si="4">-FV(0.035,15,0,AK21,0)</f>
        <v>70364.650891590689</v>
      </c>
      <c r="BA21" s="74" t="s">
        <v>42</v>
      </c>
      <c r="BB21" s="74" t="s">
        <v>42</v>
      </c>
      <c r="BD21" s="189">
        <f>-FV(0.035,15,0,AO21,0)</f>
        <v>864492.46104840923</v>
      </c>
      <c r="BE21" s="189">
        <f t="shared" ref="BE21" si="5">-FV(0.035,15,0,AP21,0)</f>
        <v>2593477.383145228</v>
      </c>
      <c r="BF21" s="189">
        <f t="shared" ref="BF21" si="6">-FV(0.035,15,0,AQ21,0)</f>
        <v>3890216.0747178416</v>
      </c>
      <c r="BG21" s="189"/>
      <c r="BH21" s="189"/>
      <c r="BI21" s="189"/>
    </row>
    <row r="22" spans="1:61" s="1" customFormat="1" ht="40.049999999999997" customHeight="1" x14ac:dyDescent="0.35">
      <c r="A22" s="62"/>
      <c r="B22" s="63">
        <v>1</v>
      </c>
      <c r="C22" s="64">
        <v>1</v>
      </c>
      <c r="D22" s="62">
        <v>2</v>
      </c>
      <c r="E22" s="62">
        <v>2</v>
      </c>
      <c r="F22" s="65">
        <v>2028</v>
      </c>
      <c r="G22" s="65">
        <v>8</v>
      </c>
      <c r="H22" s="66">
        <v>0.01</v>
      </c>
      <c r="I22" s="66"/>
      <c r="J22" s="67">
        <v>1.88</v>
      </c>
      <c r="K22" s="68">
        <v>117000</v>
      </c>
      <c r="L22" s="73">
        <v>58500</v>
      </c>
      <c r="M22" s="61" t="s">
        <v>43</v>
      </c>
      <c r="N22" s="188" t="s">
        <v>247</v>
      </c>
      <c r="O22" s="62">
        <v>2028</v>
      </c>
      <c r="P22" s="65" t="s">
        <v>45</v>
      </c>
      <c r="Q22" s="62" t="s">
        <v>68</v>
      </c>
      <c r="R22" s="70">
        <v>6.5</v>
      </c>
      <c r="S22" s="71">
        <v>1</v>
      </c>
      <c r="T22" s="73">
        <v>380250</v>
      </c>
      <c r="U22" s="73">
        <v>760500</v>
      </c>
      <c r="V22" s="68" t="e">
        <f t="shared" si="0"/>
        <v>#REF!</v>
      </c>
      <c r="W22" s="72">
        <v>0.22835349872219818</v>
      </c>
      <c r="X22" s="74" t="s">
        <v>42</v>
      </c>
      <c r="Y22" s="189" t="e">
        <f>+'[4]Reserve Exp 2024'!U61</f>
        <v>#REF!</v>
      </c>
      <c r="Z22" s="189">
        <v>100000</v>
      </c>
      <c r="AA22" s="189">
        <v>100000</v>
      </c>
      <c r="AB22" s="189">
        <v>100000</v>
      </c>
      <c r="AC22" s="189">
        <v>100000</v>
      </c>
      <c r="AD22" s="189">
        <v>100000</v>
      </c>
      <c r="AE22" s="189">
        <v>100000</v>
      </c>
      <c r="AF22" s="189">
        <v>100000</v>
      </c>
      <c r="AG22" s="189">
        <v>100000</v>
      </c>
      <c r="AH22" s="189">
        <v>100000</v>
      </c>
      <c r="AI22" s="189">
        <v>100000</v>
      </c>
      <c r="AJ22" s="189">
        <v>100000</v>
      </c>
      <c r="AK22" s="189">
        <v>100000</v>
      </c>
      <c r="AL22" s="189">
        <v>100000</v>
      </c>
      <c r="AM22" s="189">
        <v>100000</v>
      </c>
      <c r="AN22" s="189">
        <v>100000</v>
      </c>
      <c r="AO22" s="189">
        <v>100000</v>
      </c>
      <c r="AP22" s="189">
        <v>100000</v>
      </c>
      <c r="AQ22" s="189">
        <v>100000</v>
      </c>
      <c r="AR22" s="189">
        <v>100000</v>
      </c>
      <c r="AS22" s="189">
        <v>100000</v>
      </c>
      <c r="AT22" s="189">
        <v>100000</v>
      </c>
      <c r="AU22" s="189">
        <v>100000</v>
      </c>
      <c r="AV22" s="189">
        <v>100000</v>
      </c>
      <c r="AW22" s="189">
        <v>100000</v>
      </c>
      <c r="AX22" s="189">
        <v>100000</v>
      </c>
      <c r="AY22" s="189">
        <v>100000</v>
      </c>
      <c r="AZ22" s="189">
        <v>100000</v>
      </c>
      <c r="BA22" s="189">
        <v>100000</v>
      </c>
      <c r="BB22" s="189">
        <v>100000</v>
      </c>
    </row>
    <row r="23" spans="1:61" s="1" customFormat="1" ht="40.049999999999997" customHeight="1" x14ac:dyDescent="0.35">
      <c r="A23" s="62"/>
      <c r="B23" s="63">
        <v>1</v>
      </c>
      <c r="C23" s="64">
        <v>1</v>
      </c>
      <c r="D23" s="62">
        <v>1</v>
      </c>
      <c r="E23" s="62">
        <v>1</v>
      </c>
      <c r="F23" s="65">
        <v>2029</v>
      </c>
      <c r="G23" s="65">
        <v>35</v>
      </c>
      <c r="H23" s="66">
        <v>0.01</v>
      </c>
      <c r="I23" s="66"/>
      <c r="J23" s="67">
        <v>5.8</v>
      </c>
      <c r="K23" s="68">
        <v>870</v>
      </c>
      <c r="L23" s="73">
        <v>870</v>
      </c>
      <c r="M23" s="61" t="s">
        <v>43</v>
      </c>
      <c r="N23" s="188" t="s">
        <v>184</v>
      </c>
      <c r="O23" s="62">
        <v>2029</v>
      </c>
      <c r="P23" s="65" t="s">
        <v>69</v>
      </c>
      <c r="Q23" s="62" t="s">
        <v>70</v>
      </c>
      <c r="R23" s="70">
        <v>100</v>
      </c>
      <c r="S23" s="71">
        <v>1</v>
      </c>
      <c r="T23" s="73">
        <v>87000</v>
      </c>
      <c r="U23" s="73">
        <v>87000</v>
      </c>
      <c r="V23" s="68">
        <f t="shared" si="0"/>
        <v>250000</v>
      </c>
      <c r="W23" s="72">
        <v>4.195137829567608E-3</v>
      </c>
      <c r="X23" s="74" t="s">
        <v>42</v>
      </c>
      <c r="Y23" s="74" t="s">
        <v>42</v>
      </c>
      <c r="Z23" s="75"/>
      <c r="AA23" s="189">
        <f>250000-125000</f>
        <v>125000</v>
      </c>
      <c r="AB23" s="189">
        <v>50000</v>
      </c>
      <c r="AC23" s="189">
        <v>50000</v>
      </c>
      <c r="AD23" s="189">
        <v>25000</v>
      </c>
      <c r="AE23" s="74" t="s">
        <v>42</v>
      </c>
      <c r="AF23" s="74" t="s">
        <v>42</v>
      </c>
      <c r="AG23" s="74" t="s">
        <v>42</v>
      </c>
      <c r="AH23" s="74" t="s">
        <v>42</v>
      </c>
      <c r="AI23" s="74" t="s">
        <v>42</v>
      </c>
      <c r="AJ23" s="74" t="s">
        <v>42</v>
      </c>
      <c r="AK23" s="74" t="s">
        <v>42</v>
      </c>
      <c r="AL23" s="74" t="s">
        <v>42</v>
      </c>
      <c r="AM23" s="74" t="s">
        <v>42</v>
      </c>
      <c r="AN23" s="74" t="s">
        <v>42</v>
      </c>
      <c r="AO23" s="74" t="s">
        <v>42</v>
      </c>
      <c r="AP23" s="74" t="s">
        <v>42</v>
      </c>
      <c r="AQ23" s="74" t="s">
        <v>42</v>
      </c>
      <c r="AR23" s="74" t="s">
        <v>42</v>
      </c>
      <c r="AS23" s="74" t="s">
        <v>42</v>
      </c>
      <c r="AT23" s="74" t="s">
        <v>42</v>
      </c>
      <c r="AU23" s="74" t="s">
        <v>42</v>
      </c>
      <c r="AV23" s="74" t="s">
        <v>42</v>
      </c>
      <c r="AW23" s="74" t="s">
        <v>42</v>
      </c>
      <c r="AX23" s="74" t="s">
        <v>42</v>
      </c>
      <c r="AY23" s="74" t="s">
        <v>42</v>
      </c>
      <c r="AZ23" s="74" t="s">
        <v>42</v>
      </c>
      <c r="BA23" s="74" t="s">
        <v>42</v>
      </c>
      <c r="BB23" s="74" t="s">
        <v>42</v>
      </c>
    </row>
    <row r="24" spans="1:61" s="1" customFormat="1" ht="40.049999999999997" customHeight="1" x14ac:dyDescent="0.35">
      <c r="A24" s="62"/>
      <c r="B24" s="63"/>
      <c r="C24" s="64"/>
      <c r="D24" s="62"/>
      <c r="E24" s="62"/>
      <c r="F24" s="65"/>
      <c r="G24" s="65"/>
      <c r="H24" s="66"/>
      <c r="I24" s="66"/>
      <c r="J24" s="67"/>
      <c r="K24" s="68"/>
      <c r="L24" s="61"/>
      <c r="M24" s="61"/>
      <c r="N24" s="69" t="s">
        <v>71</v>
      </c>
      <c r="O24" s="62"/>
      <c r="P24" s="65"/>
      <c r="Q24" s="62"/>
      <c r="R24" s="70"/>
      <c r="S24" s="71"/>
      <c r="T24" s="61"/>
      <c r="U24" s="61"/>
      <c r="V24" s="68">
        <f t="shared" si="0"/>
        <v>0</v>
      </c>
      <c r="W24" s="72"/>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row>
    <row r="25" spans="1:61" s="1" customFormat="1" ht="40.049999999999997" customHeight="1" x14ac:dyDescent="0.35">
      <c r="A25" s="62"/>
      <c r="B25" s="63">
        <v>1</v>
      </c>
      <c r="C25" s="64">
        <v>1</v>
      </c>
      <c r="D25" s="62">
        <v>1</v>
      </c>
      <c r="E25" s="62">
        <v>1</v>
      </c>
      <c r="F25" s="65">
        <v>2030</v>
      </c>
      <c r="G25" s="65">
        <v>7</v>
      </c>
      <c r="H25" s="66">
        <v>0.01</v>
      </c>
      <c r="I25" s="66"/>
      <c r="J25" s="67">
        <v>2.88</v>
      </c>
      <c r="K25" s="68">
        <v>1</v>
      </c>
      <c r="L25" s="73">
        <v>1</v>
      </c>
      <c r="M25" s="61" t="s">
        <v>72</v>
      </c>
      <c r="N25" s="61" t="s">
        <v>255</v>
      </c>
      <c r="O25" s="62">
        <v>2030</v>
      </c>
      <c r="P25" s="65" t="s">
        <v>45</v>
      </c>
      <c r="Q25" s="62" t="s">
        <v>74</v>
      </c>
      <c r="R25" s="70">
        <v>35000</v>
      </c>
      <c r="S25" s="71">
        <v>1</v>
      </c>
      <c r="T25" s="73">
        <v>35000</v>
      </c>
      <c r="U25" s="73">
        <v>35000</v>
      </c>
      <c r="V25" s="68">
        <f t="shared" si="0"/>
        <v>264970</v>
      </c>
      <c r="W25" s="72">
        <v>1.0393993835153855E-2</v>
      </c>
      <c r="X25" s="74" t="s">
        <v>42</v>
      </c>
      <c r="Y25" s="74" t="s">
        <v>42</v>
      </c>
      <c r="Z25" s="74" t="s">
        <v>42</v>
      </c>
      <c r="AA25" s="74" t="s">
        <v>42</v>
      </c>
      <c r="AB25" s="74" t="s">
        <v>42</v>
      </c>
      <c r="AC25" s="74" t="s">
        <v>42</v>
      </c>
      <c r="AD25" s="74" t="s">
        <v>42</v>
      </c>
      <c r="AE25" s="74">
        <v>44530</v>
      </c>
      <c r="AF25" s="74" t="s">
        <v>42</v>
      </c>
      <c r="AG25" s="74" t="s">
        <v>42</v>
      </c>
      <c r="AH25" s="74" t="s">
        <v>42</v>
      </c>
      <c r="AI25" s="74" t="s">
        <v>42</v>
      </c>
      <c r="AJ25" s="74" t="s">
        <v>42</v>
      </c>
      <c r="AK25" s="74" t="s">
        <v>42</v>
      </c>
      <c r="AL25" s="74">
        <v>56654</v>
      </c>
      <c r="AM25" s="74" t="s">
        <v>42</v>
      </c>
      <c r="AN25" s="74" t="s">
        <v>42</v>
      </c>
      <c r="AO25" s="74" t="s">
        <v>42</v>
      </c>
      <c r="AP25" s="74" t="s">
        <v>42</v>
      </c>
      <c r="AQ25" s="74" t="s">
        <v>42</v>
      </c>
      <c r="AR25" s="74" t="s">
        <v>42</v>
      </c>
      <c r="AS25" s="74">
        <v>72080</v>
      </c>
      <c r="AT25" s="74" t="s">
        <v>42</v>
      </c>
      <c r="AU25" s="74" t="s">
        <v>42</v>
      </c>
      <c r="AV25" s="74" t="s">
        <v>42</v>
      </c>
      <c r="AW25" s="74" t="s">
        <v>42</v>
      </c>
      <c r="AX25" s="74" t="s">
        <v>42</v>
      </c>
      <c r="AY25" s="74" t="s">
        <v>42</v>
      </c>
      <c r="AZ25" s="74">
        <v>91706</v>
      </c>
      <c r="BA25" s="74" t="s">
        <v>42</v>
      </c>
      <c r="BB25" s="74" t="s">
        <v>42</v>
      </c>
    </row>
    <row r="26" spans="1:61" s="1" customFormat="1" ht="40.049999999999997" customHeight="1" x14ac:dyDescent="0.35">
      <c r="A26" s="62"/>
      <c r="B26" s="63"/>
      <c r="C26" s="64"/>
      <c r="D26" s="62"/>
      <c r="E26" s="62"/>
      <c r="F26" s="65"/>
      <c r="G26" s="65"/>
      <c r="H26" s="66"/>
      <c r="I26" s="66"/>
      <c r="J26" s="67"/>
      <c r="K26" s="68"/>
      <c r="L26" s="61"/>
      <c r="M26" s="61"/>
      <c r="N26" s="61"/>
      <c r="O26" s="62"/>
      <c r="P26" s="65"/>
      <c r="Q26" s="62"/>
      <c r="R26" s="70"/>
      <c r="S26" s="71"/>
      <c r="T26" s="61"/>
      <c r="U26" s="61"/>
      <c r="V26" s="68">
        <f t="shared" si="0"/>
        <v>0</v>
      </c>
      <c r="W26" s="72"/>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row>
    <row r="27" spans="1:61" s="1" customFormat="1" ht="40.049999999999997" customHeight="1" x14ac:dyDescent="0.35">
      <c r="A27" s="62"/>
      <c r="B27" s="63"/>
      <c r="C27" s="64"/>
      <c r="D27" s="62"/>
      <c r="E27" s="62"/>
      <c r="F27" s="65"/>
      <c r="G27" s="65"/>
      <c r="H27" s="66"/>
      <c r="I27" s="66"/>
      <c r="J27" s="67"/>
      <c r="K27" s="68"/>
      <c r="L27" s="61"/>
      <c r="M27" s="61"/>
      <c r="N27" s="69" t="s">
        <v>75</v>
      </c>
      <c r="O27" s="62"/>
      <c r="P27" s="65"/>
      <c r="Q27" s="62"/>
      <c r="R27" s="70"/>
      <c r="S27" s="71"/>
      <c r="T27" s="61"/>
      <c r="U27" s="61"/>
      <c r="V27" s="68">
        <f t="shared" si="0"/>
        <v>0</v>
      </c>
      <c r="W27" s="72"/>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row>
    <row r="28" spans="1:61" s="1" customFormat="1" ht="40.049999999999997" customHeight="1" x14ac:dyDescent="0.35">
      <c r="A28" s="62"/>
      <c r="B28" s="63">
        <v>1</v>
      </c>
      <c r="C28" s="64">
        <v>5</v>
      </c>
      <c r="D28" s="62">
        <v>51</v>
      </c>
      <c r="E28" s="62">
        <v>11</v>
      </c>
      <c r="F28" s="65">
        <v>2026</v>
      </c>
      <c r="G28" s="65">
        <v>70</v>
      </c>
      <c r="H28" s="66">
        <v>0.01</v>
      </c>
      <c r="I28" s="66"/>
      <c r="J28" s="67">
        <v>3.3</v>
      </c>
      <c r="K28" s="68">
        <v>22</v>
      </c>
      <c r="L28" s="73">
        <v>2</v>
      </c>
      <c r="M28" s="61" t="s">
        <v>38</v>
      </c>
      <c r="N28" s="61" t="s">
        <v>76</v>
      </c>
      <c r="O28" s="62">
        <v>2026</v>
      </c>
      <c r="P28" s="65" t="s">
        <v>77</v>
      </c>
      <c r="Q28" s="62" t="s">
        <v>78</v>
      </c>
      <c r="R28" s="70">
        <v>19000</v>
      </c>
      <c r="S28" s="71">
        <v>1</v>
      </c>
      <c r="T28" s="73">
        <v>38000</v>
      </c>
      <c r="U28" s="73">
        <v>418000</v>
      </c>
      <c r="V28" s="68" t="e">
        <f t="shared" si="0"/>
        <v>#REF!</v>
      </c>
      <c r="W28" s="72">
        <v>1.5909867515707592E-2</v>
      </c>
      <c r="X28" s="74" t="s">
        <v>42</v>
      </c>
      <c r="Y28" s="189" t="e">
        <f>+'[4]Reserve Exp 2024'!U62</f>
        <v>#REF!</v>
      </c>
      <c r="AA28" s="189">
        <f>60000+76250</f>
        <v>136250</v>
      </c>
      <c r="AB28" s="189">
        <f>60000+114780</f>
        <v>174780</v>
      </c>
      <c r="AC28" s="189">
        <f>100000+229560-130000</f>
        <v>199560</v>
      </c>
      <c r="AD28" s="189">
        <v>130000</v>
      </c>
      <c r="AE28" s="189" t="s">
        <v>42</v>
      </c>
      <c r="AF28" s="189"/>
      <c r="AG28" s="189"/>
      <c r="AH28" s="189" t="s">
        <v>42</v>
      </c>
      <c r="AI28" s="189" t="s">
        <v>42</v>
      </c>
      <c r="AJ28" s="189" t="s">
        <v>42</v>
      </c>
      <c r="AK28" s="189">
        <v>10000</v>
      </c>
      <c r="AL28" s="189" t="s">
        <v>42</v>
      </c>
      <c r="AM28" s="189" t="s">
        <v>42</v>
      </c>
      <c r="AN28" s="189" t="s">
        <v>42</v>
      </c>
      <c r="AO28" s="189" t="s">
        <v>42</v>
      </c>
      <c r="AP28" s="189"/>
      <c r="AQ28" s="189" t="s">
        <v>42</v>
      </c>
      <c r="AR28" s="189" t="s">
        <v>42</v>
      </c>
      <c r="AS28" s="189" t="s">
        <v>42</v>
      </c>
      <c r="AT28" s="189" t="s">
        <v>42</v>
      </c>
      <c r="AU28" s="189">
        <v>10000</v>
      </c>
      <c r="AV28" s="189" t="s">
        <v>42</v>
      </c>
      <c r="AW28" s="189" t="s">
        <v>42</v>
      </c>
      <c r="AX28" s="189" t="s">
        <v>42</v>
      </c>
      <c r="AY28" s="189" t="s">
        <v>42</v>
      </c>
      <c r="AZ28" s="189">
        <v>10000</v>
      </c>
      <c r="BA28" s="189"/>
      <c r="BB28" s="189"/>
    </row>
    <row r="29" spans="1:61" s="1" customFormat="1" ht="40.049999999999997" customHeight="1" x14ac:dyDescent="0.35">
      <c r="A29" s="62"/>
      <c r="B29" s="63"/>
      <c r="C29" s="64"/>
      <c r="D29" s="62"/>
      <c r="E29" s="62"/>
      <c r="F29" s="65"/>
      <c r="G29" s="65"/>
      <c r="H29" s="66"/>
      <c r="I29" s="66"/>
      <c r="J29" s="67"/>
      <c r="K29" s="68"/>
      <c r="L29" s="61"/>
      <c r="M29" s="61"/>
      <c r="N29" s="188" t="s">
        <v>79</v>
      </c>
      <c r="O29" s="62"/>
      <c r="P29" s="65"/>
      <c r="Q29" s="62"/>
      <c r="R29" s="70"/>
      <c r="S29" s="71"/>
      <c r="T29" s="61"/>
      <c r="U29" s="61"/>
      <c r="V29" s="68" t="e">
        <f t="shared" si="0"/>
        <v>#REF!</v>
      </c>
      <c r="W29" s="72"/>
      <c r="X29" s="74"/>
      <c r="Y29" s="189" t="e">
        <f>-'[4]Budget 2025'!M130</f>
        <v>#REF!</v>
      </c>
      <c r="Z29" s="189">
        <v>15000</v>
      </c>
      <c r="AA29" s="189"/>
      <c r="AB29" s="189"/>
      <c r="AC29" s="189"/>
      <c r="AD29" s="189"/>
      <c r="AE29" s="189"/>
      <c r="AF29" s="189">
        <v>20000</v>
      </c>
      <c r="AG29" s="189"/>
      <c r="AH29" s="189"/>
      <c r="AI29" s="189"/>
      <c r="AJ29" s="189"/>
      <c r="AK29" s="189">
        <v>20000</v>
      </c>
      <c r="AL29" s="189"/>
      <c r="AM29" s="189"/>
      <c r="AN29" s="189"/>
      <c r="AO29" s="189"/>
      <c r="AP29" s="189">
        <v>20000</v>
      </c>
      <c r="AQ29" s="189"/>
      <c r="AR29" s="189"/>
      <c r="AS29" s="189"/>
      <c r="AT29" s="189"/>
      <c r="AU29" s="189">
        <v>20000</v>
      </c>
      <c r="AV29" s="189"/>
      <c r="AW29" s="189"/>
      <c r="AX29" s="189"/>
      <c r="AY29" s="189"/>
      <c r="AZ29" s="189">
        <v>20000</v>
      </c>
      <c r="BA29" s="189"/>
      <c r="BB29" s="189"/>
    </row>
    <row r="30" spans="1:61" s="1" customFormat="1" ht="40.049999999999997" customHeight="1" x14ac:dyDescent="0.35">
      <c r="A30" s="62"/>
      <c r="B30" s="63"/>
      <c r="C30" s="64"/>
      <c r="D30" s="62"/>
      <c r="E30" s="62"/>
      <c r="F30" s="65"/>
      <c r="G30" s="65"/>
      <c r="H30" s="66"/>
      <c r="I30" s="66"/>
      <c r="J30" s="67"/>
      <c r="K30" s="68"/>
      <c r="L30" s="61"/>
      <c r="M30" s="61"/>
      <c r="N30" s="188" t="s">
        <v>80</v>
      </c>
      <c r="O30" s="62"/>
      <c r="P30" s="65"/>
      <c r="Q30" s="62"/>
      <c r="R30" s="70"/>
      <c r="S30" s="71"/>
      <c r="T30" s="61"/>
      <c r="U30" s="61"/>
      <c r="V30" s="68">
        <f t="shared" si="0"/>
        <v>150000</v>
      </c>
      <c r="W30" s="72"/>
      <c r="X30" s="74"/>
      <c r="Y30" s="74"/>
      <c r="Z30" s="189"/>
      <c r="AA30" s="189"/>
      <c r="AB30" s="189"/>
      <c r="AC30" s="189"/>
      <c r="AD30" s="189"/>
      <c r="AE30" s="189">
        <v>50000</v>
      </c>
      <c r="AF30" s="189"/>
      <c r="AG30" s="189"/>
      <c r="AH30" s="189"/>
      <c r="AI30" s="189"/>
      <c r="AJ30" s="189"/>
      <c r="AK30" s="189"/>
      <c r="AL30" s="189"/>
      <c r="AM30" s="189">
        <v>50000</v>
      </c>
      <c r="AN30" s="189"/>
      <c r="AO30" s="189"/>
      <c r="AP30" s="189"/>
      <c r="AQ30" s="189"/>
      <c r="AR30" s="189"/>
      <c r="AS30" s="189"/>
      <c r="AT30" s="189"/>
      <c r="AU30" s="189">
        <v>50000</v>
      </c>
      <c r="AV30" s="189"/>
      <c r="AW30" s="189"/>
      <c r="AX30" s="189"/>
      <c r="AY30" s="189"/>
      <c r="AZ30" s="189"/>
      <c r="BA30" s="189"/>
      <c r="BB30" s="189"/>
    </row>
    <row r="31" spans="1:61" s="1" customFormat="1" ht="40.049999999999997" customHeight="1" x14ac:dyDescent="0.35">
      <c r="A31" s="62"/>
      <c r="B31" s="63"/>
      <c r="C31" s="64"/>
      <c r="D31" s="62"/>
      <c r="E31" s="62"/>
      <c r="F31" s="65"/>
      <c r="G31" s="65"/>
      <c r="H31" s="66"/>
      <c r="I31" s="66"/>
      <c r="J31" s="67"/>
      <c r="K31" s="68"/>
      <c r="L31" s="61"/>
      <c r="M31" s="61"/>
      <c r="N31" s="69" t="s">
        <v>81</v>
      </c>
      <c r="O31" s="62"/>
      <c r="P31" s="65"/>
      <c r="Q31" s="62"/>
      <c r="R31" s="70"/>
      <c r="S31" s="71"/>
      <c r="T31" s="61"/>
      <c r="U31" s="61"/>
      <c r="V31" s="68">
        <f t="shared" si="0"/>
        <v>0</v>
      </c>
      <c r="W31" s="72"/>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row>
    <row r="32" spans="1:61" s="1" customFormat="1" ht="40.049999999999997" customHeight="1" x14ac:dyDescent="0.35">
      <c r="A32" s="62"/>
      <c r="B32" s="63">
        <v>1</v>
      </c>
      <c r="C32" s="64">
        <v>1</v>
      </c>
      <c r="D32" s="62">
        <v>1</v>
      </c>
      <c r="E32" s="62">
        <v>1</v>
      </c>
      <c r="F32" s="65">
        <v>2023</v>
      </c>
      <c r="G32" s="65">
        <v>5</v>
      </c>
      <c r="H32" s="66">
        <v>0.01</v>
      </c>
      <c r="I32" s="66"/>
      <c r="J32" s="67">
        <v>4.0199999999999996</v>
      </c>
      <c r="K32" s="68">
        <v>16000</v>
      </c>
      <c r="L32" s="73">
        <v>16000</v>
      </c>
      <c r="M32" s="61" t="s">
        <v>49</v>
      </c>
      <c r="N32" s="188" t="s">
        <v>185</v>
      </c>
      <c r="O32" s="62">
        <v>2023</v>
      </c>
      <c r="P32" s="65" t="s">
        <v>83</v>
      </c>
      <c r="Q32" s="62" t="s">
        <v>84</v>
      </c>
      <c r="R32" s="70">
        <v>0.75</v>
      </c>
      <c r="S32" s="71">
        <v>1</v>
      </c>
      <c r="T32" s="73">
        <v>12000</v>
      </c>
      <c r="U32" s="73">
        <v>12000</v>
      </c>
      <c r="V32" s="68">
        <f t="shared" si="0"/>
        <v>85375.990927751933</v>
      </c>
      <c r="W32" s="72">
        <v>5.8527164365731604E-3</v>
      </c>
      <c r="X32" s="74"/>
      <c r="Y32" s="74" t="s">
        <v>42</v>
      </c>
      <c r="Z32" s="189"/>
      <c r="AA32" s="189">
        <v>20000</v>
      </c>
      <c r="AB32" s="74" t="s">
        <v>42</v>
      </c>
      <c r="AC32" s="74"/>
      <c r="AD32" s="189">
        <v>5000</v>
      </c>
      <c r="AE32" s="74" t="s">
        <v>42</v>
      </c>
      <c r="AF32" s="74" t="s">
        <v>42</v>
      </c>
      <c r="AG32" s="74" t="s">
        <v>42</v>
      </c>
      <c r="AH32" s="74"/>
      <c r="AI32" s="189">
        <v>10000</v>
      </c>
      <c r="AJ32" s="74" t="s">
        <v>42</v>
      </c>
      <c r="AK32" s="74" t="s">
        <v>42</v>
      </c>
      <c r="AL32" s="74" t="s">
        <v>42</v>
      </c>
      <c r="AM32" s="74"/>
      <c r="AN32" s="189">
        <v>14000</v>
      </c>
      <c r="AO32" s="74" t="s">
        <v>42</v>
      </c>
      <c r="AP32" s="74" t="s">
        <v>42</v>
      </c>
      <c r="AQ32" s="74" t="s">
        <v>42</v>
      </c>
      <c r="AR32" s="74"/>
      <c r="AS32" s="189">
        <f>-FV(0.035,5,0,AN32,0)</f>
        <v>16627.608279056243</v>
      </c>
      <c r="AT32" s="74" t="s">
        <v>42</v>
      </c>
      <c r="AU32" s="74" t="s">
        <v>42</v>
      </c>
      <c r="AV32" s="74" t="s">
        <v>42</v>
      </c>
      <c r="AW32" s="74"/>
      <c r="AX32" s="189">
        <f>-FV(0.035,5,0,AS32,0)</f>
        <v>19748.382648695693</v>
      </c>
      <c r="AY32" s="74" t="s">
        <v>42</v>
      </c>
      <c r="AZ32" s="74" t="s">
        <v>42</v>
      </c>
      <c r="BA32" s="74" t="s">
        <v>42</v>
      </c>
      <c r="BB32" s="74"/>
    </row>
    <row r="33" spans="1:54" s="1" customFormat="1" ht="40.049999999999997" customHeight="1" x14ac:dyDescent="0.35">
      <c r="A33" s="62"/>
      <c r="B33" s="63">
        <v>1</v>
      </c>
      <c r="C33" s="64">
        <v>1</v>
      </c>
      <c r="D33" s="62">
        <v>1</v>
      </c>
      <c r="E33" s="62">
        <v>1</v>
      </c>
      <c r="F33" s="65">
        <v>2027</v>
      </c>
      <c r="G33" s="65">
        <v>20</v>
      </c>
      <c r="H33" s="66">
        <v>0.01</v>
      </c>
      <c r="I33" s="66"/>
      <c r="J33" s="67">
        <v>4.04</v>
      </c>
      <c r="K33" s="68">
        <v>16000</v>
      </c>
      <c r="L33" s="73">
        <v>16000</v>
      </c>
      <c r="M33" s="61" t="s">
        <v>49</v>
      </c>
      <c r="N33" s="61" t="s">
        <v>85</v>
      </c>
      <c r="O33" s="62">
        <v>2027</v>
      </c>
      <c r="P33" s="65" t="s">
        <v>54</v>
      </c>
      <c r="Q33" s="62" t="s">
        <v>86</v>
      </c>
      <c r="R33" s="70">
        <v>16</v>
      </c>
      <c r="S33" s="71">
        <v>1</v>
      </c>
      <c r="T33" s="73">
        <v>256000</v>
      </c>
      <c r="U33" s="73">
        <v>256000</v>
      </c>
      <c r="V33" s="68">
        <f t="shared" si="0"/>
        <v>989582.79827728355</v>
      </c>
      <c r="W33" s="72">
        <v>3.4453047505106089E-2</v>
      </c>
      <c r="X33" s="74" t="s">
        <v>42</v>
      </c>
      <c r="Y33" s="74" t="s">
        <v>42</v>
      </c>
      <c r="Z33" s="74" t="s">
        <v>42</v>
      </c>
      <c r="AA33" s="74" t="s">
        <v>42</v>
      </c>
      <c r="AB33" s="74"/>
      <c r="AC33" s="74"/>
      <c r="AD33" s="74"/>
      <c r="AE33" s="74" t="s">
        <v>42</v>
      </c>
      <c r="AF33" s="74" t="s">
        <v>42</v>
      </c>
      <c r="AG33" s="189">
        <f>86578*4</f>
        <v>346312</v>
      </c>
      <c r="AH33" s="74" t="s">
        <v>42</v>
      </c>
      <c r="AI33" s="74" t="s">
        <v>42</v>
      </c>
      <c r="AJ33" s="74" t="s">
        <v>42</v>
      </c>
      <c r="AK33" s="74" t="s">
        <v>42</v>
      </c>
      <c r="AL33" s="74" t="s">
        <v>42</v>
      </c>
      <c r="AM33" s="74" t="s">
        <v>42</v>
      </c>
      <c r="AN33" s="74" t="s">
        <v>42</v>
      </c>
      <c r="AO33" s="74" t="s">
        <v>42</v>
      </c>
      <c r="AP33" s="74" t="s">
        <v>42</v>
      </c>
      <c r="AQ33" s="74" t="s">
        <v>42</v>
      </c>
      <c r="AR33" s="74" t="s">
        <v>42</v>
      </c>
      <c r="AS33" s="74" t="s">
        <v>42</v>
      </c>
      <c r="AT33" s="74" t="s">
        <v>42</v>
      </c>
      <c r="AU33" s="74" t="s">
        <v>42</v>
      </c>
      <c r="AV33" s="74"/>
      <c r="AW33" s="74" t="s">
        <v>42</v>
      </c>
      <c r="AX33" s="74" t="s">
        <v>42</v>
      </c>
      <c r="AY33" s="189">
        <f>-FV(0.035,18,0,AG33,0)</f>
        <v>643270.79827728355</v>
      </c>
      <c r="AZ33" s="74" t="s">
        <v>42</v>
      </c>
      <c r="BA33" s="74" t="s">
        <v>42</v>
      </c>
      <c r="BB33" s="74" t="s">
        <v>42</v>
      </c>
    </row>
    <row r="34" spans="1:54" s="1" customFormat="1" ht="40.049999999999997" customHeight="1" x14ac:dyDescent="0.35">
      <c r="A34" s="62"/>
      <c r="B34" s="63">
        <v>1</v>
      </c>
      <c r="C34" s="64">
        <v>1</v>
      </c>
      <c r="D34" s="62">
        <v>1</v>
      </c>
      <c r="E34" s="62">
        <v>1</v>
      </c>
      <c r="F34" s="65">
        <v>2043</v>
      </c>
      <c r="G34" s="65">
        <v>10</v>
      </c>
      <c r="H34" s="66">
        <v>0.01</v>
      </c>
      <c r="I34" s="66"/>
      <c r="J34" s="67">
        <v>4.09</v>
      </c>
      <c r="K34" s="68">
        <v>1</v>
      </c>
      <c r="L34" s="73">
        <v>1</v>
      </c>
      <c r="M34" s="61" t="s">
        <v>72</v>
      </c>
      <c r="N34" s="188" t="s">
        <v>251</v>
      </c>
      <c r="O34" s="62">
        <v>2043</v>
      </c>
      <c r="P34" s="65" t="s">
        <v>51</v>
      </c>
      <c r="Q34" s="62" t="s">
        <v>88</v>
      </c>
      <c r="R34" s="70">
        <v>25000</v>
      </c>
      <c r="S34" s="71">
        <v>1</v>
      </c>
      <c r="T34" s="73">
        <v>25000</v>
      </c>
      <c r="U34" s="73">
        <v>25000</v>
      </c>
      <c r="V34" s="68">
        <f t="shared" si="0"/>
        <v>119915</v>
      </c>
      <c r="W34" s="72">
        <v>4.703912785381268E-3</v>
      </c>
      <c r="X34" s="74" t="s">
        <v>42</v>
      </c>
      <c r="Y34" s="74" t="s">
        <v>42</v>
      </c>
      <c r="Z34" s="74" t="s">
        <v>42</v>
      </c>
      <c r="AA34" s="74" t="s">
        <v>42</v>
      </c>
      <c r="AB34" s="74" t="s">
        <v>42</v>
      </c>
      <c r="AC34" s="74" t="s">
        <v>42</v>
      </c>
      <c r="AD34" s="74" t="s">
        <v>42</v>
      </c>
      <c r="AE34" s="74" t="s">
        <v>42</v>
      </c>
      <c r="AF34" s="74" t="s">
        <v>42</v>
      </c>
      <c r="AG34" s="74" t="s">
        <v>42</v>
      </c>
      <c r="AH34" s="74" t="s">
        <v>42</v>
      </c>
      <c r="AI34" s="74" t="s">
        <v>42</v>
      </c>
      <c r="AJ34" s="74" t="s">
        <v>42</v>
      </c>
      <c r="AK34" s="74" t="s">
        <v>42</v>
      </c>
      <c r="AL34" s="74" t="s">
        <v>42</v>
      </c>
      <c r="AM34" s="74" t="s">
        <v>42</v>
      </c>
      <c r="AN34" s="74" t="s">
        <v>42</v>
      </c>
      <c r="AO34" s="74" t="s">
        <v>42</v>
      </c>
      <c r="AP34" s="74" t="s">
        <v>42</v>
      </c>
      <c r="AQ34" s="74" t="s">
        <v>42</v>
      </c>
      <c r="AR34" s="74">
        <v>49745</v>
      </c>
      <c r="AS34" s="74" t="s">
        <v>42</v>
      </c>
      <c r="AT34" s="74" t="s">
        <v>42</v>
      </c>
      <c r="AU34" s="74" t="s">
        <v>42</v>
      </c>
      <c r="AV34" s="74" t="s">
        <v>42</v>
      </c>
      <c r="AW34" s="74" t="s">
        <v>42</v>
      </c>
      <c r="AX34" s="74" t="s">
        <v>42</v>
      </c>
      <c r="AY34" s="74" t="s">
        <v>42</v>
      </c>
      <c r="AZ34" s="74" t="s">
        <v>42</v>
      </c>
      <c r="BA34" s="74" t="s">
        <v>42</v>
      </c>
      <c r="BB34" s="74">
        <v>70170</v>
      </c>
    </row>
    <row r="35" spans="1:54" s="1" customFormat="1" ht="40.049999999999997" customHeight="1" x14ac:dyDescent="0.35">
      <c r="A35" s="62"/>
      <c r="B35" s="63">
        <v>1</v>
      </c>
      <c r="C35" s="64">
        <v>1</v>
      </c>
      <c r="D35" s="62">
        <v>1</v>
      </c>
      <c r="E35" s="62">
        <v>1</v>
      </c>
      <c r="F35" s="65">
        <v>2028</v>
      </c>
      <c r="G35" s="65">
        <v>10</v>
      </c>
      <c r="H35" s="66">
        <v>10</v>
      </c>
      <c r="I35" s="66"/>
      <c r="J35" s="67">
        <v>4.1109999999999998</v>
      </c>
      <c r="K35" s="68">
        <v>580</v>
      </c>
      <c r="L35" s="73">
        <v>580</v>
      </c>
      <c r="M35" s="61" t="s">
        <v>47</v>
      </c>
      <c r="N35" s="61" t="s">
        <v>89</v>
      </c>
      <c r="O35" s="62">
        <v>2028</v>
      </c>
      <c r="P35" s="65" t="s">
        <v>90</v>
      </c>
      <c r="Q35" s="62" t="s">
        <v>46</v>
      </c>
      <c r="R35" s="70">
        <v>100</v>
      </c>
      <c r="S35" s="71">
        <v>1</v>
      </c>
      <c r="T35" s="73">
        <v>58000</v>
      </c>
      <c r="U35" s="73">
        <v>58000</v>
      </c>
      <c r="V35" s="68">
        <f t="shared" si="0"/>
        <v>274238</v>
      </c>
      <c r="W35" s="72">
        <v>1.1890663045956814E-2</v>
      </c>
      <c r="X35" s="74" t="s">
        <v>42</v>
      </c>
      <c r="Y35" s="74" t="s">
        <v>42</v>
      </c>
      <c r="Z35" s="74" t="s">
        <v>42</v>
      </c>
      <c r="AA35" s="74" t="s">
        <v>42</v>
      </c>
      <c r="AB35" s="74" t="s">
        <v>42</v>
      </c>
      <c r="AC35" s="189">
        <v>40000</v>
      </c>
      <c r="AD35" s="74" t="s">
        <v>42</v>
      </c>
      <c r="AE35" s="74" t="s">
        <v>42</v>
      </c>
      <c r="AF35" s="74" t="s">
        <v>42</v>
      </c>
      <c r="AG35" s="74" t="s">
        <v>42</v>
      </c>
      <c r="AH35" s="74" t="s">
        <v>42</v>
      </c>
      <c r="AI35" s="74" t="s">
        <v>42</v>
      </c>
      <c r="AJ35" s="74" t="s">
        <v>42</v>
      </c>
      <c r="AK35" s="74" t="s">
        <v>42</v>
      </c>
      <c r="AL35" s="74" t="s">
        <v>42</v>
      </c>
      <c r="AM35" s="74">
        <v>97170</v>
      </c>
      <c r="AN35" s="74" t="s">
        <v>42</v>
      </c>
      <c r="AO35" s="74" t="s">
        <v>42</v>
      </c>
      <c r="AP35" s="74" t="s">
        <v>42</v>
      </c>
      <c r="AQ35" s="74" t="s">
        <v>42</v>
      </c>
      <c r="AR35" s="74" t="s">
        <v>42</v>
      </c>
      <c r="AS35" s="74" t="s">
        <v>42</v>
      </c>
      <c r="AT35" s="74" t="s">
        <v>42</v>
      </c>
      <c r="AU35" s="74" t="s">
        <v>42</v>
      </c>
      <c r="AV35" s="74" t="s">
        <v>42</v>
      </c>
      <c r="AW35" s="74">
        <v>137068</v>
      </c>
      <c r="AX35" s="74" t="s">
        <v>42</v>
      </c>
      <c r="AY35" s="74" t="s">
        <v>42</v>
      </c>
      <c r="AZ35" s="74" t="s">
        <v>42</v>
      </c>
      <c r="BA35" s="74" t="s">
        <v>42</v>
      </c>
      <c r="BB35" s="74" t="s">
        <v>42</v>
      </c>
    </row>
    <row r="36" spans="1:54" s="1" customFormat="1" ht="40.049999999999997" customHeight="1" x14ac:dyDescent="0.35">
      <c r="A36" s="62"/>
      <c r="B36" s="63">
        <v>1</v>
      </c>
      <c r="C36" s="64">
        <v>1</v>
      </c>
      <c r="D36" s="62">
        <v>1</v>
      </c>
      <c r="E36" s="62">
        <v>1</v>
      </c>
      <c r="F36" s="65">
        <v>2029</v>
      </c>
      <c r="G36" s="65">
        <v>10</v>
      </c>
      <c r="H36" s="66">
        <v>10</v>
      </c>
      <c r="I36" s="66"/>
      <c r="J36" s="67">
        <v>4.1120000000000001</v>
      </c>
      <c r="K36" s="68">
        <v>1100</v>
      </c>
      <c r="L36" s="73">
        <v>1100</v>
      </c>
      <c r="M36" s="61" t="s">
        <v>47</v>
      </c>
      <c r="N36" s="61" t="s">
        <v>91</v>
      </c>
      <c r="O36" s="62">
        <v>2029</v>
      </c>
      <c r="P36" s="65" t="s">
        <v>90</v>
      </c>
      <c r="Q36" s="62" t="s">
        <v>70</v>
      </c>
      <c r="R36" s="70">
        <v>90</v>
      </c>
      <c r="S36" s="71">
        <v>1</v>
      </c>
      <c r="T36" s="73">
        <v>99000</v>
      </c>
      <c r="U36" s="73">
        <v>99000</v>
      </c>
      <c r="V36" s="68">
        <f t="shared" si="0"/>
        <v>503815</v>
      </c>
      <c r="W36" s="72">
        <v>2.1006521616247407E-2</v>
      </c>
      <c r="X36" s="74" t="s">
        <v>42</v>
      </c>
      <c r="Y36" s="74" t="s">
        <v>42</v>
      </c>
      <c r="Z36" s="189">
        <v>40000</v>
      </c>
      <c r="AA36" s="74" t="s">
        <v>42</v>
      </c>
      <c r="AB36" s="74" t="s">
        <v>42</v>
      </c>
      <c r="AC36" s="74" t="s">
        <v>42</v>
      </c>
      <c r="AD36" s="74"/>
      <c r="AE36" s="74" t="s">
        <v>42</v>
      </c>
      <c r="AF36" s="189">
        <v>50000</v>
      </c>
      <c r="AG36" s="74" t="s">
        <v>42</v>
      </c>
      <c r="AH36" s="74" t="s">
        <v>42</v>
      </c>
      <c r="AI36" s="74" t="s">
        <v>42</v>
      </c>
      <c r="AJ36" s="74" t="s">
        <v>42</v>
      </c>
      <c r="AK36" s="74" t="s">
        <v>42</v>
      </c>
      <c r="AL36" s="74" t="s">
        <v>42</v>
      </c>
      <c r="AM36" s="74" t="s">
        <v>42</v>
      </c>
      <c r="AN36" s="74">
        <v>171665</v>
      </c>
      <c r="AO36" s="74" t="s">
        <v>42</v>
      </c>
      <c r="AP36" s="74" t="s">
        <v>42</v>
      </c>
      <c r="AQ36" s="74" t="s">
        <v>42</v>
      </c>
      <c r="AR36" s="74" t="s">
        <v>42</v>
      </c>
      <c r="AS36" s="74" t="s">
        <v>42</v>
      </c>
      <c r="AT36" s="74" t="s">
        <v>42</v>
      </c>
      <c r="AU36" s="74" t="s">
        <v>42</v>
      </c>
      <c r="AV36" s="74" t="s">
        <v>42</v>
      </c>
      <c r="AW36" s="74" t="s">
        <v>42</v>
      </c>
      <c r="AX36" s="74">
        <v>242150</v>
      </c>
      <c r="AY36" s="74" t="s">
        <v>42</v>
      </c>
      <c r="AZ36" s="74" t="s">
        <v>42</v>
      </c>
      <c r="BA36" s="74" t="s">
        <v>42</v>
      </c>
      <c r="BB36" s="74" t="s">
        <v>42</v>
      </c>
    </row>
    <row r="37" spans="1:54" s="1" customFormat="1" ht="40.049999999999997" customHeight="1" x14ac:dyDescent="0.35">
      <c r="A37" s="62"/>
      <c r="B37" s="63">
        <v>1</v>
      </c>
      <c r="C37" s="64">
        <v>1</v>
      </c>
      <c r="D37" s="62">
        <v>1</v>
      </c>
      <c r="E37" s="62">
        <v>1</v>
      </c>
      <c r="F37" s="65">
        <v>2034</v>
      </c>
      <c r="G37" s="65">
        <v>15</v>
      </c>
      <c r="H37" s="66">
        <v>0.01</v>
      </c>
      <c r="I37" s="66"/>
      <c r="J37" s="67">
        <v>4.1219999999999999</v>
      </c>
      <c r="K37" s="68">
        <v>4</v>
      </c>
      <c r="L37" s="73">
        <v>4</v>
      </c>
      <c r="M37" s="61" t="s">
        <v>38</v>
      </c>
      <c r="N37" s="61" t="s">
        <v>256</v>
      </c>
      <c r="O37" s="62">
        <v>2034</v>
      </c>
      <c r="P37" s="65" t="s">
        <v>51</v>
      </c>
      <c r="Q37" s="62" t="s">
        <v>93</v>
      </c>
      <c r="R37" s="70">
        <v>5000</v>
      </c>
      <c r="S37" s="71">
        <v>1</v>
      </c>
      <c r="T37" s="73">
        <v>20000</v>
      </c>
      <c r="U37" s="73">
        <v>20000</v>
      </c>
      <c r="V37" s="68">
        <f t="shared" si="0"/>
        <v>78118</v>
      </c>
      <c r="W37" s="72">
        <v>3.0643393984773701E-3</v>
      </c>
      <c r="X37" s="74" t="s">
        <v>42</v>
      </c>
      <c r="Y37" s="74" t="s">
        <v>42</v>
      </c>
      <c r="Z37" s="74" t="s">
        <v>42</v>
      </c>
      <c r="AA37" s="74" t="s">
        <v>42</v>
      </c>
      <c r="AB37" s="74" t="s">
        <v>42</v>
      </c>
      <c r="AC37" s="74" t="s">
        <v>42</v>
      </c>
      <c r="AD37" s="74" t="s">
        <v>42</v>
      </c>
      <c r="AE37" s="74" t="s">
        <v>42</v>
      </c>
      <c r="AF37" s="74" t="s">
        <v>42</v>
      </c>
      <c r="AG37" s="74" t="s">
        <v>42</v>
      </c>
      <c r="AH37" s="74" t="s">
        <v>42</v>
      </c>
      <c r="AI37" s="74">
        <v>29199</v>
      </c>
      <c r="AJ37" s="74" t="s">
        <v>42</v>
      </c>
      <c r="AK37" s="74" t="s">
        <v>42</v>
      </c>
      <c r="AL37" s="74" t="s">
        <v>42</v>
      </c>
      <c r="AM37" s="74" t="s">
        <v>42</v>
      </c>
      <c r="AN37" s="74" t="s">
        <v>42</v>
      </c>
      <c r="AO37" s="74" t="s">
        <v>42</v>
      </c>
      <c r="AP37" s="74" t="s">
        <v>42</v>
      </c>
      <c r="AQ37" s="74" t="s">
        <v>42</v>
      </c>
      <c r="AR37" s="74" t="s">
        <v>42</v>
      </c>
      <c r="AS37" s="74" t="s">
        <v>42</v>
      </c>
      <c r="AT37" s="74" t="s">
        <v>42</v>
      </c>
      <c r="AU37" s="74" t="s">
        <v>42</v>
      </c>
      <c r="AV37" s="74" t="s">
        <v>42</v>
      </c>
      <c r="AW37" s="74" t="s">
        <v>42</v>
      </c>
      <c r="AX37" s="74">
        <v>48919</v>
      </c>
      <c r="AY37" s="74" t="s">
        <v>42</v>
      </c>
      <c r="AZ37" s="74" t="s">
        <v>42</v>
      </c>
      <c r="BA37" s="74" t="s">
        <v>42</v>
      </c>
      <c r="BB37" s="74" t="s">
        <v>42</v>
      </c>
    </row>
    <row r="38" spans="1:54" s="1" customFormat="1" ht="40.049999999999997" customHeight="1" x14ac:dyDescent="0.35">
      <c r="A38" s="62"/>
      <c r="B38" s="63">
        <v>1</v>
      </c>
      <c r="C38" s="64">
        <v>1</v>
      </c>
      <c r="D38" s="62">
        <v>1</v>
      </c>
      <c r="E38" s="62">
        <v>1</v>
      </c>
      <c r="F38" s="65">
        <v>2038</v>
      </c>
      <c r="G38" s="65">
        <v>25</v>
      </c>
      <c r="H38" s="66">
        <v>0.01</v>
      </c>
      <c r="I38" s="66"/>
      <c r="J38" s="67">
        <v>4.1230000000000002</v>
      </c>
      <c r="K38" s="68">
        <v>1850</v>
      </c>
      <c r="L38" s="73">
        <v>1850</v>
      </c>
      <c r="M38" s="61" t="s">
        <v>43</v>
      </c>
      <c r="N38" s="61" t="s">
        <v>94</v>
      </c>
      <c r="O38" s="62">
        <v>2038</v>
      </c>
      <c r="P38" s="65" t="s">
        <v>51</v>
      </c>
      <c r="Q38" s="62" t="s">
        <v>95</v>
      </c>
      <c r="R38" s="70">
        <v>100</v>
      </c>
      <c r="S38" s="71">
        <v>1</v>
      </c>
      <c r="T38" s="73">
        <v>185000</v>
      </c>
      <c r="U38" s="73">
        <v>185000</v>
      </c>
      <c r="V38" s="68">
        <f t="shared" si="0"/>
        <v>309940</v>
      </c>
      <c r="W38" s="72">
        <v>1.2158034680407539E-2</v>
      </c>
      <c r="X38" s="74" t="s">
        <v>42</v>
      </c>
      <c r="Y38" s="74" t="s">
        <v>42</v>
      </c>
      <c r="Z38" s="74" t="s">
        <v>42</v>
      </c>
      <c r="AA38" s="74" t="s">
        <v>42</v>
      </c>
      <c r="AB38" s="74" t="s">
        <v>42</v>
      </c>
      <c r="AC38" s="74" t="s">
        <v>42</v>
      </c>
      <c r="AD38" s="74" t="s">
        <v>42</v>
      </c>
      <c r="AE38" s="74" t="s">
        <v>42</v>
      </c>
      <c r="AF38" s="74" t="s">
        <v>42</v>
      </c>
      <c r="AG38" s="74" t="s">
        <v>42</v>
      </c>
      <c r="AH38" s="74" t="s">
        <v>42</v>
      </c>
      <c r="AI38" s="74" t="s">
        <v>42</v>
      </c>
      <c r="AJ38" s="74" t="s">
        <v>42</v>
      </c>
      <c r="AK38" s="74" t="s">
        <v>42</v>
      </c>
      <c r="AL38" s="74" t="s">
        <v>42</v>
      </c>
      <c r="AM38" s="74">
        <v>309940</v>
      </c>
      <c r="AN38" s="74" t="s">
        <v>42</v>
      </c>
      <c r="AO38" s="74" t="s">
        <v>42</v>
      </c>
      <c r="AP38" s="74" t="s">
        <v>42</v>
      </c>
      <c r="AQ38" s="74" t="s">
        <v>42</v>
      </c>
      <c r="AR38" s="74" t="s">
        <v>42</v>
      </c>
      <c r="AS38" s="74" t="s">
        <v>42</v>
      </c>
      <c r="AT38" s="74" t="s">
        <v>42</v>
      </c>
      <c r="AU38" s="74" t="s">
        <v>42</v>
      </c>
      <c r="AV38" s="74" t="s">
        <v>42</v>
      </c>
      <c r="AW38" s="74" t="s">
        <v>42</v>
      </c>
      <c r="AX38" s="74" t="s">
        <v>42</v>
      </c>
      <c r="AY38" s="74" t="s">
        <v>42</v>
      </c>
      <c r="AZ38" s="74" t="s">
        <v>42</v>
      </c>
      <c r="BA38" s="74" t="s">
        <v>42</v>
      </c>
      <c r="BB38" s="74" t="s">
        <v>42</v>
      </c>
    </row>
    <row r="39" spans="1:54" s="1" customFormat="1" ht="40.049999999999997" customHeight="1" x14ac:dyDescent="0.35">
      <c r="A39" s="62"/>
      <c r="B39" s="63"/>
      <c r="C39" s="64"/>
      <c r="D39" s="62"/>
      <c r="E39" s="62"/>
      <c r="F39" s="65"/>
      <c r="G39" s="65"/>
      <c r="H39" s="66"/>
      <c r="I39" s="66"/>
      <c r="J39" s="67"/>
      <c r="K39" s="68"/>
      <c r="L39" s="73"/>
      <c r="M39" s="61"/>
      <c r="N39" s="188" t="s">
        <v>246</v>
      </c>
      <c r="O39" s="62"/>
      <c r="P39" s="65"/>
      <c r="Q39" s="62"/>
      <c r="R39" s="70"/>
      <c r="S39" s="71"/>
      <c r="T39" s="73"/>
      <c r="U39" s="73"/>
      <c r="V39" s="68">
        <f t="shared" si="0"/>
        <v>168162.24921335198</v>
      </c>
      <c r="W39" s="72"/>
      <c r="X39" s="74"/>
      <c r="Y39" s="74"/>
      <c r="Z39" s="74"/>
      <c r="AA39" s="74"/>
      <c r="AB39" s="74"/>
      <c r="AC39" s="189">
        <v>50000</v>
      </c>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189">
        <f>-FV(0.035,25,0,AC39,0)</f>
        <v>118162.24921335198</v>
      </c>
    </row>
    <row r="40" spans="1:54" s="1" customFormat="1" ht="40.049999999999997" customHeight="1" x14ac:dyDescent="0.35">
      <c r="A40" s="62"/>
      <c r="B40" s="63">
        <v>1</v>
      </c>
      <c r="C40" s="64">
        <v>1</v>
      </c>
      <c r="D40" s="62">
        <v>1</v>
      </c>
      <c r="E40" s="62">
        <v>1</v>
      </c>
      <c r="F40" s="65">
        <v>2043</v>
      </c>
      <c r="G40" s="65">
        <v>20</v>
      </c>
      <c r="H40" s="66">
        <v>0.01</v>
      </c>
      <c r="I40" s="66"/>
      <c r="J40" s="67">
        <v>4.26</v>
      </c>
      <c r="K40" s="68">
        <v>385</v>
      </c>
      <c r="L40" s="73">
        <v>385</v>
      </c>
      <c r="M40" s="61" t="s">
        <v>47</v>
      </c>
      <c r="N40" s="61" t="s">
        <v>96</v>
      </c>
      <c r="O40" s="62">
        <v>2043</v>
      </c>
      <c r="P40" s="65" t="s">
        <v>54</v>
      </c>
      <c r="Q40" s="62" t="s">
        <v>88</v>
      </c>
      <c r="R40" s="70">
        <v>56</v>
      </c>
      <c r="S40" s="71">
        <v>1</v>
      </c>
      <c r="T40" s="73">
        <v>21560</v>
      </c>
      <c r="U40" s="73">
        <v>21560</v>
      </c>
      <c r="V40" s="68">
        <f t="shared" si="0"/>
        <v>42900</v>
      </c>
      <c r="W40" s="72">
        <v>1.6828408330305331E-3</v>
      </c>
      <c r="X40" s="74" t="s">
        <v>42</v>
      </c>
      <c r="Y40" s="74" t="s">
        <v>42</v>
      </c>
      <c r="Z40" s="74" t="s">
        <v>42</v>
      </c>
      <c r="AA40" s="74" t="s">
        <v>42</v>
      </c>
      <c r="AB40" s="74" t="s">
        <v>42</v>
      </c>
      <c r="AC40" s="74" t="s">
        <v>42</v>
      </c>
      <c r="AD40" s="74" t="s">
        <v>42</v>
      </c>
      <c r="AE40" s="74" t="s">
        <v>42</v>
      </c>
      <c r="AF40" s="74" t="s">
        <v>42</v>
      </c>
      <c r="AG40" s="74" t="s">
        <v>42</v>
      </c>
      <c r="AH40" s="74" t="s">
        <v>42</v>
      </c>
      <c r="AI40" s="74" t="s">
        <v>42</v>
      </c>
      <c r="AJ40" s="74" t="s">
        <v>42</v>
      </c>
      <c r="AK40" s="74" t="s">
        <v>42</v>
      </c>
      <c r="AL40" s="74" t="s">
        <v>42</v>
      </c>
      <c r="AM40" s="74" t="s">
        <v>42</v>
      </c>
      <c r="AN40" s="74" t="s">
        <v>42</v>
      </c>
      <c r="AO40" s="74" t="s">
        <v>42</v>
      </c>
      <c r="AP40" s="74" t="s">
        <v>42</v>
      </c>
      <c r="AQ40" s="74" t="s">
        <v>42</v>
      </c>
      <c r="AR40" s="74">
        <v>42900</v>
      </c>
      <c r="AS40" s="74" t="s">
        <v>42</v>
      </c>
      <c r="AT40" s="74" t="s">
        <v>42</v>
      </c>
      <c r="AU40" s="74" t="s">
        <v>42</v>
      </c>
      <c r="AV40" s="74" t="s">
        <v>42</v>
      </c>
      <c r="AW40" s="74" t="s">
        <v>42</v>
      </c>
      <c r="AX40" s="74" t="s">
        <v>42</v>
      </c>
      <c r="AY40" s="74" t="s">
        <v>42</v>
      </c>
      <c r="AZ40" s="74" t="s">
        <v>42</v>
      </c>
      <c r="BA40" s="74" t="s">
        <v>42</v>
      </c>
      <c r="BB40" s="74" t="s">
        <v>42</v>
      </c>
    </row>
    <row r="41" spans="1:54" s="1" customFormat="1" ht="40.049999999999997" customHeight="1" x14ac:dyDescent="0.35">
      <c r="A41" s="62"/>
      <c r="B41" s="63">
        <v>1</v>
      </c>
      <c r="C41" s="64">
        <v>1</v>
      </c>
      <c r="D41" s="62">
        <v>4</v>
      </c>
      <c r="E41" s="62">
        <v>4</v>
      </c>
      <c r="F41" s="65">
        <v>2025</v>
      </c>
      <c r="G41" s="65">
        <v>6</v>
      </c>
      <c r="H41" s="66">
        <v>0.01</v>
      </c>
      <c r="I41" s="66"/>
      <c r="J41" s="67">
        <v>4.3</v>
      </c>
      <c r="K41" s="68">
        <v>4</v>
      </c>
      <c r="L41" s="73">
        <v>1</v>
      </c>
      <c r="M41" s="61" t="s">
        <v>38</v>
      </c>
      <c r="N41" s="61" t="s">
        <v>97</v>
      </c>
      <c r="O41" s="62">
        <v>2025</v>
      </c>
      <c r="P41" s="65" t="s">
        <v>98</v>
      </c>
      <c r="Q41" s="62" t="s">
        <v>99</v>
      </c>
      <c r="R41" s="70">
        <v>14000</v>
      </c>
      <c r="S41" s="71">
        <v>1</v>
      </c>
      <c r="T41" s="73">
        <v>14000</v>
      </c>
      <c r="U41" s="73">
        <v>56000</v>
      </c>
      <c r="V41" s="68">
        <f>SUM(Y41:BB41)</f>
        <v>498183</v>
      </c>
      <c r="W41" s="72">
        <v>1.954225395621562E-2</v>
      </c>
      <c r="X41" s="74" t="s">
        <v>42</v>
      </c>
      <c r="Y41" s="74" t="s">
        <v>42</v>
      </c>
      <c r="AA41" s="189">
        <v>14997</v>
      </c>
      <c r="AB41" s="189">
        <v>15522</v>
      </c>
      <c r="AC41" s="189">
        <v>16065</v>
      </c>
      <c r="AD41" s="189">
        <v>16628</v>
      </c>
      <c r="AE41" s="74" t="s">
        <v>42</v>
      </c>
      <c r="AG41" s="189">
        <v>18435</v>
      </c>
      <c r="AH41" s="189">
        <v>19081</v>
      </c>
      <c r="AI41" s="189">
        <v>19748</v>
      </c>
      <c r="AJ41" s="189">
        <v>20440</v>
      </c>
      <c r="AK41" s="74" t="s">
        <v>42</v>
      </c>
      <c r="AM41" s="189">
        <v>22662</v>
      </c>
      <c r="AN41" s="189">
        <v>23455</v>
      </c>
      <c r="AO41" s="189">
        <v>24276</v>
      </c>
      <c r="AP41" s="189">
        <v>25125</v>
      </c>
      <c r="AQ41" s="74" t="s">
        <v>42</v>
      </c>
      <c r="AS41" s="189">
        <v>27857</v>
      </c>
      <c r="AT41" s="189">
        <v>28832</v>
      </c>
      <c r="AU41" s="189">
        <v>29841</v>
      </c>
      <c r="AV41" s="189">
        <v>30886</v>
      </c>
      <c r="AW41" s="74" t="s">
        <v>42</v>
      </c>
      <c r="AY41" s="189">
        <v>34243</v>
      </c>
      <c r="AZ41" s="189">
        <v>35442</v>
      </c>
      <c r="BA41" s="189">
        <v>36682</v>
      </c>
      <c r="BB41" s="189">
        <v>37966</v>
      </c>
    </row>
    <row r="42" spans="1:54" s="1" customFormat="1" ht="40.049999999999997" customHeight="1" x14ac:dyDescent="0.35">
      <c r="A42" s="62"/>
      <c r="B42" s="63">
        <v>1</v>
      </c>
      <c r="C42" s="64">
        <v>1</v>
      </c>
      <c r="D42" s="62">
        <v>1</v>
      </c>
      <c r="E42" s="62">
        <v>1</v>
      </c>
      <c r="F42" s="65">
        <v>2047</v>
      </c>
      <c r="G42" s="65">
        <v>40</v>
      </c>
      <c r="H42" s="66">
        <v>0.01</v>
      </c>
      <c r="I42" s="66"/>
      <c r="J42" s="67">
        <v>4.42</v>
      </c>
      <c r="K42" s="68">
        <v>1</v>
      </c>
      <c r="L42" s="73">
        <v>1</v>
      </c>
      <c r="M42" s="61" t="s">
        <v>72</v>
      </c>
      <c r="N42" s="61" t="s">
        <v>100</v>
      </c>
      <c r="O42" s="62">
        <v>2047</v>
      </c>
      <c r="P42" s="65" t="s">
        <v>101</v>
      </c>
      <c r="Q42" s="62" t="s">
        <v>102</v>
      </c>
      <c r="R42" s="70">
        <v>70000</v>
      </c>
      <c r="S42" s="71">
        <v>1</v>
      </c>
      <c r="T42" s="73">
        <v>70000</v>
      </c>
      <c r="U42" s="73">
        <v>70000</v>
      </c>
      <c r="V42" s="68">
        <f t="shared" si="0"/>
        <v>159833</v>
      </c>
      <c r="W42" s="72">
        <v>6.2697785283396083E-3</v>
      </c>
      <c r="X42" s="74" t="s">
        <v>42</v>
      </c>
      <c r="Y42" s="74" t="s">
        <v>42</v>
      </c>
      <c r="Z42" s="74" t="s">
        <v>42</v>
      </c>
      <c r="AA42" s="74" t="s">
        <v>42</v>
      </c>
      <c r="AB42" s="74" t="s">
        <v>42</v>
      </c>
      <c r="AC42" s="74" t="s">
        <v>42</v>
      </c>
      <c r="AD42" s="74" t="s">
        <v>42</v>
      </c>
      <c r="AE42" s="74" t="s">
        <v>42</v>
      </c>
      <c r="AF42" s="74" t="s">
        <v>42</v>
      </c>
      <c r="AG42" s="74" t="s">
        <v>42</v>
      </c>
      <c r="AH42" s="74" t="s">
        <v>42</v>
      </c>
      <c r="AI42" s="74" t="s">
        <v>42</v>
      </c>
      <c r="AJ42" s="74" t="s">
        <v>42</v>
      </c>
      <c r="AK42" s="74" t="s">
        <v>42</v>
      </c>
      <c r="AL42" s="74" t="s">
        <v>42</v>
      </c>
      <c r="AM42" s="74" t="s">
        <v>42</v>
      </c>
      <c r="AN42" s="74" t="s">
        <v>42</v>
      </c>
      <c r="AO42" s="74" t="s">
        <v>42</v>
      </c>
      <c r="AP42" s="74" t="s">
        <v>42</v>
      </c>
      <c r="AQ42" s="74" t="s">
        <v>42</v>
      </c>
      <c r="AR42" s="74" t="s">
        <v>42</v>
      </c>
      <c r="AS42" s="74" t="s">
        <v>42</v>
      </c>
      <c r="AT42" s="74" t="s">
        <v>42</v>
      </c>
      <c r="AU42" s="74" t="s">
        <v>42</v>
      </c>
      <c r="AV42" s="74">
        <v>159833</v>
      </c>
      <c r="AW42" s="74" t="s">
        <v>42</v>
      </c>
      <c r="AX42" s="74" t="s">
        <v>42</v>
      </c>
      <c r="AY42" s="74" t="s">
        <v>42</v>
      </c>
      <c r="AZ42" s="74" t="s">
        <v>42</v>
      </c>
      <c r="BA42" s="74" t="s">
        <v>42</v>
      </c>
      <c r="BB42" s="74" t="s">
        <v>42</v>
      </c>
    </row>
    <row r="43" spans="1:54" s="1" customFormat="1" ht="40.049999999999997" customHeight="1" x14ac:dyDescent="0.35">
      <c r="A43" s="116"/>
      <c r="B43" s="117">
        <v>1</v>
      </c>
      <c r="C43" s="118">
        <v>1</v>
      </c>
      <c r="D43" s="116">
        <v>1</v>
      </c>
      <c r="E43" s="119">
        <v>1</v>
      </c>
      <c r="F43" s="120">
        <v>2028</v>
      </c>
      <c r="G43" s="120">
        <v>15</v>
      </c>
      <c r="H43" s="121">
        <v>0.01</v>
      </c>
      <c r="I43" s="121"/>
      <c r="J43" s="122">
        <v>4.5599999999999996</v>
      </c>
      <c r="K43" s="123">
        <v>1</v>
      </c>
      <c r="L43" s="124">
        <v>1</v>
      </c>
      <c r="M43" s="102" t="s">
        <v>72</v>
      </c>
      <c r="N43" s="102" t="s">
        <v>210</v>
      </c>
      <c r="O43" s="116">
        <v>2028</v>
      </c>
      <c r="P43" s="125" t="s">
        <v>103</v>
      </c>
      <c r="Q43" s="116" t="s">
        <v>46</v>
      </c>
      <c r="R43" s="126">
        <v>92000</v>
      </c>
      <c r="S43" s="127">
        <v>1</v>
      </c>
      <c r="T43" s="124">
        <v>92000</v>
      </c>
      <c r="U43" s="124">
        <v>92000</v>
      </c>
      <c r="V43" s="123">
        <v>292328</v>
      </c>
      <c r="W43" s="128">
        <v>1.1467167716506986E-2</v>
      </c>
      <c r="X43" s="105" t="s">
        <v>42</v>
      </c>
      <c r="Y43" s="105" t="s">
        <v>42</v>
      </c>
      <c r="Z43" s="105" t="s">
        <v>42</v>
      </c>
      <c r="AA43" s="322">
        <v>5000</v>
      </c>
      <c r="AB43" s="105" t="s">
        <v>42</v>
      </c>
      <c r="AC43" s="322">
        <v>125000</v>
      </c>
      <c r="AD43" s="105" t="s">
        <v>42</v>
      </c>
      <c r="AE43" s="105" t="s">
        <v>42</v>
      </c>
      <c r="AF43" s="105" t="s">
        <v>42</v>
      </c>
      <c r="AG43" s="105" t="s">
        <v>42</v>
      </c>
      <c r="AH43" s="105" t="s">
        <v>42</v>
      </c>
      <c r="AI43" s="105" t="s">
        <v>42</v>
      </c>
      <c r="AJ43" s="105" t="s">
        <v>42</v>
      </c>
      <c r="AK43" s="105" t="s">
        <v>42</v>
      </c>
      <c r="AL43" s="105" t="s">
        <v>42</v>
      </c>
      <c r="AM43" s="105" t="s">
        <v>42</v>
      </c>
      <c r="AN43" s="105" t="s">
        <v>42</v>
      </c>
      <c r="AO43" s="105" t="s">
        <v>42</v>
      </c>
      <c r="AP43" s="105" t="s">
        <v>42</v>
      </c>
      <c r="AQ43" s="105" t="s">
        <v>42</v>
      </c>
      <c r="AR43" s="189">
        <f>-FV(0.035,15,0,AC43,0)</f>
        <v>209418.6038440199</v>
      </c>
      <c r="AS43" s="105" t="s">
        <v>42</v>
      </c>
      <c r="AT43" s="105" t="s">
        <v>42</v>
      </c>
      <c r="AU43" s="105" t="s">
        <v>42</v>
      </c>
      <c r="AV43" s="105" t="s">
        <v>42</v>
      </c>
      <c r="AW43" s="105" t="s">
        <v>42</v>
      </c>
      <c r="AX43" s="105" t="s">
        <v>42</v>
      </c>
      <c r="AY43" s="105" t="s">
        <v>42</v>
      </c>
      <c r="AZ43" s="105" t="s">
        <v>42</v>
      </c>
      <c r="BA43" s="105" t="s">
        <v>42</v>
      </c>
      <c r="BB43" s="105" t="s">
        <v>42</v>
      </c>
    </row>
    <row r="44" spans="1:54" s="1" customFormat="1" ht="40.049999999999997" customHeight="1" x14ac:dyDescent="0.35">
      <c r="A44" s="62"/>
      <c r="B44" s="63">
        <v>1</v>
      </c>
      <c r="C44" s="64">
        <v>2</v>
      </c>
      <c r="D44" s="62">
        <v>7</v>
      </c>
      <c r="E44" s="62">
        <v>4</v>
      </c>
      <c r="F44" s="65">
        <v>2037</v>
      </c>
      <c r="G44" s="65">
        <v>25</v>
      </c>
      <c r="H44" s="66">
        <v>0.01</v>
      </c>
      <c r="I44" s="66"/>
      <c r="J44" s="67">
        <v>4.62</v>
      </c>
      <c r="K44" s="68">
        <v>27000</v>
      </c>
      <c r="L44" s="73">
        <v>6750</v>
      </c>
      <c r="M44" s="61" t="s">
        <v>43</v>
      </c>
      <c r="N44" s="61" t="s">
        <v>104</v>
      </c>
      <c r="O44" s="62">
        <v>2037</v>
      </c>
      <c r="P44" s="65" t="s">
        <v>51</v>
      </c>
      <c r="Q44" s="62" t="s">
        <v>105</v>
      </c>
      <c r="R44" s="70">
        <v>9</v>
      </c>
      <c r="S44" s="71">
        <v>1</v>
      </c>
      <c r="T44" s="73">
        <v>60750</v>
      </c>
      <c r="U44" s="73">
        <v>243000</v>
      </c>
      <c r="V44" s="68">
        <f t="shared" si="0"/>
        <v>437398</v>
      </c>
      <c r="W44" s="72">
        <v>1.7157837172165246E-2</v>
      </c>
      <c r="X44" s="74" t="s">
        <v>42</v>
      </c>
      <c r="Y44" s="74" t="s">
        <v>42</v>
      </c>
      <c r="Z44" s="74" t="s">
        <v>42</v>
      </c>
      <c r="AA44" s="74" t="s">
        <v>42</v>
      </c>
      <c r="AB44" s="74" t="s">
        <v>42</v>
      </c>
      <c r="AC44" s="74" t="s">
        <v>42</v>
      </c>
      <c r="AD44" s="74" t="s">
        <v>42</v>
      </c>
      <c r="AE44" s="74" t="s">
        <v>42</v>
      </c>
      <c r="AF44" s="74" t="s">
        <v>42</v>
      </c>
      <c r="AG44" s="74" t="s">
        <v>42</v>
      </c>
      <c r="AH44" s="74" t="s">
        <v>42</v>
      </c>
      <c r="AI44" s="74" t="s">
        <v>42</v>
      </c>
      <c r="AJ44" s="74" t="s">
        <v>42</v>
      </c>
      <c r="AK44" s="74" t="s">
        <v>42</v>
      </c>
      <c r="AL44" s="74">
        <v>98336</v>
      </c>
      <c r="AM44" s="74" t="s">
        <v>42</v>
      </c>
      <c r="AN44" s="74">
        <v>105340</v>
      </c>
      <c r="AO44" s="74" t="s">
        <v>42</v>
      </c>
      <c r="AP44" s="74">
        <v>112842</v>
      </c>
      <c r="AQ44" s="74" t="s">
        <v>42</v>
      </c>
      <c r="AR44" s="74">
        <v>120880</v>
      </c>
      <c r="AS44" s="74" t="s">
        <v>42</v>
      </c>
      <c r="AT44" s="74" t="s">
        <v>42</v>
      </c>
      <c r="AU44" s="74" t="s">
        <v>42</v>
      </c>
      <c r="AV44" s="74" t="s">
        <v>42</v>
      </c>
      <c r="AW44" s="74" t="s">
        <v>42</v>
      </c>
      <c r="AX44" s="74" t="s">
        <v>42</v>
      </c>
      <c r="AY44" s="74" t="s">
        <v>42</v>
      </c>
      <c r="AZ44" s="74" t="s">
        <v>42</v>
      </c>
      <c r="BA44" s="74" t="s">
        <v>42</v>
      </c>
      <c r="BB44" s="74" t="s">
        <v>42</v>
      </c>
    </row>
    <row r="45" spans="1:54" s="1" customFormat="1" ht="40.049999999999997" customHeight="1" x14ac:dyDescent="0.35">
      <c r="A45" s="62"/>
      <c r="B45" s="63">
        <v>1</v>
      </c>
      <c r="C45" s="64">
        <v>1</v>
      </c>
      <c r="D45" s="62">
        <v>1</v>
      </c>
      <c r="E45" s="62">
        <v>1</v>
      </c>
      <c r="F45" s="65">
        <v>2046</v>
      </c>
      <c r="G45" s="65">
        <v>25</v>
      </c>
      <c r="H45" s="66">
        <v>0.01</v>
      </c>
      <c r="I45" s="66"/>
      <c r="J45" s="67">
        <v>4.6210000000000004</v>
      </c>
      <c r="K45" s="68">
        <v>1300</v>
      </c>
      <c r="L45" s="73">
        <v>1300</v>
      </c>
      <c r="M45" s="61" t="s">
        <v>43</v>
      </c>
      <c r="N45" s="61" t="s">
        <v>106</v>
      </c>
      <c r="O45" s="62">
        <v>2046</v>
      </c>
      <c r="P45" s="65" t="s">
        <v>51</v>
      </c>
      <c r="Q45" s="62" t="s">
        <v>107</v>
      </c>
      <c r="R45" s="70">
        <v>9</v>
      </c>
      <c r="S45" s="71">
        <v>1</v>
      </c>
      <c r="T45" s="73">
        <v>11700</v>
      </c>
      <c r="U45" s="73">
        <v>11700</v>
      </c>
      <c r="V45" s="68">
        <f t="shared" si="0"/>
        <v>25812</v>
      </c>
      <c r="W45" s="72">
        <v>1.0125288480695598E-3</v>
      </c>
      <c r="X45" s="74" t="s">
        <v>42</v>
      </c>
      <c r="Y45" s="74" t="s">
        <v>42</v>
      </c>
      <c r="Z45" s="74" t="s">
        <v>42</v>
      </c>
      <c r="AA45" s="74" t="s">
        <v>42</v>
      </c>
      <c r="AB45" s="74" t="s">
        <v>42</v>
      </c>
      <c r="AC45" s="74" t="s">
        <v>42</v>
      </c>
      <c r="AD45" s="74" t="s">
        <v>42</v>
      </c>
      <c r="AE45" s="74" t="s">
        <v>42</v>
      </c>
      <c r="AF45" s="74" t="s">
        <v>42</v>
      </c>
      <c r="AG45" s="74" t="s">
        <v>42</v>
      </c>
      <c r="AH45" s="74" t="s">
        <v>42</v>
      </c>
      <c r="AI45" s="74" t="s">
        <v>42</v>
      </c>
      <c r="AJ45" s="74" t="s">
        <v>42</v>
      </c>
      <c r="AK45" s="74" t="s">
        <v>42</v>
      </c>
      <c r="AL45" s="74" t="s">
        <v>42</v>
      </c>
      <c r="AM45" s="74" t="s">
        <v>42</v>
      </c>
      <c r="AN45" s="74" t="s">
        <v>42</v>
      </c>
      <c r="AO45" s="74" t="s">
        <v>42</v>
      </c>
      <c r="AP45" s="74" t="s">
        <v>42</v>
      </c>
      <c r="AQ45" s="74" t="s">
        <v>42</v>
      </c>
      <c r="AR45" s="74" t="s">
        <v>42</v>
      </c>
      <c r="AS45" s="74" t="s">
        <v>42</v>
      </c>
      <c r="AT45" s="74" t="s">
        <v>42</v>
      </c>
      <c r="AU45" s="74">
        <v>25812</v>
      </c>
      <c r="AV45" s="74" t="s">
        <v>42</v>
      </c>
      <c r="AW45" s="74" t="s">
        <v>42</v>
      </c>
      <c r="AX45" s="74" t="s">
        <v>42</v>
      </c>
      <c r="AY45" s="74" t="s">
        <v>42</v>
      </c>
      <c r="AZ45" s="74" t="s">
        <v>42</v>
      </c>
      <c r="BA45" s="74" t="s">
        <v>42</v>
      </c>
      <c r="BB45" s="74" t="s">
        <v>42</v>
      </c>
    </row>
    <row r="46" spans="1:54" s="1" customFormat="1" ht="40.049999999999997" customHeight="1" x14ac:dyDescent="0.35">
      <c r="A46" s="62"/>
      <c r="B46" s="63">
        <v>1</v>
      </c>
      <c r="C46" s="64">
        <v>1</v>
      </c>
      <c r="D46" s="62">
        <v>1</v>
      </c>
      <c r="E46" s="62">
        <v>1</v>
      </c>
      <c r="F46" s="65">
        <v>2041</v>
      </c>
      <c r="G46" s="65">
        <v>25</v>
      </c>
      <c r="H46" s="66">
        <v>0.01</v>
      </c>
      <c r="I46" s="66"/>
      <c r="J46" s="67">
        <v>4.6219999999999999</v>
      </c>
      <c r="K46" s="68">
        <v>1800</v>
      </c>
      <c r="L46" s="73">
        <v>1800</v>
      </c>
      <c r="M46" s="61" t="s">
        <v>43</v>
      </c>
      <c r="N46" s="61" t="s">
        <v>108</v>
      </c>
      <c r="O46" s="62">
        <v>2041</v>
      </c>
      <c r="P46" s="65" t="s">
        <v>51</v>
      </c>
      <c r="Q46" s="62" t="s">
        <v>41</v>
      </c>
      <c r="R46" s="70">
        <v>9</v>
      </c>
      <c r="S46" s="71">
        <v>1</v>
      </c>
      <c r="T46" s="73">
        <v>16200</v>
      </c>
      <c r="U46" s="73">
        <v>16200</v>
      </c>
      <c r="V46" s="68">
        <f t="shared" si="0"/>
        <v>30091</v>
      </c>
      <c r="W46" s="72">
        <v>1.1803814337231183E-3</v>
      </c>
      <c r="X46" s="74" t="s">
        <v>42</v>
      </c>
      <c r="Y46" s="74" t="s">
        <v>42</v>
      </c>
      <c r="Z46" s="74" t="s">
        <v>42</v>
      </c>
      <c r="AA46" s="74" t="s">
        <v>42</v>
      </c>
      <c r="AB46" s="74" t="s">
        <v>42</v>
      </c>
      <c r="AC46" s="74" t="s">
        <v>42</v>
      </c>
      <c r="AD46" s="74" t="s">
        <v>42</v>
      </c>
      <c r="AE46" s="74" t="s">
        <v>42</v>
      </c>
      <c r="AF46" s="74" t="s">
        <v>42</v>
      </c>
      <c r="AG46" s="74" t="s">
        <v>42</v>
      </c>
      <c r="AH46" s="74" t="s">
        <v>42</v>
      </c>
      <c r="AI46" s="74" t="s">
        <v>42</v>
      </c>
      <c r="AJ46" s="74" t="s">
        <v>42</v>
      </c>
      <c r="AK46" s="74" t="s">
        <v>42</v>
      </c>
      <c r="AL46" s="74" t="s">
        <v>42</v>
      </c>
      <c r="AM46" s="74" t="s">
        <v>42</v>
      </c>
      <c r="AN46" s="74" t="s">
        <v>42</v>
      </c>
      <c r="AO46" s="74" t="s">
        <v>42</v>
      </c>
      <c r="AP46" s="74">
        <v>30091</v>
      </c>
      <c r="AQ46" s="74" t="s">
        <v>42</v>
      </c>
      <c r="AR46" s="74" t="s">
        <v>42</v>
      </c>
      <c r="AS46" s="74" t="s">
        <v>42</v>
      </c>
      <c r="AT46" s="74" t="s">
        <v>42</v>
      </c>
      <c r="AU46" s="74" t="s">
        <v>42</v>
      </c>
      <c r="AV46" s="74" t="s">
        <v>42</v>
      </c>
      <c r="AW46" s="74" t="s">
        <v>42</v>
      </c>
      <c r="AX46" s="74" t="s">
        <v>42</v>
      </c>
      <c r="AY46" s="74" t="s">
        <v>42</v>
      </c>
      <c r="AZ46" s="74" t="s">
        <v>42</v>
      </c>
      <c r="BA46" s="74" t="s">
        <v>42</v>
      </c>
      <c r="BB46" s="74" t="s">
        <v>42</v>
      </c>
    </row>
    <row r="47" spans="1:54" s="1" customFormat="1" ht="40.049999999999997" customHeight="1" x14ac:dyDescent="0.35">
      <c r="A47" s="62"/>
      <c r="B47" s="63">
        <v>1</v>
      </c>
      <c r="C47" s="64">
        <v>1</v>
      </c>
      <c r="D47" s="62">
        <v>1</v>
      </c>
      <c r="E47" s="62">
        <v>1</v>
      </c>
      <c r="F47" s="65">
        <v>2037</v>
      </c>
      <c r="G47" s="65">
        <v>20</v>
      </c>
      <c r="H47" s="66">
        <v>0.01</v>
      </c>
      <c r="I47" s="66"/>
      <c r="J47" s="67">
        <v>4.6230000000000002</v>
      </c>
      <c r="K47" s="68">
        <v>3850</v>
      </c>
      <c r="L47" s="73">
        <v>3850</v>
      </c>
      <c r="M47" s="61" t="s">
        <v>43</v>
      </c>
      <c r="N47" s="61" t="s">
        <v>109</v>
      </c>
      <c r="O47" s="62">
        <v>2037</v>
      </c>
      <c r="P47" s="65" t="s">
        <v>54</v>
      </c>
      <c r="Q47" s="62" t="s">
        <v>110</v>
      </c>
      <c r="R47" s="70">
        <v>9</v>
      </c>
      <c r="S47" s="71">
        <v>1</v>
      </c>
      <c r="T47" s="73">
        <v>34650</v>
      </c>
      <c r="U47" s="73">
        <v>34650</v>
      </c>
      <c r="V47" s="68">
        <f t="shared" si="0"/>
        <v>56088</v>
      </c>
      <c r="W47" s="72">
        <v>2.2001672877160032E-3</v>
      </c>
      <c r="X47" s="74" t="s">
        <v>42</v>
      </c>
      <c r="Y47" s="74" t="s">
        <v>42</v>
      </c>
      <c r="Z47" s="74" t="s">
        <v>42</v>
      </c>
      <c r="AA47" s="74" t="s">
        <v>42</v>
      </c>
      <c r="AB47" s="74" t="s">
        <v>42</v>
      </c>
      <c r="AC47" s="74" t="s">
        <v>42</v>
      </c>
      <c r="AD47" s="74" t="s">
        <v>42</v>
      </c>
      <c r="AE47" s="74" t="s">
        <v>42</v>
      </c>
      <c r="AF47" s="74" t="s">
        <v>42</v>
      </c>
      <c r="AG47" s="74" t="s">
        <v>42</v>
      </c>
      <c r="AH47" s="74" t="s">
        <v>42</v>
      </c>
      <c r="AI47" s="74" t="s">
        <v>42</v>
      </c>
      <c r="AJ47" s="74" t="s">
        <v>42</v>
      </c>
      <c r="AK47" s="74" t="s">
        <v>42</v>
      </c>
      <c r="AL47" s="74">
        <v>56088</v>
      </c>
      <c r="AM47" s="74" t="s">
        <v>42</v>
      </c>
      <c r="AN47" s="74" t="s">
        <v>42</v>
      </c>
      <c r="AO47" s="74" t="s">
        <v>42</v>
      </c>
      <c r="AP47" s="74" t="s">
        <v>42</v>
      </c>
      <c r="AQ47" s="74" t="s">
        <v>42</v>
      </c>
      <c r="AR47" s="74" t="s">
        <v>42</v>
      </c>
      <c r="AS47" s="74" t="s">
        <v>42</v>
      </c>
      <c r="AT47" s="74" t="s">
        <v>42</v>
      </c>
      <c r="AU47" s="74" t="s">
        <v>42</v>
      </c>
      <c r="AV47" s="74" t="s">
        <v>42</v>
      </c>
      <c r="AW47" s="74" t="s">
        <v>42</v>
      </c>
      <c r="AX47" s="74" t="s">
        <v>42</v>
      </c>
      <c r="AY47" s="74" t="s">
        <v>42</v>
      </c>
      <c r="AZ47" s="74" t="s">
        <v>42</v>
      </c>
      <c r="BA47" s="74" t="s">
        <v>42</v>
      </c>
      <c r="BB47" s="74" t="s">
        <v>42</v>
      </c>
    </row>
    <row r="48" spans="1:54" s="1" customFormat="1" ht="40.049999999999997" customHeight="1" x14ac:dyDescent="0.35">
      <c r="A48" s="62"/>
      <c r="B48" s="63">
        <v>1</v>
      </c>
      <c r="C48" s="64">
        <v>1</v>
      </c>
      <c r="D48" s="62">
        <v>1</v>
      </c>
      <c r="E48" s="62">
        <v>1</v>
      </c>
      <c r="F48" s="65">
        <v>2029</v>
      </c>
      <c r="G48" s="65">
        <v>4</v>
      </c>
      <c r="H48" s="66">
        <v>0.01</v>
      </c>
      <c r="I48" s="66"/>
      <c r="J48" s="67">
        <v>4.6500000000000004</v>
      </c>
      <c r="K48" s="68">
        <v>1</v>
      </c>
      <c r="L48" s="73">
        <v>1</v>
      </c>
      <c r="M48" s="61" t="s">
        <v>72</v>
      </c>
      <c r="N48" s="61" t="s">
        <v>111</v>
      </c>
      <c r="O48" s="62">
        <v>2029</v>
      </c>
      <c r="P48" s="65" t="s">
        <v>112</v>
      </c>
      <c r="Q48" s="62" t="s">
        <v>70</v>
      </c>
      <c r="R48" s="70">
        <v>17000</v>
      </c>
      <c r="S48" s="71">
        <v>1</v>
      </c>
      <c r="T48" s="73">
        <v>17000</v>
      </c>
      <c r="U48" s="73">
        <v>17000</v>
      </c>
      <c r="V48" s="68">
        <f t="shared" si="0"/>
        <v>229504</v>
      </c>
      <c r="W48" s="72">
        <v>9.0027669590638567E-3</v>
      </c>
      <c r="X48" s="74" t="s">
        <v>42</v>
      </c>
      <c r="Y48" s="74" t="s">
        <v>42</v>
      </c>
      <c r="Z48" s="74" t="s">
        <v>42</v>
      </c>
      <c r="AA48" s="74" t="s">
        <v>42</v>
      </c>
      <c r="AB48" s="74" t="s">
        <v>42</v>
      </c>
      <c r="AC48" s="74" t="s">
        <v>42</v>
      </c>
      <c r="AD48" s="74">
        <v>20897</v>
      </c>
      <c r="AE48" s="74" t="s">
        <v>42</v>
      </c>
      <c r="AF48" s="74" t="s">
        <v>42</v>
      </c>
      <c r="AG48" s="74" t="s">
        <v>42</v>
      </c>
      <c r="AH48" s="74">
        <v>23980</v>
      </c>
      <c r="AI48" s="74" t="s">
        <v>42</v>
      </c>
      <c r="AJ48" s="74" t="s">
        <v>42</v>
      </c>
      <c r="AK48" s="74" t="s">
        <v>42</v>
      </c>
      <c r="AL48" s="74">
        <v>27518</v>
      </c>
      <c r="AM48" s="74" t="s">
        <v>42</v>
      </c>
      <c r="AN48" s="74" t="s">
        <v>42</v>
      </c>
      <c r="AO48" s="74" t="s">
        <v>42</v>
      </c>
      <c r="AP48" s="74">
        <v>31577</v>
      </c>
      <c r="AQ48" s="74" t="s">
        <v>42</v>
      </c>
      <c r="AR48" s="74" t="s">
        <v>42</v>
      </c>
      <c r="AS48" s="74" t="s">
        <v>42</v>
      </c>
      <c r="AT48" s="74">
        <v>36236</v>
      </c>
      <c r="AU48" s="74" t="s">
        <v>42</v>
      </c>
      <c r="AV48" s="74" t="s">
        <v>42</v>
      </c>
      <c r="AW48" s="74" t="s">
        <v>42</v>
      </c>
      <c r="AX48" s="74">
        <v>41581</v>
      </c>
      <c r="AY48" s="74" t="s">
        <v>42</v>
      </c>
      <c r="AZ48" s="74" t="s">
        <v>42</v>
      </c>
      <c r="BA48" s="74" t="s">
        <v>42</v>
      </c>
      <c r="BB48" s="74">
        <v>47715</v>
      </c>
    </row>
    <row r="49" spans="1:54" s="1" customFormat="1" ht="40.049999999999997" customHeight="1" x14ac:dyDescent="0.35">
      <c r="A49" s="62"/>
      <c r="B49" s="63">
        <v>1</v>
      </c>
      <c r="C49" s="64">
        <v>1</v>
      </c>
      <c r="D49" s="62">
        <v>1</v>
      </c>
      <c r="E49" s="62">
        <v>1</v>
      </c>
      <c r="F49" s="65">
        <v>2038</v>
      </c>
      <c r="G49" s="65">
        <v>25</v>
      </c>
      <c r="H49" s="66">
        <v>0.01</v>
      </c>
      <c r="I49" s="66"/>
      <c r="J49" s="67">
        <v>4.8</v>
      </c>
      <c r="K49" s="68">
        <v>9</v>
      </c>
      <c r="L49" s="73">
        <v>9</v>
      </c>
      <c r="M49" s="61" t="s">
        <v>38</v>
      </c>
      <c r="N49" s="61" t="s">
        <v>257</v>
      </c>
      <c r="O49" s="62">
        <v>2038</v>
      </c>
      <c r="P49" s="65" t="s">
        <v>51</v>
      </c>
      <c r="Q49" s="62" t="s">
        <v>95</v>
      </c>
      <c r="R49" s="70">
        <v>2500</v>
      </c>
      <c r="S49" s="71">
        <v>1</v>
      </c>
      <c r="T49" s="73">
        <v>22500</v>
      </c>
      <c r="U49" s="73">
        <v>22500</v>
      </c>
      <c r="V49" s="68">
        <f t="shared" si="0"/>
        <v>37695</v>
      </c>
      <c r="W49" s="72">
        <v>1.478663990701304E-3</v>
      </c>
      <c r="X49" s="74" t="s">
        <v>42</v>
      </c>
      <c r="Y49" s="74" t="s">
        <v>42</v>
      </c>
      <c r="Z49" s="74" t="s">
        <v>42</v>
      </c>
      <c r="AA49" s="74" t="s">
        <v>42</v>
      </c>
      <c r="AB49" s="74" t="s">
        <v>42</v>
      </c>
      <c r="AC49" s="74" t="s">
        <v>42</v>
      </c>
      <c r="AD49" s="74" t="s">
        <v>42</v>
      </c>
      <c r="AE49" s="74" t="s">
        <v>42</v>
      </c>
      <c r="AF49" s="74" t="s">
        <v>42</v>
      </c>
      <c r="AG49" s="74" t="s">
        <v>42</v>
      </c>
      <c r="AH49" s="74" t="s">
        <v>42</v>
      </c>
      <c r="AI49" s="74" t="s">
        <v>42</v>
      </c>
      <c r="AJ49" s="74" t="s">
        <v>42</v>
      </c>
      <c r="AK49" s="74" t="s">
        <v>42</v>
      </c>
      <c r="AL49" s="74" t="s">
        <v>42</v>
      </c>
      <c r="AM49" s="74">
        <v>37695</v>
      </c>
      <c r="AN49" s="74" t="s">
        <v>42</v>
      </c>
      <c r="AO49" s="74" t="s">
        <v>42</v>
      </c>
      <c r="AP49" s="74" t="s">
        <v>42</v>
      </c>
      <c r="AQ49" s="74" t="s">
        <v>42</v>
      </c>
      <c r="AR49" s="74" t="s">
        <v>42</v>
      </c>
      <c r="AS49" s="74" t="s">
        <v>42</v>
      </c>
      <c r="AT49" s="74" t="s">
        <v>42</v>
      </c>
      <c r="AU49" s="74" t="s">
        <v>42</v>
      </c>
      <c r="AV49" s="74" t="s">
        <v>42</v>
      </c>
      <c r="AW49" s="74" t="s">
        <v>42</v>
      </c>
      <c r="AX49" s="74" t="s">
        <v>42</v>
      </c>
      <c r="AY49" s="74" t="s">
        <v>42</v>
      </c>
      <c r="AZ49" s="74" t="s">
        <v>42</v>
      </c>
      <c r="BA49" s="74" t="s">
        <v>42</v>
      </c>
      <c r="BB49" s="74" t="s">
        <v>42</v>
      </c>
    </row>
    <row r="50" spans="1:54" s="1" customFormat="1" ht="40.049999999999997" customHeight="1" x14ac:dyDescent="0.35">
      <c r="A50" s="62"/>
      <c r="B50" s="63"/>
      <c r="C50" s="64"/>
      <c r="D50" s="62"/>
      <c r="E50" s="62"/>
      <c r="F50" s="65"/>
      <c r="G50" s="65"/>
      <c r="H50" s="66"/>
      <c r="I50" s="66"/>
      <c r="J50" s="67"/>
      <c r="K50" s="68"/>
      <c r="L50" s="61"/>
      <c r="M50" s="61"/>
      <c r="N50" s="61"/>
      <c r="O50" s="62"/>
      <c r="P50" s="65"/>
      <c r="Q50" s="62"/>
      <c r="R50" s="70"/>
      <c r="S50" s="71"/>
      <c r="T50" s="61"/>
      <c r="U50" s="61"/>
      <c r="V50" s="68">
        <f t="shared" si="0"/>
        <v>0</v>
      </c>
      <c r="W50" s="72"/>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row>
    <row r="51" spans="1:54" s="1" customFormat="1" ht="40.049999999999997" customHeight="1" x14ac:dyDescent="0.35">
      <c r="A51" s="62"/>
      <c r="B51" s="63"/>
      <c r="C51" s="64"/>
      <c r="D51" s="62"/>
      <c r="E51" s="62"/>
      <c r="F51" s="65"/>
      <c r="G51" s="65"/>
      <c r="H51" s="66"/>
      <c r="I51" s="66"/>
      <c r="J51" s="67"/>
      <c r="K51" s="68"/>
      <c r="L51" s="61"/>
      <c r="M51" s="61"/>
      <c r="N51" s="69" t="s">
        <v>114</v>
      </c>
      <c r="O51" s="62"/>
      <c r="P51" s="65"/>
      <c r="Q51" s="62"/>
      <c r="R51" s="70"/>
      <c r="S51" s="71"/>
      <c r="T51" s="61"/>
      <c r="U51" s="61"/>
      <c r="V51" s="68">
        <f t="shared" si="0"/>
        <v>0</v>
      </c>
      <c r="W51" s="72"/>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row>
    <row r="52" spans="1:54" s="1" customFormat="1" ht="40.049999999999997" customHeight="1" x14ac:dyDescent="0.35">
      <c r="A52" s="62"/>
      <c r="B52" s="63">
        <v>1</v>
      </c>
      <c r="C52" s="64">
        <v>1</v>
      </c>
      <c r="D52" s="62">
        <v>1</v>
      </c>
      <c r="E52" s="62">
        <v>1</v>
      </c>
      <c r="F52" s="65">
        <v>2031</v>
      </c>
      <c r="G52" s="65">
        <v>12</v>
      </c>
      <c r="H52" s="66">
        <v>0.01</v>
      </c>
      <c r="I52" s="66"/>
      <c r="J52" s="67">
        <v>5.0999999999999996</v>
      </c>
      <c r="K52" s="68">
        <v>2</v>
      </c>
      <c r="L52" s="73">
        <v>2</v>
      </c>
      <c r="M52" s="61" t="s">
        <v>38</v>
      </c>
      <c r="N52" s="61" t="s">
        <v>115</v>
      </c>
      <c r="O52" s="62">
        <v>2031</v>
      </c>
      <c r="P52" s="65" t="s">
        <v>60</v>
      </c>
      <c r="Q52" s="62" t="s">
        <v>116</v>
      </c>
      <c r="R52" s="70">
        <v>10900</v>
      </c>
      <c r="S52" s="71">
        <v>1</v>
      </c>
      <c r="T52" s="73">
        <v>21800</v>
      </c>
      <c r="U52" s="73">
        <v>21800</v>
      </c>
      <c r="V52" s="68">
        <f t="shared" si="0"/>
        <v>72083</v>
      </c>
      <c r="W52" s="72">
        <v>2.8276040971407907E-3</v>
      </c>
      <c r="X52" s="74" t="s">
        <v>42</v>
      </c>
      <c r="Y52" s="74" t="s">
        <v>42</v>
      </c>
      <c r="Z52" s="74" t="s">
        <v>42</v>
      </c>
      <c r="AA52" s="74" t="s">
        <v>42</v>
      </c>
      <c r="AB52" s="74" t="s">
        <v>42</v>
      </c>
      <c r="AC52" s="74" t="s">
        <v>42</v>
      </c>
      <c r="AD52" s="74" t="s">
        <v>42</v>
      </c>
      <c r="AE52" s="74" t="s">
        <v>42</v>
      </c>
      <c r="AF52" s="74">
        <v>28706</v>
      </c>
      <c r="AG52" s="74" t="s">
        <v>42</v>
      </c>
      <c r="AH52" s="74" t="s">
        <v>42</v>
      </c>
      <c r="AI52" s="74" t="s">
        <v>42</v>
      </c>
      <c r="AJ52" s="74" t="s">
        <v>42</v>
      </c>
      <c r="AK52" s="74" t="s">
        <v>42</v>
      </c>
      <c r="AL52" s="74" t="s">
        <v>42</v>
      </c>
      <c r="AM52" s="74" t="s">
        <v>42</v>
      </c>
      <c r="AN52" s="74" t="s">
        <v>42</v>
      </c>
      <c r="AO52" s="74" t="s">
        <v>42</v>
      </c>
      <c r="AP52" s="74" t="s">
        <v>42</v>
      </c>
      <c r="AQ52" s="74" t="s">
        <v>42</v>
      </c>
      <c r="AR52" s="74">
        <v>43377</v>
      </c>
      <c r="AS52" s="74" t="s">
        <v>42</v>
      </c>
      <c r="AT52" s="74" t="s">
        <v>42</v>
      </c>
      <c r="AU52" s="74" t="s">
        <v>42</v>
      </c>
      <c r="AV52" s="74" t="s">
        <v>42</v>
      </c>
      <c r="AW52" s="74" t="s">
        <v>42</v>
      </c>
      <c r="AX52" s="74" t="s">
        <v>42</v>
      </c>
      <c r="AY52" s="74" t="s">
        <v>42</v>
      </c>
      <c r="AZ52" s="74" t="s">
        <v>42</v>
      </c>
      <c r="BA52" s="74" t="s">
        <v>42</v>
      </c>
      <c r="BB52" s="74" t="s">
        <v>42</v>
      </c>
    </row>
    <row r="53" spans="1:54" s="1" customFormat="1" ht="40.049999999999997" customHeight="1" x14ac:dyDescent="0.35">
      <c r="A53" s="62"/>
      <c r="B53" s="63">
        <v>1</v>
      </c>
      <c r="C53" s="64">
        <v>5</v>
      </c>
      <c r="D53" s="62">
        <v>6</v>
      </c>
      <c r="E53" s="62">
        <v>2</v>
      </c>
      <c r="F53" s="65">
        <v>2026</v>
      </c>
      <c r="G53" s="65">
        <v>10</v>
      </c>
      <c r="H53" s="66">
        <v>0.01</v>
      </c>
      <c r="I53" s="66"/>
      <c r="J53" s="67">
        <v>5.2009999999999996</v>
      </c>
      <c r="K53" s="68">
        <v>2</v>
      </c>
      <c r="L53" s="73">
        <v>1</v>
      </c>
      <c r="M53" s="61" t="s">
        <v>72</v>
      </c>
      <c r="N53" s="61" t="s">
        <v>117</v>
      </c>
      <c r="O53" s="62">
        <v>2026</v>
      </c>
      <c r="P53" s="65" t="s">
        <v>118</v>
      </c>
      <c r="Q53" s="62" t="s">
        <v>119</v>
      </c>
      <c r="R53" s="70">
        <v>10300</v>
      </c>
      <c r="S53" s="71">
        <v>1</v>
      </c>
      <c r="T53" s="73">
        <v>10300</v>
      </c>
      <c r="U53" s="73">
        <v>20600</v>
      </c>
      <c r="V53" s="68">
        <f t="shared" si="0"/>
        <v>109935</v>
      </c>
      <c r="W53" s="72">
        <v>4.3124267361121602E-3</v>
      </c>
      <c r="X53" s="74" t="s">
        <v>42</v>
      </c>
      <c r="Y53" s="74" t="s">
        <v>42</v>
      </c>
      <c r="Z53" s="74" t="s">
        <v>42</v>
      </c>
      <c r="AA53" s="74">
        <v>11420</v>
      </c>
      <c r="AB53" s="74" t="s">
        <v>42</v>
      </c>
      <c r="AC53" s="74" t="s">
        <v>42</v>
      </c>
      <c r="AD53" s="74" t="s">
        <v>42</v>
      </c>
      <c r="AE53" s="74" t="s">
        <v>42</v>
      </c>
      <c r="AF53" s="74">
        <v>13563</v>
      </c>
      <c r="AG53" s="74" t="s">
        <v>42</v>
      </c>
      <c r="AH53" s="74" t="s">
        <v>42</v>
      </c>
      <c r="AI53" s="74" t="s">
        <v>42</v>
      </c>
      <c r="AJ53" s="74" t="s">
        <v>42</v>
      </c>
      <c r="AK53" s="74">
        <v>16109</v>
      </c>
      <c r="AL53" s="74" t="s">
        <v>42</v>
      </c>
      <c r="AM53" s="74" t="s">
        <v>42</v>
      </c>
      <c r="AN53" s="74" t="s">
        <v>42</v>
      </c>
      <c r="AO53" s="74" t="s">
        <v>42</v>
      </c>
      <c r="AP53" s="74">
        <v>19132</v>
      </c>
      <c r="AQ53" s="74" t="s">
        <v>42</v>
      </c>
      <c r="AR53" s="74" t="s">
        <v>42</v>
      </c>
      <c r="AS53" s="74" t="s">
        <v>42</v>
      </c>
      <c r="AT53" s="74" t="s">
        <v>42</v>
      </c>
      <c r="AU53" s="74">
        <v>22723</v>
      </c>
      <c r="AV53" s="74" t="s">
        <v>42</v>
      </c>
      <c r="AW53" s="74" t="s">
        <v>42</v>
      </c>
      <c r="AX53" s="74" t="s">
        <v>42</v>
      </c>
      <c r="AY53" s="74" t="s">
        <v>42</v>
      </c>
      <c r="AZ53" s="74">
        <v>26988</v>
      </c>
      <c r="BA53" s="74" t="s">
        <v>42</v>
      </c>
      <c r="BB53" s="74" t="s">
        <v>42</v>
      </c>
    </row>
    <row r="54" spans="1:54" s="1" customFormat="1" ht="40.049999999999997" customHeight="1" x14ac:dyDescent="0.35">
      <c r="A54" s="62"/>
      <c r="B54" s="63">
        <v>1</v>
      </c>
      <c r="C54" s="64">
        <v>1</v>
      </c>
      <c r="D54" s="62">
        <v>1</v>
      </c>
      <c r="E54" s="62">
        <v>1</v>
      </c>
      <c r="F54" s="65">
        <v>2042</v>
      </c>
      <c r="G54" s="65">
        <v>25</v>
      </c>
      <c r="H54" s="66">
        <v>0.01</v>
      </c>
      <c r="I54" s="66"/>
      <c r="J54" s="67">
        <v>5.24</v>
      </c>
      <c r="K54" s="68">
        <v>240</v>
      </c>
      <c r="L54" s="73">
        <v>240</v>
      </c>
      <c r="M54" s="61" t="s">
        <v>49</v>
      </c>
      <c r="N54" s="61" t="s">
        <v>120</v>
      </c>
      <c r="O54" s="62">
        <v>2042</v>
      </c>
      <c r="P54" s="65" t="s">
        <v>40</v>
      </c>
      <c r="Q54" s="62" t="s">
        <v>121</v>
      </c>
      <c r="R54" s="70">
        <v>100</v>
      </c>
      <c r="S54" s="71">
        <v>1</v>
      </c>
      <c r="T54" s="73">
        <v>24000</v>
      </c>
      <c r="U54" s="73">
        <v>24000</v>
      </c>
      <c r="V54" s="68">
        <f t="shared" si="0"/>
        <v>46140</v>
      </c>
      <c r="W54" s="72">
        <v>1.8099365043363356E-3</v>
      </c>
      <c r="X54" s="74" t="s">
        <v>42</v>
      </c>
      <c r="Y54" s="74" t="s">
        <v>42</v>
      </c>
      <c r="Z54" s="74" t="s">
        <v>42</v>
      </c>
      <c r="AA54" s="74" t="s">
        <v>42</v>
      </c>
      <c r="AB54" s="74" t="s">
        <v>42</v>
      </c>
      <c r="AC54" s="74" t="s">
        <v>42</v>
      </c>
      <c r="AD54" s="74" t="s">
        <v>42</v>
      </c>
      <c r="AE54" s="74" t="s">
        <v>42</v>
      </c>
      <c r="AF54" s="74" t="s">
        <v>42</v>
      </c>
      <c r="AG54" s="74" t="s">
        <v>42</v>
      </c>
      <c r="AH54" s="74" t="s">
        <v>42</v>
      </c>
      <c r="AI54" s="74" t="s">
        <v>42</v>
      </c>
      <c r="AJ54" s="74" t="s">
        <v>42</v>
      </c>
      <c r="AK54" s="74" t="s">
        <v>42</v>
      </c>
      <c r="AL54" s="74" t="s">
        <v>42</v>
      </c>
      <c r="AM54" s="74" t="s">
        <v>42</v>
      </c>
      <c r="AN54" s="74" t="s">
        <v>42</v>
      </c>
      <c r="AO54" s="74" t="s">
        <v>42</v>
      </c>
      <c r="AP54" s="74" t="s">
        <v>42</v>
      </c>
      <c r="AQ54" s="74">
        <v>46140</v>
      </c>
      <c r="AR54" s="74" t="s">
        <v>42</v>
      </c>
      <c r="AS54" s="74" t="s">
        <v>42</v>
      </c>
      <c r="AT54" s="74" t="s">
        <v>42</v>
      </c>
      <c r="AU54" s="74" t="s">
        <v>42</v>
      </c>
      <c r="AV54" s="74" t="s">
        <v>42</v>
      </c>
      <c r="AW54" s="74" t="s">
        <v>42</v>
      </c>
      <c r="AX54" s="74" t="s">
        <v>42</v>
      </c>
      <c r="AY54" s="74" t="s">
        <v>42</v>
      </c>
      <c r="AZ54" s="74" t="s">
        <v>42</v>
      </c>
      <c r="BA54" s="74" t="s">
        <v>42</v>
      </c>
      <c r="BB54" s="74" t="s">
        <v>42</v>
      </c>
    </row>
    <row r="55" spans="1:54" s="1" customFormat="1" ht="40.049999999999997" customHeight="1" x14ac:dyDescent="0.35">
      <c r="A55" s="62"/>
      <c r="B55" s="63">
        <v>1</v>
      </c>
      <c r="C55" s="64">
        <v>9</v>
      </c>
      <c r="D55" s="62">
        <v>10</v>
      </c>
      <c r="E55" s="62">
        <v>2</v>
      </c>
      <c r="F55" s="65">
        <v>2028</v>
      </c>
      <c r="G55" s="65">
        <v>18</v>
      </c>
      <c r="H55" s="66">
        <v>0.01</v>
      </c>
      <c r="I55" s="66"/>
      <c r="J55" s="67">
        <v>5.45</v>
      </c>
      <c r="K55" s="68">
        <v>2</v>
      </c>
      <c r="L55" s="73">
        <v>1</v>
      </c>
      <c r="M55" s="61" t="s">
        <v>72</v>
      </c>
      <c r="N55" s="61" t="s">
        <v>122</v>
      </c>
      <c r="O55" s="62">
        <v>2028</v>
      </c>
      <c r="P55" s="65" t="s">
        <v>57</v>
      </c>
      <c r="Q55" s="62" t="s">
        <v>123</v>
      </c>
      <c r="R55" s="70">
        <v>16000</v>
      </c>
      <c r="S55" s="71">
        <v>1</v>
      </c>
      <c r="T55" s="73">
        <v>16000</v>
      </c>
      <c r="U55" s="73">
        <v>32000</v>
      </c>
      <c r="V55" s="68">
        <f t="shared" si="0"/>
        <v>80200</v>
      </c>
      <c r="W55" s="72">
        <v>3.1460101354090619E-3</v>
      </c>
      <c r="X55" s="74" t="s">
        <v>42</v>
      </c>
      <c r="Y55" s="74" t="s">
        <v>42</v>
      </c>
      <c r="Z55" s="74" t="s">
        <v>42</v>
      </c>
      <c r="AA55" s="74" t="s">
        <v>42</v>
      </c>
      <c r="AB55" s="74" t="s">
        <v>42</v>
      </c>
      <c r="AC55" s="74">
        <v>19003</v>
      </c>
      <c r="AD55" s="74" t="s">
        <v>42</v>
      </c>
      <c r="AE55" s="74" t="s">
        <v>42</v>
      </c>
      <c r="AF55" s="74" t="s">
        <v>42</v>
      </c>
      <c r="AG55" s="74" t="s">
        <v>42</v>
      </c>
      <c r="AH55" s="74" t="s">
        <v>42</v>
      </c>
      <c r="AI55" s="74" t="s">
        <v>42</v>
      </c>
      <c r="AJ55" s="74" t="s">
        <v>42</v>
      </c>
      <c r="AK55" s="74" t="s">
        <v>42</v>
      </c>
      <c r="AL55" s="74">
        <v>25899</v>
      </c>
      <c r="AM55" s="74" t="s">
        <v>42</v>
      </c>
      <c r="AN55" s="74" t="s">
        <v>42</v>
      </c>
      <c r="AO55" s="74" t="s">
        <v>42</v>
      </c>
      <c r="AP55" s="74" t="s">
        <v>42</v>
      </c>
      <c r="AQ55" s="74" t="s">
        <v>42</v>
      </c>
      <c r="AR55" s="74" t="s">
        <v>42</v>
      </c>
      <c r="AS55" s="74" t="s">
        <v>42</v>
      </c>
      <c r="AT55" s="74" t="s">
        <v>42</v>
      </c>
      <c r="AU55" s="74">
        <v>35298</v>
      </c>
      <c r="AV55" s="74" t="s">
        <v>42</v>
      </c>
      <c r="AW55" s="74" t="s">
        <v>42</v>
      </c>
      <c r="AX55" s="74" t="s">
        <v>42</v>
      </c>
      <c r="AY55" s="74" t="s">
        <v>42</v>
      </c>
      <c r="AZ55" s="74" t="s">
        <v>42</v>
      </c>
      <c r="BA55" s="74" t="s">
        <v>42</v>
      </c>
      <c r="BB55" s="74" t="s">
        <v>42</v>
      </c>
    </row>
    <row r="56" spans="1:54" s="1" customFormat="1" ht="40.049999999999997" customHeight="1" x14ac:dyDescent="0.35">
      <c r="A56" s="62"/>
      <c r="B56" s="63">
        <v>1</v>
      </c>
      <c r="C56" s="64">
        <v>1</v>
      </c>
      <c r="D56" s="62">
        <v>1</v>
      </c>
      <c r="E56" s="62">
        <v>1</v>
      </c>
      <c r="F56" s="65">
        <v>2030</v>
      </c>
      <c r="G56" s="65">
        <v>23</v>
      </c>
      <c r="H56" s="66">
        <v>0.01</v>
      </c>
      <c r="I56" s="66"/>
      <c r="J56" s="67">
        <v>5.52</v>
      </c>
      <c r="K56" s="68">
        <v>1</v>
      </c>
      <c r="L56" s="73">
        <v>1</v>
      </c>
      <c r="M56" s="61" t="s">
        <v>72</v>
      </c>
      <c r="N56" s="61" t="s">
        <v>124</v>
      </c>
      <c r="O56" s="62">
        <v>2030</v>
      </c>
      <c r="P56" s="65" t="s">
        <v>51</v>
      </c>
      <c r="Q56" s="62" t="s">
        <v>74</v>
      </c>
      <c r="R56" s="70">
        <v>21000</v>
      </c>
      <c r="S56" s="71">
        <v>1</v>
      </c>
      <c r="T56" s="73">
        <v>21000</v>
      </c>
      <c r="U56" s="73">
        <v>21000</v>
      </c>
      <c r="V56" s="68">
        <f t="shared" si="0"/>
        <v>85661</v>
      </c>
      <c r="W56" s="72">
        <v>3.3602291048538111E-3</v>
      </c>
      <c r="X56" s="74" t="s">
        <v>42</v>
      </c>
      <c r="Y56" s="74" t="s">
        <v>42</v>
      </c>
      <c r="Z56" s="74" t="s">
        <v>42</v>
      </c>
      <c r="AA56" s="74" t="s">
        <v>42</v>
      </c>
      <c r="AB56" s="74" t="s">
        <v>42</v>
      </c>
      <c r="AC56" s="74" t="s">
        <v>42</v>
      </c>
      <c r="AD56" s="74" t="s">
        <v>42</v>
      </c>
      <c r="AE56" s="74">
        <v>26718</v>
      </c>
      <c r="AF56" s="74" t="s">
        <v>42</v>
      </c>
      <c r="AG56" s="74" t="s">
        <v>42</v>
      </c>
      <c r="AH56" s="74" t="s">
        <v>42</v>
      </c>
      <c r="AI56" s="74" t="s">
        <v>42</v>
      </c>
      <c r="AJ56" s="74" t="s">
        <v>42</v>
      </c>
      <c r="AK56" s="74" t="s">
        <v>42</v>
      </c>
      <c r="AL56" s="74" t="s">
        <v>42</v>
      </c>
      <c r="AM56" s="74" t="s">
        <v>42</v>
      </c>
      <c r="AN56" s="74" t="s">
        <v>42</v>
      </c>
      <c r="AO56" s="74" t="s">
        <v>42</v>
      </c>
      <c r="AP56" s="74" t="s">
        <v>42</v>
      </c>
      <c r="AQ56" s="74" t="s">
        <v>42</v>
      </c>
      <c r="AR56" s="74" t="s">
        <v>42</v>
      </c>
      <c r="AS56" s="74" t="s">
        <v>42</v>
      </c>
      <c r="AT56" s="74" t="s">
        <v>42</v>
      </c>
      <c r="AU56" s="74" t="s">
        <v>42</v>
      </c>
      <c r="AV56" s="74" t="s">
        <v>42</v>
      </c>
      <c r="AW56" s="74" t="s">
        <v>42</v>
      </c>
      <c r="AX56" s="74" t="s">
        <v>42</v>
      </c>
      <c r="AY56" s="74" t="s">
        <v>42</v>
      </c>
      <c r="AZ56" s="74" t="s">
        <v>42</v>
      </c>
      <c r="BA56" s="74" t="s">
        <v>42</v>
      </c>
      <c r="BB56" s="74">
        <v>58943</v>
      </c>
    </row>
    <row r="57" spans="1:54" s="1" customFormat="1" ht="40.049999999999997" customHeight="1" x14ac:dyDescent="0.35">
      <c r="A57" s="62"/>
      <c r="B57" s="63">
        <v>1</v>
      </c>
      <c r="C57" s="64">
        <v>1</v>
      </c>
      <c r="D57" s="62">
        <v>1</v>
      </c>
      <c r="E57" s="62">
        <v>1</v>
      </c>
      <c r="F57" s="65">
        <v>2028</v>
      </c>
      <c r="G57" s="65">
        <v>23</v>
      </c>
      <c r="H57" s="66">
        <v>0.01</v>
      </c>
      <c r="I57" s="66"/>
      <c r="J57" s="67">
        <v>5.601</v>
      </c>
      <c r="K57" s="68">
        <v>2</v>
      </c>
      <c r="L57" s="73">
        <v>2</v>
      </c>
      <c r="M57" s="61" t="s">
        <v>38</v>
      </c>
      <c r="N57" s="61" t="s">
        <v>258</v>
      </c>
      <c r="O57" s="62">
        <v>2028</v>
      </c>
      <c r="P57" s="65" t="s">
        <v>51</v>
      </c>
      <c r="Q57" s="62" t="s">
        <v>46</v>
      </c>
      <c r="R57" s="70">
        <v>9800</v>
      </c>
      <c r="S57" s="71">
        <v>1</v>
      </c>
      <c r="T57" s="73">
        <v>19600</v>
      </c>
      <c r="U57" s="73">
        <v>19600</v>
      </c>
      <c r="V57" s="68">
        <f t="shared" si="0"/>
        <v>89634</v>
      </c>
      <c r="W57" s="72">
        <v>2.9276723247645877E-3</v>
      </c>
      <c r="X57" s="74" t="s">
        <v>42</v>
      </c>
      <c r="Y57" s="74" t="s">
        <v>42</v>
      </c>
      <c r="Z57" s="74" t="s">
        <v>42</v>
      </c>
      <c r="AA57" s="189">
        <v>15000</v>
      </c>
      <c r="AB57" s="74" t="s">
        <v>42</v>
      </c>
      <c r="AC57" s="74">
        <v>23279</v>
      </c>
      <c r="AD57" s="74" t="s">
        <v>42</v>
      </c>
      <c r="AE57" s="74" t="s">
        <v>42</v>
      </c>
      <c r="AF57" s="74" t="s">
        <v>42</v>
      </c>
      <c r="AG57" s="74" t="s">
        <v>42</v>
      </c>
      <c r="AH57" s="74" t="s">
        <v>42</v>
      </c>
      <c r="AI57" s="74" t="s">
        <v>42</v>
      </c>
      <c r="AJ57" s="74" t="s">
        <v>42</v>
      </c>
      <c r="AK57" s="74" t="s">
        <v>42</v>
      </c>
      <c r="AL57" s="74" t="s">
        <v>42</v>
      </c>
      <c r="AM57" s="74" t="s">
        <v>42</v>
      </c>
      <c r="AN57" s="74" t="s">
        <v>42</v>
      </c>
      <c r="AO57" s="74" t="s">
        <v>42</v>
      </c>
      <c r="AP57" s="74" t="s">
        <v>42</v>
      </c>
      <c r="AQ57" s="74" t="s">
        <v>42</v>
      </c>
      <c r="AR57" s="74" t="s">
        <v>42</v>
      </c>
      <c r="AS57" s="74" t="s">
        <v>42</v>
      </c>
      <c r="AT57" s="74" t="s">
        <v>42</v>
      </c>
      <c r="AU57" s="74" t="s">
        <v>42</v>
      </c>
      <c r="AV57" s="74" t="s">
        <v>42</v>
      </c>
      <c r="AW57" s="74" t="s">
        <v>42</v>
      </c>
      <c r="AX57" s="74" t="s">
        <v>42</v>
      </c>
      <c r="AY57" s="74" t="s">
        <v>42</v>
      </c>
      <c r="AZ57" s="74">
        <v>51355</v>
      </c>
      <c r="BA57" s="74" t="s">
        <v>42</v>
      </c>
      <c r="BB57" s="74" t="s">
        <v>42</v>
      </c>
    </row>
    <row r="58" spans="1:54" s="1" customFormat="1" ht="40.049999999999997" customHeight="1" x14ac:dyDescent="0.35">
      <c r="A58" s="62"/>
      <c r="B58" s="63">
        <v>1</v>
      </c>
      <c r="C58" s="64">
        <v>1</v>
      </c>
      <c r="D58" s="62">
        <v>1</v>
      </c>
      <c r="E58" s="62">
        <v>1</v>
      </c>
      <c r="F58" s="65">
        <v>2039</v>
      </c>
      <c r="G58" s="65">
        <v>20</v>
      </c>
      <c r="H58" s="66">
        <v>0.01</v>
      </c>
      <c r="I58" s="66"/>
      <c r="J58" s="67">
        <v>5.7</v>
      </c>
      <c r="K58" s="68">
        <v>50</v>
      </c>
      <c r="L58" s="73">
        <v>50</v>
      </c>
      <c r="M58" s="61" t="s">
        <v>58</v>
      </c>
      <c r="N58" s="61" t="s">
        <v>259</v>
      </c>
      <c r="O58" s="62">
        <v>2039</v>
      </c>
      <c r="P58" s="65" t="s">
        <v>51</v>
      </c>
      <c r="Q58" s="62" t="s">
        <v>127</v>
      </c>
      <c r="R58" s="70">
        <v>2200</v>
      </c>
      <c r="S58" s="71">
        <v>1</v>
      </c>
      <c r="T58" s="73">
        <v>110000</v>
      </c>
      <c r="U58" s="73">
        <v>110000</v>
      </c>
      <c r="V58" s="68">
        <f t="shared" si="0"/>
        <v>190738</v>
      </c>
      <c r="W58" s="72">
        <v>7.4820907881253569E-3</v>
      </c>
      <c r="X58" s="74" t="s">
        <v>42</v>
      </c>
      <c r="Y58" s="74" t="s">
        <v>42</v>
      </c>
      <c r="Z58" s="74" t="s">
        <v>42</v>
      </c>
      <c r="AA58" s="74" t="s">
        <v>42</v>
      </c>
      <c r="AB58" s="74" t="s">
        <v>42</v>
      </c>
      <c r="AC58" s="74" t="s">
        <v>42</v>
      </c>
      <c r="AD58" s="74" t="s">
        <v>42</v>
      </c>
      <c r="AE58" s="74" t="s">
        <v>42</v>
      </c>
      <c r="AF58" s="74" t="s">
        <v>42</v>
      </c>
      <c r="AG58" s="74" t="s">
        <v>42</v>
      </c>
      <c r="AH58" s="74" t="s">
        <v>42</v>
      </c>
      <c r="AI58" s="74" t="s">
        <v>42</v>
      </c>
      <c r="AJ58" s="74" t="s">
        <v>42</v>
      </c>
      <c r="AK58" s="74" t="s">
        <v>42</v>
      </c>
      <c r="AL58" s="74" t="s">
        <v>42</v>
      </c>
      <c r="AM58" s="74" t="s">
        <v>42</v>
      </c>
      <c r="AN58" s="74">
        <v>190738</v>
      </c>
      <c r="AO58" s="74" t="s">
        <v>42</v>
      </c>
      <c r="AP58" s="74" t="s">
        <v>42</v>
      </c>
      <c r="AQ58" s="74" t="s">
        <v>42</v>
      </c>
      <c r="AR58" s="74" t="s">
        <v>42</v>
      </c>
      <c r="AS58" s="74" t="s">
        <v>42</v>
      </c>
      <c r="AT58" s="74" t="s">
        <v>42</v>
      </c>
      <c r="AU58" s="74" t="s">
        <v>42</v>
      </c>
      <c r="AV58" s="74" t="s">
        <v>42</v>
      </c>
      <c r="AW58" s="74" t="s">
        <v>42</v>
      </c>
      <c r="AX58" s="74" t="s">
        <v>42</v>
      </c>
      <c r="AY58" s="74" t="s">
        <v>42</v>
      </c>
      <c r="AZ58" s="74" t="s">
        <v>42</v>
      </c>
      <c r="BA58" s="74" t="s">
        <v>42</v>
      </c>
      <c r="BB58" s="74" t="s">
        <v>42</v>
      </c>
    </row>
    <row r="59" spans="1:54" s="1" customFormat="1" ht="40.049999999999997" customHeight="1" x14ac:dyDescent="0.35">
      <c r="A59" s="62"/>
      <c r="B59" s="63">
        <v>1</v>
      </c>
      <c r="C59" s="64">
        <v>1</v>
      </c>
      <c r="D59" s="62">
        <v>1</v>
      </c>
      <c r="E59" s="62">
        <v>1</v>
      </c>
      <c r="F59" s="65">
        <v>2029</v>
      </c>
      <c r="G59" s="65">
        <v>35</v>
      </c>
      <c r="H59" s="66">
        <v>0.01</v>
      </c>
      <c r="I59" s="66"/>
      <c r="J59" s="67">
        <v>5.8</v>
      </c>
      <c r="K59" s="68">
        <v>870</v>
      </c>
      <c r="L59" s="73">
        <v>870</v>
      </c>
      <c r="M59" s="61" t="s">
        <v>43</v>
      </c>
      <c r="N59" s="61" t="s">
        <v>211</v>
      </c>
      <c r="O59" s="62">
        <v>2029</v>
      </c>
      <c r="P59" s="65" t="s">
        <v>69</v>
      </c>
      <c r="Q59" s="62" t="s">
        <v>70</v>
      </c>
      <c r="R59" s="70">
        <v>100</v>
      </c>
      <c r="S59" s="71">
        <v>1</v>
      </c>
      <c r="T59" s="73">
        <v>87000</v>
      </c>
      <c r="U59" s="73">
        <v>87000</v>
      </c>
      <c r="V59" s="68">
        <v>106945</v>
      </c>
      <c r="W59" s="72">
        <v>4.195137829567608E-3</v>
      </c>
      <c r="X59" s="64" t="s">
        <v>42</v>
      </c>
      <c r="Y59" s="64" t="s">
        <v>42</v>
      </c>
      <c r="Z59" s="64" t="s">
        <v>42</v>
      </c>
      <c r="AA59" s="64" t="s">
        <v>42</v>
      </c>
      <c r="AB59" s="64" t="s">
        <v>42</v>
      </c>
      <c r="AC59" s="64" t="s">
        <v>42</v>
      </c>
      <c r="AD59" s="64">
        <v>106945</v>
      </c>
      <c r="AE59" s="64" t="s">
        <v>42</v>
      </c>
      <c r="AF59" s="64" t="s">
        <v>42</v>
      </c>
      <c r="AG59" s="64" t="s">
        <v>42</v>
      </c>
      <c r="AH59" s="64" t="s">
        <v>42</v>
      </c>
      <c r="AI59" s="64" t="s">
        <v>42</v>
      </c>
      <c r="AJ59" s="64" t="s">
        <v>42</v>
      </c>
      <c r="AK59" s="64" t="s">
        <v>42</v>
      </c>
      <c r="AL59" s="64" t="s">
        <v>42</v>
      </c>
      <c r="AM59" s="64" t="s">
        <v>42</v>
      </c>
      <c r="AN59" s="64" t="s">
        <v>42</v>
      </c>
      <c r="AO59" s="64" t="s">
        <v>42</v>
      </c>
      <c r="AP59" s="64" t="s">
        <v>42</v>
      </c>
      <c r="AQ59" s="64" t="s">
        <v>42</v>
      </c>
      <c r="AR59" s="64" t="s">
        <v>42</v>
      </c>
      <c r="AS59" s="64" t="s">
        <v>42</v>
      </c>
      <c r="AT59" s="64" t="s">
        <v>42</v>
      </c>
      <c r="AU59" s="64" t="s">
        <v>42</v>
      </c>
      <c r="AV59" s="64" t="s">
        <v>42</v>
      </c>
      <c r="AW59" s="64" t="s">
        <v>42</v>
      </c>
      <c r="AX59" s="64" t="s">
        <v>42</v>
      </c>
      <c r="AY59" s="64" t="s">
        <v>42</v>
      </c>
      <c r="AZ59" s="64" t="s">
        <v>42</v>
      </c>
      <c r="BA59" s="64" t="s">
        <v>42</v>
      </c>
      <c r="BB59" s="64" t="s">
        <v>42</v>
      </c>
    </row>
    <row r="60" spans="1:54" s="1" customFormat="1" ht="40.049999999999997" customHeight="1" x14ac:dyDescent="0.35">
      <c r="A60" s="62"/>
      <c r="B60" s="63"/>
      <c r="C60" s="64"/>
      <c r="D60" s="62"/>
      <c r="E60" s="62"/>
      <c r="F60" s="65"/>
      <c r="G60" s="65"/>
      <c r="H60" s="66"/>
      <c r="I60" s="66"/>
      <c r="J60" s="67"/>
      <c r="K60" s="68"/>
      <c r="L60" s="61"/>
      <c r="M60" s="61"/>
      <c r="N60" s="69" t="s">
        <v>128</v>
      </c>
      <c r="O60" s="62"/>
      <c r="P60" s="65"/>
      <c r="Q60" s="62"/>
      <c r="R60" s="70"/>
      <c r="S60" s="71"/>
      <c r="T60" s="61"/>
      <c r="U60" s="61"/>
      <c r="V60" s="68">
        <f t="shared" si="0"/>
        <v>0</v>
      </c>
      <c r="W60" s="72"/>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row>
    <row r="61" spans="1:54" s="1" customFormat="1" ht="40.049999999999997" customHeight="1" x14ac:dyDescent="0.35">
      <c r="A61" s="62"/>
      <c r="B61" s="63">
        <v>1</v>
      </c>
      <c r="C61" s="64">
        <v>1</v>
      </c>
      <c r="D61" s="62">
        <v>1</v>
      </c>
      <c r="E61" s="62">
        <v>1</v>
      </c>
      <c r="F61" s="65">
        <v>2033</v>
      </c>
      <c r="G61" s="65">
        <v>25</v>
      </c>
      <c r="H61" s="66">
        <v>0.01</v>
      </c>
      <c r="I61" s="66"/>
      <c r="J61" s="67">
        <v>6.2</v>
      </c>
      <c r="K61" s="68">
        <v>4000</v>
      </c>
      <c r="L61" s="73">
        <v>4000</v>
      </c>
      <c r="M61" s="61" t="s">
        <v>43</v>
      </c>
      <c r="N61" s="61" t="s">
        <v>129</v>
      </c>
      <c r="O61" s="62">
        <v>2033</v>
      </c>
      <c r="P61" s="65" t="s">
        <v>51</v>
      </c>
      <c r="Q61" s="62" t="s">
        <v>130</v>
      </c>
      <c r="R61" s="70">
        <v>9</v>
      </c>
      <c r="S61" s="71">
        <v>1</v>
      </c>
      <c r="T61" s="73">
        <v>36000</v>
      </c>
      <c r="U61" s="73">
        <v>36000</v>
      </c>
      <c r="V61" s="68">
        <f t="shared" si="0"/>
        <v>50782</v>
      </c>
      <c r="W61" s="72">
        <v>1.9920285124232291E-3</v>
      </c>
      <c r="X61" s="74" t="s">
        <v>42</v>
      </c>
      <c r="Y61" s="74" t="s">
        <v>42</v>
      </c>
      <c r="Z61" s="74" t="s">
        <v>42</v>
      </c>
      <c r="AA61" s="74" t="s">
        <v>42</v>
      </c>
      <c r="AB61" s="74" t="s">
        <v>42</v>
      </c>
      <c r="AC61" s="74" t="s">
        <v>42</v>
      </c>
      <c r="AD61" s="74" t="s">
        <v>42</v>
      </c>
      <c r="AE61" s="74" t="s">
        <v>42</v>
      </c>
      <c r="AF61" s="74" t="s">
        <v>42</v>
      </c>
      <c r="AG61" s="74" t="s">
        <v>42</v>
      </c>
      <c r="AH61" s="74">
        <v>50782</v>
      </c>
      <c r="AI61" s="74" t="s">
        <v>42</v>
      </c>
      <c r="AJ61" s="74" t="s">
        <v>42</v>
      </c>
      <c r="AK61" s="74" t="s">
        <v>42</v>
      </c>
      <c r="AL61" s="74" t="s">
        <v>42</v>
      </c>
      <c r="AM61" s="74" t="s">
        <v>42</v>
      </c>
      <c r="AN61" s="74" t="s">
        <v>42</v>
      </c>
      <c r="AO61" s="74" t="s">
        <v>42</v>
      </c>
      <c r="AP61" s="74" t="s">
        <v>42</v>
      </c>
      <c r="AQ61" s="74" t="s">
        <v>42</v>
      </c>
      <c r="AR61" s="74" t="s">
        <v>42</v>
      </c>
      <c r="AS61" s="74" t="s">
        <v>42</v>
      </c>
      <c r="AT61" s="74" t="s">
        <v>42</v>
      </c>
      <c r="AU61" s="74" t="s">
        <v>42</v>
      </c>
      <c r="AV61" s="74" t="s">
        <v>42</v>
      </c>
      <c r="AW61" s="74" t="s">
        <v>42</v>
      </c>
      <c r="AX61" s="74" t="s">
        <v>42</v>
      </c>
      <c r="AY61" s="74" t="s">
        <v>42</v>
      </c>
      <c r="AZ61" s="74" t="s">
        <v>42</v>
      </c>
      <c r="BA61" s="74" t="s">
        <v>42</v>
      </c>
      <c r="BB61" s="74" t="s">
        <v>42</v>
      </c>
    </row>
    <row r="62" spans="1:54" s="1" customFormat="1" ht="40.049999999999997" customHeight="1" x14ac:dyDescent="0.35">
      <c r="A62" s="62"/>
      <c r="B62" s="63">
        <v>1</v>
      </c>
      <c r="C62" s="64">
        <v>1</v>
      </c>
      <c r="D62" s="62">
        <v>1</v>
      </c>
      <c r="E62" s="62">
        <v>1</v>
      </c>
      <c r="F62" s="65">
        <v>2044</v>
      </c>
      <c r="G62" s="65">
        <v>25</v>
      </c>
      <c r="H62" s="66">
        <v>0.01</v>
      </c>
      <c r="I62" s="66"/>
      <c r="J62" s="67">
        <v>6.4</v>
      </c>
      <c r="K62" s="68">
        <v>220</v>
      </c>
      <c r="L62" s="73">
        <v>220</v>
      </c>
      <c r="M62" s="61" t="s">
        <v>47</v>
      </c>
      <c r="N62" s="61" t="s">
        <v>131</v>
      </c>
      <c r="O62" s="62">
        <v>2044</v>
      </c>
      <c r="P62" s="65" t="s">
        <v>51</v>
      </c>
      <c r="Q62" s="62" t="s">
        <v>132</v>
      </c>
      <c r="R62" s="70">
        <v>50</v>
      </c>
      <c r="S62" s="71">
        <v>1</v>
      </c>
      <c r="T62" s="73">
        <v>11000</v>
      </c>
      <c r="U62" s="73">
        <v>11000</v>
      </c>
      <c r="V62" s="68">
        <f t="shared" si="0"/>
        <v>22654</v>
      </c>
      <c r="W62" s="72">
        <v>8.8864979560544744E-4</v>
      </c>
      <c r="X62" s="74" t="s">
        <v>42</v>
      </c>
      <c r="Y62" s="74" t="s">
        <v>42</v>
      </c>
      <c r="Z62" s="74" t="s">
        <v>42</v>
      </c>
      <c r="AA62" s="74" t="s">
        <v>42</v>
      </c>
      <c r="AB62" s="74" t="s">
        <v>42</v>
      </c>
      <c r="AC62" s="74" t="s">
        <v>42</v>
      </c>
      <c r="AD62" s="74" t="s">
        <v>42</v>
      </c>
      <c r="AE62" s="74" t="s">
        <v>42</v>
      </c>
      <c r="AF62" s="74" t="s">
        <v>42</v>
      </c>
      <c r="AG62" s="74" t="s">
        <v>42</v>
      </c>
      <c r="AH62" s="74" t="s">
        <v>42</v>
      </c>
      <c r="AI62" s="74" t="s">
        <v>42</v>
      </c>
      <c r="AJ62" s="74" t="s">
        <v>42</v>
      </c>
      <c r="AK62" s="74" t="s">
        <v>42</v>
      </c>
      <c r="AL62" s="74" t="s">
        <v>42</v>
      </c>
      <c r="AM62" s="74" t="s">
        <v>42</v>
      </c>
      <c r="AN62" s="74" t="s">
        <v>42</v>
      </c>
      <c r="AO62" s="74" t="s">
        <v>42</v>
      </c>
      <c r="AP62" s="74" t="s">
        <v>42</v>
      </c>
      <c r="AQ62" s="74" t="s">
        <v>42</v>
      </c>
      <c r="AR62" s="74" t="s">
        <v>42</v>
      </c>
      <c r="AS62" s="74">
        <v>22654</v>
      </c>
      <c r="AT62" s="74" t="s">
        <v>42</v>
      </c>
      <c r="AU62" s="74" t="s">
        <v>42</v>
      </c>
      <c r="AV62" s="74" t="s">
        <v>42</v>
      </c>
      <c r="AW62" s="74" t="s">
        <v>42</v>
      </c>
      <c r="AX62" s="74" t="s">
        <v>42</v>
      </c>
      <c r="AY62" s="74" t="s">
        <v>42</v>
      </c>
      <c r="AZ62" s="74" t="s">
        <v>42</v>
      </c>
      <c r="BA62" s="74" t="s">
        <v>42</v>
      </c>
      <c r="BB62" s="74" t="s">
        <v>42</v>
      </c>
    </row>
    <row r="63" spans="1:54" s="1" customFormat="1" ht="40.049999999999997" customHeight="1" x14ac:dyDescent="0.35">
      <c r="A63" s="62"/>
      <c r="B63" s="63">
        <v>1</v>
      </c>
      <c r="C63" s="64">
        <v>5</v>
      </c>
      <c r="D63" s="62">
        <v>6</v>
      </c>
      <c r="E63" s="62">
        <v>2</v>
      </c>
      <c r="F63" s="65">
        <v>2026</v>
      </c>
      <c r="G63" s="65">
        <v>10</v>
      </c>
      <c r="H63" s="66">
        <v>0.01</v>
      </c>
      <c r="I63" s="66"/>
      <c r="J63" s="67">
        <v>6.6</v>
      </c>
      <c r="K63" s="68">
        <v>2</v>
      </c>
      <c r="L63" s="73">
        <v>1</v>
      </c>
      <c r="M63" s="61" t="s">
        <v>72</v>
      </c>
      <c r="N63" s="61" t="s">
        <v>260</v>
      </c>
      <c r="O63" s="62">
        <v>2026</v>
      </c>
      <c r="P63" s="65" t="s">
        <v>103</v>
      </c>
      <c r="Q63" s="62" t="s">
        <v>119</v>
      </c>
      <c r="R63" s="70">
        <v>10000</v>
      </c>
      <c r="S63" s="71">
        <v>1</v>
      </c>
      <c r="T63" s="73">
        <v>10000</v>
      </c>
      <c r="U63" s="73">
        <v>20000</v>
      </c>
      <c r="V63" s="68">
        <f t="shared" si="0"/>
        <v>106733</v>
      </c>
      <c r="W63" s="72">
        <v>4.1868216930500673E-3</v>
      </c>
      <c r="X63" s="74" t="s">
        <v>42</v>
      </c>
      <c r="Y63" s="74" t="s">
        <v>42</v>
      </c>
      <c r="Z63" s="74" t="s">
        <v>42</v>
      </c>
      <c r="AA63" s="74">
        <v>11087</v>
      </c>
      <c r="AB63" s="74" t="s">
        <v>42</v>
      </c>
      <c r="AC63" s="74" t="s">
        <v>42</v>
      </c>
      <c r="AD63" s="74" t="s">
        <v>42</v>
      </c>
      <c r="AE63" s="74" t="s">
        <v>42</v>
      </c>
      <c r="AF63" s="74">
        <v>13168</v>
      </c>
      <c r="AG63" s="74" t="s">
        <v>42</v>
      </c>
      <c r="AH63" s="74" t="s">
        <v>42</v>
      </c>
      <c r="AI63" s="74" t="s">
        <v>42</v>
      </c>
      <c r="AJ63" s="74" t="s">
        <v>42</v>
      </c>
      <c r="AK63" s="74">
        <v>15640</v>
      </c>
      <c r="AL63" s="74" t="s">
        <v>42</v>
      </c>
      <c r="AM63" s="74" t="s">
        <v>42</v>
      </c>
      <c r="AN63" s="74" t="s">
        <v>42</v>
      </c>
      <c r="AO63" s="74" t="s">
        <v>42</v>
      </c>
      <c r="AP63" s="74">
        <v>18575</v>
      </c>
      <c r="AQ63" s="74" t="s">
        <v>42</v>
      </c>
      <c r="AR63" s="74" t="s">
        <v>42</v>
      </c>
      <c r="AS63" s="74" t="s">
        <v>42</v>
      </c>
      <c r="AT63" s="74" t="s">
        <v>42</v>
      </c>
      <c r="AU63" s="74">
        <v>22061</v>
      </c>
      <c r="AV63" s="74" t="s">
        <v>42</v>
      </c>
      <c r="AW63" s="74" t="s">
        <v>42</v>
      </c>
      <c r="AX63" s="74" t="s">
        <v>42</v>
      </c>
      <c r="AY63" s="74" t="s">
        <v>42</v>
      </c>
      <c r="AZ63" s="74">
        <v>26202</v>
      </c>
      <c r="BA63" s="74" t="s">
        <v>42</v>
      </c>
      <c r="BB63" s="74" t="s">
        <v>42</v>
      </c>
    </row>
    <row r="64" spans="1:54" s="1" customFormat="1" ht="40.049999999999997" customHeight="1" x14ac:dyDescent="0.35">
      <c r="A64" s="62"/>
      <c r="B64" s="63">
        <v>1</v>
      </c>
      <c r="C64" s="64">
        <v>1</v>
      </c>
      <c r="D64" s="62">
        <v>1</v>
      </c>
      <c r="E64" s="62">
        <v>1</v>
      </c>
      <c r="F64" s="65">
        <v>2033</v>
      </c>
      <c r="G64" s="65">
        <v>10</v>
      </c>
      <c r="H64" s="66">
        <v>0.01</v>
      </c>
      <c r="I64" s="66"/>
      <c r="J64" s="67">
        <v>6.8</v>
      </c>
      <c r="K64" s="68">
        <v>1500</v>
      </c>
      <c r="L64" s="73">
        <v>1500</v>
      </c>
      <c r="M64" s="61" t="s">
        <v>43</v>
      </c>
      <c r="N64" s="61" t="s">
        <v>134</v>
      </c>
      <c r="O64" s="62">
        <v>2043</v>
      </c>
      <c r="P64" s="65" t="s">
        <v>135</v>
      </c>
      <c r="Q64" s="62" t="s">
        <v>88</v>
      </c>
      <c r="R64" s="70">
        <v>15</v>
      </c>
      <c r="S64" s="71">
        <v>1</v>
      </c>
      <c r="T64" s="73">
        <v>22500</v>
      </c>
      <c r="U64" s="73">
        <v>22500</v>
      </c>
      <c r="V64" s="68">
        <f t="shared" si="0"/>
        <v>107923</v>
      </c>
      <c r="W64" s="72">
        <v>4.2335018933136181E-3</v>
      </c>
      <c r="X64" s="74" t="s">
        <v>42</v>
      </c>
      <c r="Y64" s="74" t="s">
        <v>42</v>
      </c>
      <c r="Z64" s="74" t="s">
        <v>42</v>
      </c>
      <c r="AA64" s="74" t="s">
        <v>42</v>
      </c>
      <c r="AB64" s="74" t="s">
        <v>42</v>
      </c>
      <c r="AC64" s="74" t="s">
        <v>42</v>
      </c>
      <c r="AD64" s="74" t="s">
        <v>42</v>
      </c>
      <c r="AE64" s="74" t="s">
        <v>42</v>
      </c>
      <c r="AF64" s="74" t="s">
        <v>42</v>
      </c>
      <c r="AG64" s="74" t="s">
        <v>42</v>
      </c>
      <c r="AH64" s="74" t="s">
        <v>42</v>
      </c>
      <c r="AI64" s="74" t="s">
        <v>42</v>
      </c>
      <c r="AJ64" s="74" t="s">
        <v>42</v>
      </c>
      <c r="AK64" s="74" t="s">
        <v>42</v>
      </c>
      <c r="AL64" s="74" t="s">
        <v>42</v>
      </c>
      <c r="AM64" s="74" t="s">
        <v>42</v>
      </c>
      <c r="AN64" s="74" t="s">
        <v>42</v>
      </c>
      <c r="AO64" s="74" t="s">
        <v>42</v>
      </c>
      <c r="AP64" s="74" t="s">
        <v>42</v>
      </c>
      <c r="AQ64" s="74" t="s">
        <v>42</v>
      </c>
      <c r="AR64" s="74">
        <v>44770</v>
      </c>
      <c r="AS64" s="74" t="s">
        <v>42</v>
      </c>
      <c r="AT64" s="74" t="s">
        <v>42</v>
      </c>
      <c r="AU64" s="74" t="s">
        <v>42</v>
      </c>
      <c r="AV64" s="74" t="s">
        <v>42</v>
      </c>
      <c r="AW64" s="74" t="s">
        <v>42</v>
      </c>
      <c r="AX64" s="74" t="s">
        <v>42</v>
      </c>
      <c r="AY64" s="74" t="s">
        <v>42</v>
      </c>
      <c r="AZ64" s="74" t="s">
        <v>42</v>
      </c>
      <c r="BA64" s="74" t="s">
        <v>42</v>
      </c>
      <c r="BB64" s="74">
        <v>63153</v>
      </c>
    </row>
    <row r="65" spans="1:154" s="1" customFormat="1" ht="40.049999999999997" customHeight="1" x14ac:dyDescent="0.35">
      <c r="A65" s="62"/>
      <c r="B65" s="63">
        <v>1</v>
      </c>
      <c r="C65" s="64">
        <v>1</v>
      </c>
      <c r="D65" s="62">
        <v>1</v>
      </c>
      <c r="E65" s="62">
        <v>1</v>
      </c>
      <c r="F65" s="65">
        <v>2033</v>
      </c>
      <c r="G65" s="65">
        <v>20</v>
      </c>
      <c r="H65" s="66">
        <v>0.01</v>
      </c>
      <c r="I65" s="66"/>
      <c r="J65" s="67">
        <v>6.8010000000000002</v>
      </c>
      <c r="K65" s="68">
        <v>170</v>
      </c>
      <c r="L65" s="73">
        <v>170</v>
      </c>
      <c r="M65" s="61" t="s">
        <v>47</v>
      </c>
      <c r="N65" s="61" t="s">
        <v>136</v>
      </c>
      <c r="O65" s="62">
        <v>2053</v>
      </c>
      <c r="P65" s="65" t="s">
        <v>137</v>
      </c>
      <c r="Q65" s="62" t="s">
        <v>138</v>
      </c>
      <c r="R65" s="70">
        <v>38</v>
      </c>
      <c r="S65" s="71">
        <v>1</v>
      </c>
      <c r="T65" s="73">
        <v>6460</v>
      </c>
      <c r="U65" s="73">
        <v>6460</v>
      </c>
      <c r="V65" s="68">
        <f t="shared" si="0"/>
        <v>18132</v>
      </c>
      <c r="W65" s="72">
        <v>7.1126503460395402E-4</v>
      </c>
      <c r="X65" s="74" t="s">
        <v>42</v>
      </c>
      <c r="Y65" s="74" t="s">
        <v>42</v>
      </c>
      <c r="Z65" s="74" t="s">
        <v>42</v>
      </c>
      <c r="AA65" s="74" t="s">
        <v>42</v>
      </c>
      <c r="AB65" s="74" t="s">
        <v>42</v>
      </c>
      <c r="AC65" s="74" t="s">
        <v>42</v>
      </c>
      <c r="AD65" s="74" t="s">
        <v>42</v>
      </c>
      <c r="AE65" s="74" t="s">
        <v>42</v>
      </c>
      <c r="AF65" s="74" t="s">
        <v>42</v>
      </c>
      <c r="AG65" s="74" t="s">
        <v>42</v>
      </c>
      <c r="AH65" s="74" t="s">
        <v>42</v>
      </c>
      <c r="AI65" s="74" t="s">
        <v>42</v>
      </c>
      <c r="AJ65" s="74" t="s">
        <v>42</v>
      </c>
      <c r="AK65" s="74" t="s">
        <v>42</v>
      </c>
      <c r="AL65" s="74" t="s">
        <v>42</v>
      </c>
      <c r="AM65" s="74" t="s">
        <v>42</v>
      </c>
      <c r="AN65" s="74" t="s">
        <v>42</v>
      </c>
      <c r="AO65" s="74" t="s">
        <v>42</v>
      </c>
      <c r="AP65" s="74" t="s">
        <v>42</v>
      </c>
      <c r="AQ65" s="74" t="s">
        <v>42</v>
      </c>
      <c r="AR65" s="74" t="s">
        <v>42</v>
      </c>
      <c r="AS65" s="74" t="s">
        <v>42</v>
      </c>
      <c r="AT65" s="74" t="s">
        <v>42</v>
      </c>
      <c r="AU65" s="74" t="s">
        <v>42</v>
      </c>
      <c r="AV65" s="74" t="s">
        <v>42</v>
      </c>
      <c r="AW65" s="74" t="s">
        <v>42</v>
      </c>
      <c r="AX65" s="74" t="s">
        <v>42</v>
      </c>
      <c r="AY65" s="74" t="s">
        <v>42</v>
      </c>
      <c r="AZ65" s="74" t="s">
        <v>42</v>
      </c>
      <c r="BA65" s="74" t="s">
        <v>42</v>
      </c>
      <c r="BB65" s="74">
        <v>18132</v>
      </c>
    </row>
    <row r="66" spans="1:154" s="1" customFormat="1" ht="40.049999999999997" customHeight="1" x14ac:dyDescent="0.35">
      <c r="A66" s="62"/>
      <c r="B66" s="63">
        <v>1</v>
      </c>
      <c r="C66" s="64">
        <v>1</v>
      </c>
      <c r="D66" s="62">
        <v>1</v>
      </c>
      <c r="E66" s="62">
        <v>1</v>
      </c>
      <c r="F66" s="65">
        <v>2033</v>
      </c>
      <c r="G66" s="65">
        <v>60</v>
      </c>
      <c r="H66" s="66">
        <v>0.01</v>
      </c>
      <c r="I66" s="66"/>
      <c r="J66" s="67">
        <v>6.9</v>
      </c>
      <c r="K66" s="68">
        <v>1500</v>
      </c>
      <c r="L66" s="73">
        <v>1500</v>
      </c>
      <c r="M66" s="61" t="s">
        <v>43</v>
      </c>
      <c r="N66" s="61" t="s">
        <v>261</v>
      </c>
      <c r="O66" s="62">
        <v>2033</v>
      </c>
      <c r="P66" s="65" t="s">
        <v>140</v>
      </c>
      <c r="Q66" s="62" t="s">
        <v>130</v>
      </c>
      <c r="R66" s="70">
        <v>150</v>
      </c>
      <c r="S66" s="71">
        <v>1</v>
      </c>
      <c r="T66" s="73">
        <v>225000</v>
      </c>
      <c r="U66" s="73">
        <v>225000</v>
      </c>
      <c r="V66" s="68">
        <f t="shared" si="0"/>
        <v>317385</v>
      </c>
      <c r="W66" s="72">
        <v>1.2450080134997571E-2</v>
      </c>
      <c r="X66" s="74" t="s">
        <v>42</v>
      </c>
      <c r="Y66" s="74" t="s">
        <v>42</v>
      </c>
      <c r="Z66" s="74" t="s">
        <v>42</v>
      </c>
      <c r="AA66" s="74" t="s">
        <v>42</v>
      </c>
      <c r="AB66" s="74" t="s">
        <v>42</v>
      </c>
      <c r="AC66" s="74" t="s">
        <v>42</v>
      </c>
      <c r="AD66" s="74" t="s">
        <v>42</v>
      </c>
      <c r="AE66" s="74" t="s">
        <v>42</v>
      </c>
      <c r="AF66" s="74" t="s">
        <v>42</v>
      </c>
      <c r="AG66" s="74" t="s">
        <v>42</v>
      </c>
      <c r="AH66" s="74">
        <v>317385</v>
      </c>
      <c r="AI66" s="74" t="s">
        <v>42</v>
      </c>
      <c r="AJ66" s="74" t="s">
        <v>42</v>
      </c>
      <c r="AK66" s="74" t="s">
        <v>42</v>
      </c>
      <c r="AL66" s="74" t="s">
        <v>42</v>
      </c>
      <c r="AM66" s="74" t="s">
        <v>42</v>
      </c>
      <c r="AN66" s="74" t="s">
        <v>42</v>
      </c>
      <c r="AO66" s="74" t="s">
        <v>42</v>
      </c>
      <c r="AP66" s="74" t="s">
        <v>42</v>
      </c>
      <c r="AQ66" s="74" t="s">
        <v>42</v>
      </c>
      <c r="AR66" s="74" t="s">
        <v>42</v>
      </c>
      <c r="AS66" s="74" t="s">
        <v>42</v>
      </c>
      <c r="AT66" s="74" t="s">
        <v>42</v>
      </c>
      <c r="AU66" s="74" t="s">
        <v>42</v>
      </c>
      <c r="AV66" s="74" t="s">
        <v>42</v>
      </c>
      <c r="AW66" s="74" t="s">
        <v>42</v>
      </c>
      <c r="AX66" s="74" t="s">
        <v>42</v>
      </c>
      <c r="AY66" s="74" t="s">
        <v>42</v>
      </c>
      <c r="AZ66" s="74" t="s">
        <v>42</v>
      </c>
      <c r="BA66" s="74" t="s">
        <v>42</v>
      </c>
      <c r="BB66" s="74" t="s">
        <v>42</v>
      </c>
    </row>
    <row r="67" spans="1:154" s="1" customFormat="1" ht="40.049999999999997" customHeight="1" x14ac:dyDescent="0.35">
      <c r="A67" s="62"/>
      <c r="B67" s="63"/>
      <c r="C67" s="64"/>
      <c r="D67" s="62"/>
      <c r="E67" s="62"/>
      <c r="F67" s="65"/>
      <c r="G67" s="65"/>
      <c r="H67" s="66"/>
      <c r="I67" s="66"/>
      <c r="J67" s="67"/>
      <c r="K67" s="68"/>
      <c r="L67" s="61"/>
      <c r="M67" s="61"/>
      <c r="N67" s="61"/>
      <c r="O67" s="62"/>
      <c r="P67" s="65"/>
      <c r="Q67" s="62"/>
      <c r="R67" s="70"/>
      <c r="S67" s="71"/>
      <c r="T67" s="61"/>
      <c r="U67" s="61"/>
      <c r="V67" s="68">
        <f t="shared" si="0"/>
        <v>0</v>
      </c>
      <c r="W67" s="72"/>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row>
    <row r="68" spans="1:154" s="94" customFormat="1" ht="40.049999999999997" customHeight="1" x14ac:dyDescent="0.35">
      <c r="A68" s="81"/>
      <c r="B68" s="82"/>
      <c r="C68" s="83"/>
      <c r="D68" s="81"/>
      <c r="E68" s="81"/>
      <c r="F68" s="84"/>
      <c r="G68" s="84"/>
      <c r="H68" s="85"/>
      <c r="I68" s="85"/>
      <c r="J68" s="86" t="s">
        <v>141</v>
      </c>
      <c r="K68" s="87">
        <v>1</v>
      </c>
      <c r="L68" s="88">
        <v>1</v>
      </c>
      <c r="M68" s="89" t="s">
        <v>72</v>
      </c>
      <c r="N68" s="89" t="s">
        <v>142</v>
      </c>
      <c r="O68" s="81">
        <v>2025</v>
      </c>
      <c r="P68" s="84">
        <v>2</v>
      </c>
      <c r="Q68" s="81" t="s">
        <v>143</v>
      </c>
      <c r="R68" s="90">
        <v>6900</v>
      </c>
      <c r="S68" s="91">
        <v>1</v>
      </c>
      <c r="T68" s="88">
        <v>6900</v>
      </c>
      <c r="U68" s="88">
        <v>6900</v>
      </c>
      <c r="V68" s="87">
        <f t="shared" si="0"/>
        <v>56750</v>
      </c>
      <c r="W68" s="92">
        <v>2.7066670741050531E-4</v>
      </c>
      <c r="X68" s="93"/>
      <c r="Y68" s="93"/>
      <c r="Z68" s="323">
        <v>1750</v>
      </c>
      <c r="AA68" s="93"/>
      <c r="AB68" s="93"/>
      <c r="AC68" s="323">
        <v>5000</v>
      </c>
      <c r="AD68" s="323"/>
      <c r="AE68" s="323"/>
      <c r="AF68" s="323">
        <v>5000</v>
      </c>
      <c r="AG68" s="323"/>
      <c r="AH68" s="323"/>
      <c r="AI68" s="323">
        <v>5000</v>
      </c>
      <c r="AJ68" s="323"/>
      <c r="AK68" s="323"/>
      <c r="AL68" s="323">
        <v>5000</v>
      </c>
      <c r="AM68" s="93"/>
      <c r="AN68" s="93"/>
      <c r="AO68" s="93">
        <v>7000</v>
      </c>
      <c r="AP68" s="93"/>
      <c r="AQ68" s="93"/>
      <c r="AR68" s="93">
        <v>7000</v>
      </c>
      <c r="AS68" s="93"/>
      <c r="AT68" s="93"/>
      <c r="AU68" s="93">
        <v>7000</v>
      </c>
      <c r="AV68" s="93"/>
      <c r="AW68" s="93"/>
      <c r="AX68" s="93">
        <v>7000</v>
      </c>
      <c r="AY68" s="93"/>
      <c r="AZ68" s="93"/>
      <c r="BA68" s="93">
        <v>7000</v>
      </c>
      <c r="BB68" s="93"/>
    </row>
    <row r="69" spans="1:154" s="76" customFormat="1" ht="7.95" customHeight="1" x14ac:dyDescent="0.3">
      <c r="A69" s="95"/>
      <c r="B69" s="95"/>
      <c r="C69" s="95"/>
      <c r="D69" s="95"/>
      <c r="E69" s="95"/>
      <c r="F69" s="95"/>
      <c r="G69" s="95"/>
      <c r="H69" s="95"/>
      <c r="I69" s="95"/>
      <c r="J69" s="96" t="s">
        <v>144</v>
      </c>
      <c r="K69" s="95"/>
      <c r="L69" s="95"/>
      <c r="M69" s="95"/>
      <c r="N69" s="97" t="s">
        <v>36</v>
      </c>
      <c r="O69" s="98" t="s">
        <v>36</v>
      </c>
      <c r="P69" s="95"/>
      <c r="Q69" s="98" t="s">
        <v>36</v>
      </c>
      <c r="R69" s="99" t="s">
        <v>36</v>
      </c>
      <c r="S69" s="99" t="s">
        <v>36</v>
      </c>
      <c r="T69" s="99" t="s">
        <v>36</v>
      </c>
      <c r="U69" s="100"/>
      <c r="V69" s="95" t="s">
        <v>36</v>
      </c>
      <c r="W69" s="101" t="s">
        <v>36</v>
      </c>
      <c r="X69" s="98" t="s">
        <v>36</v>
      </c>
      <c r="Y69" s="98" t="s">
        <v>36</v>
      </c>
      <c r="Z69" s="98" t="s">
        <v>36</v>
      </c>
      <c r="AA69" s="98" t="s">
        <v>36</v>
      </c>
      <c r="AB69" s="98" t="s">
        <v>36</v>
      </c>
      <c r="AC69" s="98" t="s">
        <v>36</v>
      </c>
      <c r="AD69" s="98" t="s">
        <v>36</v>
      </c>
      <c r="AE69" s="98" t="s">
        <v>36</v>
      </c>
      <c r="AF69" s="98" t="s">
        <v>36</v>
      </c>
      <c r="AG69" s="98" t="s">
        <v>36</v>
      </c>
      <c r="AH69" s="98" t="s">
        <v>36</v>
      </c>
      <c r="AI69" s="98" t="s">
        <v>36</v>
      </c>
      <c r="AJ69" s="98" t="s">
        <v>36</v>
      </c>
      <c r="AK69" s="98" t="s">
        <v>36</v>
      </c>
      <c r="AL69" s="98" t="s">
        <v>36</v>
      </c>
      <c r="AM69" s="98" t="s">
        <v>36</v>
      </c>
      <c r="AN69" s="98" t="s">
        <v>36</v>
      </c>
      <c r="AO69" s="98" t="s">
        <v>36</v>
      </c>
      <c r="AP69" s="98" t="s">
        <v>36</v>
      </c>
      <c r="AQ69" s="98" t="s">
        <v>36</v>
      </c>
      <c r="AR69" s="98" t="s">
        <v>36</v>
      </c>
      <c r="AS69" s="98" t="s">
        <v>36</v>
      </c>
      <c r="AT69" s="98" t="s">
        <v>36</v>
      </c>
      <c r="AU69" s="98" t="s">
        <v>36</v>
      </c>
      <c r="AV69" s="98" t="s">
        <v>36</v>
      </c>
      <c r="AW69" s="98" t="s">
        <v>36</v>
      </c>
      <c r="AX69" s="98" t="s">
        <v>36</v>
      </c>
      <c r="AY69" s="98" t="s">
        <v>36</v>
      </c>
      <c r="AZ69" s="98" t="s">
        <v>36</v>
      </c>
      <c r="BA69" s="98" t="s">
        <v>36</v>
      </c>
      <c r="BB69" s="98" t="s">
        <v>36</v>
      </c>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row>
    <row r="70" spans="1:154" s="61" customFormat="1" ht="40.049999999999997" customHeight="1" x14ac:dyDescent="0.35">
      <c r="A70" s="102"/>
      <c r="B70" s="102"/>
      <c r="C70" s="102"/>
      <c r="D70" s="102"/>
      <c r="E70" s="102"/>
      <c r="F70" s="102"/>
      <c r="G70" s="102"/>
      <c r="H70" s="102"/>
      <c r="I70" s="102"/>
      <c r="J70" s="102"/>
      <c r="K70" s="102"/>
      <c r="L70" s="102"/>
      <c r="M70" s="102"/>
      <c r="N70" s="103" t="s">
        <v>159</v>
      </c>
      <c r="O70" s="102"/>
      <c r="P70" s="102"/>
      <c r="Q70" s="102"/>
      <c r="R70" s="104">
        <f t="shared" ref="R70:BB70" si="7">SUM(R11:R68)</f>
        <v>379562.75</v>
      </c>
      <c r="S70" s="104">
        <f t="shared" si="7"/>
        <v>46</v>
      </c>
      <c r="T70" s="104">
        <f t="shared" si="7"/>
        <v>4663219</v>
      </c>
      <c r="U70" s="104">
        <f t="shared" si="7"/>
        <v>7269020</v>
      </c>
      <c r="V70" s="105" t="e">
        <f t="shared" si="7"/>
        <v>#REF!</v>
      </c>
      <c r="W70" s="105">
        <f t="shared" si="7"/>
        <v>1.0041951378295677</v>
      </c>
      <c r="X70" s="105">
        <f t="shared" si="7"/>
        <v>0</v>
      </c>
      <c r="Y70" s="105" t="e">
        <f t="shared" si="7"/>
        <v>#REF!</v>
      </c>
      <c r="Z70" s="105">
        <f t="shared" si="7"/>
        <v>464750</v>
      </c>
      <c r="AA70" s="105">
        <f t="shared" si="7"/>
        <v>1367754</v>
      </c>
      <c r="AB70" s="105">
        <f t="shared" si="7"/>
        <v>1813802</v>
      </c>
      <c r="AC70" s="105">
        <f t="shared" si="7"/>
        <v>781831</v>
      </c>
      <c r="AD70" s="105">
        <f t="shared" si="7"/>
        <v>404470</v>
      </c>
      <c r="AE70" s="105">
        <f t="shared" si="7"/>
        <v>221248</v>
      </c>
      <c r="AF70" s="105">
        <f t="shared" si="7"/>
        <v>251078</v>
      </c>
      <c r="AG70" s="105">
        <f t="shared" si="7"/>
        <v>486110</v>
      </c>
      <c r="AH70" s="105">
        <f t="shared" si="7"/>
        <v>511228</v>
      </c>
      <c r="AI70" s="105">
        <f t="shared" si="7"/>
        <v>163947</v>
      </c>
      <c r="AJ70" s="105">
        <f t="shared" si="7"/>
        <v>120440</v>
      </c>
      <c r="AK70" s="105">
        <f t="shared" si="7"/>
        <v>490892</v>
      </c>
      <c r="AL70" s="105">
        <f t="shared" si="7"/>
        <v>369495</v>
      </c>
      <c r="AM70" s="105">
        <f t="shared" si="7"/>
        <v>617467</v>
      </c>
      <c r="AN70" s="105">
        <f t="shared" si="7"/>
        <v>605198</v>
      </c>
      <c r="AO70" s="105">
        <f t="shared" si="7"/>
        <v>697283.43987166509</v>
      </c>
      <c r="AP70" s="105">
        <f t="shared" si="7"/>
        <v>2831508.3196149953</v>
      </c>
      <c r="AQ70" s="105">
        <f t="shared" si="7"/>
        <v>2468173.4794224929</v>
      </c>
      <c r="AR70" s="105">
        <f t="shared" si="7"/>
        <v>618090.60384401993</v>
      </c>
      <c r="AS70" s="105">
        <f t="shared" si="7"/>
        <v>506120.60827905627</v>
      </c>
      <c r="AT70" s="105">
        <f t="shared" si="7"/>
        <v>165068</v>
      </c>
      <c r="AU70" s="105">
        <f t="shared" si="7"/>
        <v>322735</v>
      </c>
      <c r="AV70" s="105">
        <f t="shared" si="7"/>
        <v>290719</v>
      </c>
      <c r="AW70" s="105">
        <f t="shared" si="7"/>
        <v>357593</v>
      </c>
      <c r="AX70" s="105" t="e">
        <f t="shared" si="7"/>
        <v>#REF!</v>
      </c>
      <c r="AY70" s="105">
        <f t="shared" si="7"/>
        <v>777513.79827728355</v>
      </c>
      <c r="AZ70" s="105">
        <f t="shared" si="7"/>
        <v>473128.65089159069</v>
      </c>
      <c r="BA70" s="105">
        <f t="shared" si="7"/>
        <v>537650</v>
      </c>
      <c r="BB70" s="105">
        <f t="shared" si="7"/>
        <v>514241.24921335198</v>
      </c>
      <c r="BC70" s="68" t="e">
        <f>SUM(X70:BB70)</f>
        <v>#REF!</v>
      </c>
    </row>
    <row r="71" spans="1:154" x14ac:dyDescent="0.3">
      <c r="A71" s="1"/>
      <c r="B71" s="1"/>
      <c r="C71" s="1"/>
      <c r="D71" s="1"/>
      <c r="E71" s="1"/>
      <c r="F71" s="1"/>
      <c r="G71" s="1"/>
      <c r="H71" s="1"/>
      <c r="I71" s="1"/>
      <c r="J71" s="1"/>
      <c r="K71" s="1"/>
      <c r="L71" s="1"/>
      <c r="M71" s="1"/>
      <c r="N71" s="1"/>
      <c r="O71" s="1"/>
      <c r="P71" s="1"/>
      <c r="Q71" s="1"/>
      <c r="R71" s="1"/>
      <c r="S71" s="1"/>
      <c r="T71" s="1"/>
      <c r="U71" s="1"/>
      <c r="V71" s="78" t="e">
        <f>+Total_Study_Expenditures-BC70</f>
        <v>#REF!</v>
      </c>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row>
    <row r="73" spans="1:154" x14ac:dyDescent="0.3">
      <c r="N73" s="327" t="s">
        <v>262</v>
      </c>
    </row>
    <row r="74" spans="1:154" s="109" customFormat="1" ht="40.049999999999997" customHeight="1" x14ac:dyDescent="0.35">
      <c r="A74" s="106"/>
      <c r="B74" s="107">
        <v>1</v>
      </c>
      <c r="C74" s="107"/>
      <c r="D74" s="106"/>
      <c r="E74" s="107"/>
      <c r="F74" s="107"/>
      <c r="G74" s="107"/>
      <c r="H74" s="106"/>
      <c r="I74" s="106"/>
      <c r="J74" s="108"/>
      <c r="K74" s="108"/>
      <c r="L74" s="108"/>
      <c r="M74" s="108"/>
      <c r="N74" s="108" t="s">
        <v>145</v>
      </c>
      <c r="O74" s="106">
        <v>2053</v>
      </c>
      <c r="P74" s="106" t="s">
        <v>137</v>
      </c>
      <c r="Q74" s="106" t="s">
        <v>138</v>
      </c>
      <c r="R74" s="108"/>
      <c r="S74" s="106"/>
      <c r="T74" s="108"/>
      <c r="U74" s="108"/>
      <c r="V74" s="108"/>
      <c r="W74" s="108">
        <v>7.1126503460395402E-4</v>
      </c>
      <c r="X74" s="106" t="s">
        <v>42</v>
      </c>
      <c r="Y74" s="106" t="s">
        <v>42</v>
      </c>
      <c r="Z74" s="106" t="e">
        <f>+'[4]Budget 2025'!M138</f>
        <v>#REF!</v>
      </c>
      <c r="AA74" s="106" t="e">
        <f>+Z79</f>
        <v>#REF!</v>
      </c>
      <c r="AB74" s="106" t="e">
        <f>+AA79</f>
        <v>#REF!</v>
      </c>
      <c r="AC74" s="106" t="e">
        <f t="shared" ref="AC74:BB74" si="8">+AB79</f>
        <v>#REF!</v>
      </c>
      <c r="AD74" s="106" t="e">
        <f t="shared" si="8"/>
        <v>#REF!</v>
      </c>
      <c r="AE74" s="106" t="e">
        <f t="shared" si="8"/>
        <v>#REF!</v>
      </c>
      <c r="AF74" s="106" t="e">
        <f t="shared" si="8"/>
        <v>#REF!</v>
      </c>
      <c r="AG74" s="106" t="e">
        <f t="shared" si="8"/>
        <v>#REF!</v>
      </c>
      <c r="AH74" s="106" t="e">
        <f t="shared" si="8"/>
        <v>#REF!</v>
      </c>
      <c r="AI74" s="106" t="e">
        <f t="shared" si="8"/>
        <v>#REF!</v>
      </c>
      <c r="AJ74" s="106" t="e">
        <f t="shared" si="8"/>
        <v>#REF!</v>
      </c>
      <c r="AK74" s="106" t="e">
        <f t="shared" si="8"/>
        <v>#REF!</v>
      </c>
      <c r="AL74" s="106" t="e">
        <f t="shared" si="8"/>
        <v>#REF!</v>
      </c>
      <c r="AM74" s="106" t="e">
        <f t="shared" si="8"/>
        <v>#REF!</v>
      </c>
      <c r="AN74" s="106" t="e">
        <f t="shared" si="8"/>
        <v>#REF!</v>
      </c>
      <c r="AO74" s="106" t="e">
        <f t="shared" si="8"/>
        <v>#REF!</v>
      </c>
      <c r="AP74" s="106" t="e">
        <f t="shared" si="8"/>
        <v>#REF!</v>
      </c>
      <c r="AQ74" s="106" t="e">
        <f t="shared" si="8"/>
        <v>#REF!</v>
      </c>
      <c r="AR74" s="106" t="e">
        <f t="shared" si="8"/>
        <v>#REF!</v>
      </c>
      <c r="AS74" s="106" t="e">
        <f t="shared" si="8"/>
        <v>#REF!</v>
      </c>
      <c r="AT74" s="106" t="e">
        <f t="shared" si="8"/>
        <v>#REF!</v>
      </c>
      <c r="AU74" s="106" t="e">
        <f t="shared" si="8"/>
        <v>#REF!</v>
      </c>
      <c r="AV74" s="106" t="e">
        <f t="shared" si="8"/>
        <v>#REF!</v>
      </c>
      <c r="AW74" s="106" t="e">
        <f t="shared" si="8"/>
        <v>#REF!</v>
      </c>
      <c r="AX74" s="106" t="e">
        <f t="shared" si="8"/>
        <v>#REF!</v>
      </c>
      <c r="AY74" s="106" t="e">
        <f t="shared" si="8"/>
        <v>#REF!</v>
      </c>
      <c r="AZ74" s="106" t="e">
        <f t="shared" si="8"/>
        <v>#REF!</v>
      </c>
      <c r="BA74" s="106" t="e">
        <f t="shared" si="8"/>
        <v>#REF!</v>
      </c>
      <c r="BB74" s="106" t="e">
        <f t="shared" si="8"/>
        <v>#REF!</v>
      </c>
    </row>
    <row r="75" spans="1:154" s="109" customFormat="1" ht="40.049999999999997" customHeight="1" x14ac:dyDescent="0.35">
      <c r="A75" s="106"/>
      <c r="B75" s="107">
        <v>1</v>
      </c>
      <c r="C75" s="107"/>
      <c r="D75" s="106"/>
      <c r="E75" s="107"/>
      <c r="F75" s="107"/>
      <c r="G75" s="107"/>
      <c r="H75" s="106"/>
      <c r="I75" s="106"/>
      <c r="J75" s="108"/>
      <c r="K75" s="108"/>
      <c r="L75" s="108"/>
      <c r="M75" s="108"/>
      <c r="N75" s="108" t="s">
        <v>146</v>
      </c>
      <c r="O75" s="106"/>
      <c r="P75" s="106"/>
      <c r="Q75" s="106"/>
      <c r="R75" s="108"/>
      <c r="S75" s="106"/>
      <c r="T75" s="108"/>
      <c r="U75" s="108"/>
      <c r="V75" s="108"/>
      <c r="W75" s="108">
        <v>7.1126503460395402E-4</v>
      </c>
      <c r="X75" s="106" t="s">
        <v>42</v>
      </c>
      <c r="Y75" s="106" t="s">
        <v>42</v>
      </c>
      <c r="Z75" s="165">
        <f>850000/2</f>
        <v>425000</v>
      </c>
      <c r="AA75" s="165">
        <f>850000/2</f>
        <v>425000</v>
      </c>
      <c r="AB75" s="165">
        <f>1700000-300000</f>
        <v>1400000</v>
      </c>
      <c r="AC75" s="165"/>
      <c r="AD75" s="165"/>
      <c r="AE75" s="165"/>
      <c r="AF75" s="165"/>
      <c r="AG75" s="165"/>
      <c r="AH75" s="165"/>
      <c r="AI75" s="165"/>
      <c r="AJ75" s="165"/>
      <c r="AK75" s="165"/>
      <c r="AL75" s="165"/>
      <c r="AM75" s="165"/>
      <c r="AN75" s="165"/>
      <c r="AO75" s="165"/>
      <c r="AP75" s="165"/>
      <c r="AQ75" s="165"/>
      <c r="AR75" s="166"/>
      <c r="AS75" s="166"/>
      <c r="AT75" s="166"/>
      <c r="AU75" s="166"/>
      <c r="AV75" s="166"/>
      <c r="AW75" s="166"/>
      <c r="AX75" s="166"/>
      <c r="AY75" s="166"/>
      <c r="AZ75" s="166"/>
      <c r="BA75" s="166"/>
      <c r="BB75" s="166"/>
    </row>
    <row r="76" spans="1:154" s="109" customFormat="1" ht="40.049999999999997" customHeight="1" x14ac:dyDescent="0.35">
      <c r="A76" s="106"/>
      <c r="B76" s="107"/>
      <c r="C76" s="107"/>
      <c r="D76" s="106"/>
      <c r="E76" s="107"/>
      <c r="F76" s="107"/>
      <c r="G76" s="107"/>
      <c r="H76" s="106"/>
      <c r="I76" s="106"/>
      <c r="J76" s="108"/>
      <c r="K76" s="108"/>
      <c r="L76" s="108"/>
      <c r="M76" s="108"/>
      <c r="N76" s="108" t="s">
        <v>160</v>
      </c>
      <c r="O76" s="106"/>
      <c r="P76" s="106"/>
      <c r="Q76" s="106"/>
      <c r="R76" s="108"/>
      <c r="S76" s="106"/>
      <c r="T76" s="108"/>
      <c r="U76" s="108"/>
      <c r="V76" s="108"/>
      <c r="W76" s="108"/>
      <c r="X76" s="106"/>
      <c r="Y76" s="106"/>
      <c r="Z76" s="110">
        <v>400000</v>
      </c>
      <c r="AA76" s="190">
        <v>650000</v>
      </c>
      <c r="AB76" s="205">
        <f>+AB97</f>
        <v>650000</v>
      </c>
      <c r="AC76" s="111">
        <f>+AC98</f>
        <v>792404.21592727688</v>
      </c>
      <c r="AD76" s="111">
        <f t="shared" ref="AD76:BB76" si="9">+AD98</f>
        <v>792404.21592727688</v>
      </c>
      <c r="AE76" s="111">
        <f t="shared" si="9"/>
        <v>642404.21592727688</v>
      </c>
      <c r="AF76" s="111">
        <f t="shared" si="9"/>
        <v>642404.21592727688</v>
      </c>
      <c r="AG76" s="111">
        <f t="shared" si="9"/>
        <v>642404.21592727688</v>
      </c>
      <c r="AH76" s="111">
        <f t="shared" si="9"/>
        <v>642404.21592727688</v>
      </c>
      <c r="AI76" s="111">
        <f t="shared" si="9"/>
        <v>642404.21592727688</v>
      </c>
      <c r="AJ76" s="111">
        <f t="shared" si="9"/>
        <v>642404.21592727688</v>
      </c>
      <c r="AK76" s="111">
        <f t="shared" si="9"/>
        <v>692404.21592727688</v>
      </c>
      <c r="AL76" s="111">
        <f t="shared" si="9"/>
        <v>692404.21592727688</v>
      </c>
      <c r="AM76" s="111">
        <f t="shared" si="9"/>
        <v>742404.21592727688</v>
      </c>
      <c r="AN76" s="111">
        <f t="shared" si="9"/>
        <v>842404.21592727688</v>
      </c>
      <c r="AO76" s="111">
        <f t="shared" si="9"/>
        <v>792404.21592727688</v>
      </c>
      <c r="AP76" s="111">
        <f t="shared" si="9"/>
        <v>889879.0612607653</v>
      </c>
      <c r="AQ76" s="111">
        <f t="shared" si="9"/>
        <v>889879.0612607653</v>
      </c>
      <c r="AR76" s="111">
        <f t="shared" si="9"/>
        <v>889879.0612607653</v>
      </c>
      <c r="AS76" s="111">
        <f t="shared" si="9"/>
        <v>1089879.0612607654</v>
      </c>
      <c r="AT76" s="111">
        <f t="shared" si="9"/>
        <v>839879.0612607653</v>
      </c>
      <c r="AU76" s="111">
        <f t="shared" si="9"/>
        <v>839879.0612607653</v>
      </c>
      <c r="AV76" s="111">
        <f t="shared" si="9"/>
        <v>989879.0612607653</v>
      </c>
      <c r="AW76" s="111">
        <f t="shared" si="9"/>
        <v>889879.0612607653</v>
      </c>
      <c r="AX76" s="111">
        <f t="shared" si="9"/>
        <v>889879.0612607653</v>
      </c>
      <c r="AY76" s="111">
        <f t="shared" si="9"/>
        <v>889879.0612607653</v>
      </c>
      <c r="AZ76" s="111">
        <f t="shared" si="9"/>
        <v>889879.0612607653</v>
      </c>
      <c r="BA76" s="111">
        <f t="shared" si="9"/>
        <v>889879.0612607653</v>
      </c>
      <c r="BB76" s="111">
        <f t="shared" si="9"/>
        <v>1089879.0612607654</v>
      </c>
      <c r="BE76" s="112">
        <v>1000000</v>
      </c>
    </row>
    <row r="77" spans="1:154" s="109" customFormat="1" ht="40.049999999999997" customHeight="1" x14ac:dyDescent="0.35">
      <c r="A77" s="106"/>
      <c r="B77" s="107"/>
      <c r="C77" s="107"/>
      <c r="D77" s="106"/>
      <c r="E77" s="107"/>
      <c r="F77" s="107"/>
      <c r="G77" s="107"/>
      <c r="H77" s="106"/>
      <c r="I77" s="106"/>
      <c r="J77" s="108"/>
      <c r="K77" s="108"/>
      <c r="L77" s="108"/>
      <c r="M77" s="108"/>
      <c r="N77" s="108" t="s">
        <v>182</v>
      </c>
      <c r="O77" s="106"/>
      <c r="P77" s="106"/>
      <c r="Q77" s="106"/>
      <c r="R77" s="108"/>
      <c r="S77" s="106"/>
      <c r="T77" s="108"/>
      <c r="U77" s="108"/>
      <c r="V77" s="108"/>
      <c r="W77" s="108"/>
      <c r="X77" s="106"/>
      <c r="Y77" s="106"/>
      <c r="Z77" s="113">
        <f>SUM(Z75:Z76)</f>
        <v>825000</v>
      </c>
      <c r="AA77" s="113">
        <f t="shared" ref="AA77:BB77" si="10">SUM(AA75:AA76)</f>
        <v>1075000</v>
      </c>
      <c r="AB77" s="113">
        <f t="shared" si="10"/>
        <v>2050000</v>
      </c>
      <c r="AC77" s="113">
        <f t="shared" si="10"/>
        <v>792404.21592727688</v>
      </c>
      <c r="AD77" s="113">
        <f t="shared" si="10"/>
        <v>792404.21592727688</v>
      </c>
      <c r="AE77" s="113">
        <f t="shared" si="10"/>
        <v>642404.21592727688</v>
      </c>
      <c r="AF77" s="113">
        <f t="shared" si="10"/>
        <v>642404.21592727688</v>
      </c>
      <c r="AG77" s="113">
        <f t="shared" si="10"/>
        <v>642404.21592727688</v>
      </c>
      <c r="AH77" s="113">
        <f t="shared" si="10"/>
        <v>642404.21592727688</v>
      </c>
      <c r="AI77" s="113">
        <f t="shared" si="10"/>
        <v>642404.21592727688</v>
      </c>
      <c r="AJ77" s="113">
        <f t="shared" si="10"/>
        <v>642404.21592727688</v>
      </c>
      <c r="AK77" s="113">
        <f t="shared" si="10"/>
        <v>692404.21592727688</v>
      </c>
      <c r="AL77" s="113">
        <f t="shared" si="10"/>
        <v>692404.21592727688</v>
      </c>
      <c r="AM77" s="113">
        <f t="shared" si="10"/>
        <v>742404.21592727688</v>
      </c>
      <c r="AN77" s="113">
        <f t="shared" si="10"/>
        <v>842404.21592727688</v>
      </c>
      <c r="AO77" s="113">
        <f t="shared" si="10"/>
        <v>792404.21592727688</v>
      </c>
      <c r="AP77" s="113">
        <f t="shared" si="10"/>
        <v>889879.0612607653</v>
      </c>
      <c r="AQ77" s="113">
        <f t="shared" si="10"/>
        <v>889879.0612607653</v>
      </c>
      <c r="AR77" s="113">
        <f t="shared" si="10"/>
        <v>889879.0612607653</v>
      </c>
      <c r="AS77" s="113">
        <f t="shared" si="10"/>
        <v>1089879.0612607654</v>
      </c>
      <c r="AT77" s="113">
        <f t="shared" si="10"/>
        <v>839879.0612607653</v>
      </c>
      <c r="AU77" s="113">
        <f t="shared" si="10"/>
        <v>839879.0612607653</v>
      </c>
      <c r="AV77" s="113">
        <f t="shared" si="10"/>
        <v>989879.0612607653</v>
      </c>
      <c r="AW77" s="113">
        <f t="shared" si="10"/>
        <v>889879.0612607653</v>
      </c>
      <c r="AX77" s="113">
        <f t="shared" si="10"/>
        <v>889879.0612607653</v>
      </c>
      <c r="AY77" s="113">
        <f t="shared" si="10"/>
        <v>889879.0612607653</v>
      </c>
      <c r="AZ77" s="113">
        <f t="shared" si="10"/>
        <v>889879.0612607653</v>
      </c>
      <c r="BA77" s="113">
        <f t="shared" si="10"/>
        <v>889879.0612607653</v>
      </c>
      <c r="BB77" s="113">
        <f t="shared" si="10"/>
        <v>1089879.0612607654</v>
      </c>
      <c r="BC77" s="109">
        <f>SUM(Z77:BB77)</f>
        <v>25119682.603444532</v>
      </c>
      <c r="BD77" s="114">
        <v>29000000</v>
      </c>
    </row>
    <row r="78" spans="1:154" s="109" customFormat="1" ht="40.049999999999997" customHeight="1" x14ac:dyDescent="0.35">
      <c r="A78" s="106"/>
      <c r="B78" s="107">
        <v>1</v>
      </c>
      <c r="C78" s="107"/>
      <c r="D78" s="106"/>
      <c r="E78" s="107"/>
      <c r="F78" s="107"/>
      <c r="G78" s="107"/>
      <c r="H78" s="106"/>
      <c r="I78" s="106"/>
      <c r="J78" s="108"/>
      <c r="K78" s="108"/>
      <c r="L78" s="108"/>
      <c r="M78" s="108"/>
      <c r="N78" s="108" t="s">
        <v>147</v>
      </c>
      <c r="O78" s="106"/>
      <c r="P78" s="106"/>
      <c r="Q78" s="106"/>
      <c r="R78" s="108"/>
      <c r="S78" s="106"/>
      <c r="T78" s="108"/>
      <c r="U78" s="108"/>
      <c r="V78" s="108"/>
      <c r="W78" s="108">
        <v>7.1126503460395402E-4</v>
      </c>
      <c r="X78" s="106" t="s">
        <v>42</v>
      </c>
      <c r="Y78" s="106" t="s">
        <v>42</v>
      </c>
      <c r="Z78" s="106">
        <f>-expenditures2</f>
        <v>-464750</v>
      </c>
      <c r="AA78" s="106">
        <f>-expenditures3</f>
        <v>-1367754</v>
      </c>
      <c r="AB78" s="106">
        <f>-expenditures4</f>
        <v>-1813802</v>
      </c>
      <c r="AC78" s="106">
        <f>-expenditures5</f>
        <v>-781831</v>
      </c>
      <c r="AD78" s="106">
        <f>-expenditures6</f>
        <v>-404470</v>
      </c>
      <c r="AE78" s="106">
        <f>-expenditures7</f>
        <v>-221248</v>
      </c>
      <c r="AF78" s="106">
        <f>-expenditures8</f>
        <v>-251078</v>
      </c>
      <c r="AG78" s="106">
        <f>-expenditures9</f>
        <v>-486110</v>
      </c>
      <c r="AH78" s="106">
        <f>-expenditures10</f>
        <v>-511228</v>
      </c>
      <c r="AI78" s="106">
        <f>-expenditures11</f>
        <v>-163947</v>
      </c>
      <c r="AJ78" s="106">
        <f>-expenditures12</f>
        <v>-120440</v>
      </c>
      <c r="AK78" s="106">
        <f>-expenditures13</f>
        <v>-490892</v>
      </c>
      <c r="AL78" s="106">
        <f>-expenditures14</f>
        <v>-369495</v>
      </c>
      <c r="AM78" s="106">
        <f>-expenditures15</f>
        <v>-617467</v>
      </c>
      <c r="AN78" s="106">
        <f>-expenditures16</f>
        <v>-605198</v>
      </c>
      <c r="AO78" s="106">
        <f>-expenditures17</f>
        <v>-697283.43987166509</v>
      </c>
      <c r="AP78" s="106">
        <f>-expenditures18</f>
        <v>-2831508.3196149953</v>
      </c>
      <c r="AQ78" s="106">
        <f>-expenditures19</f>
        <v>-2468173.4794224929</v>
      </c>
      <c r="AR78" s="106">
        <f>-expenditures20</f>
        <v>-618090.60384401993</v>
      </c>
      <c r="AS78" s="106">
        <f>-expenditures21</f>
        <v>-506120.60827905627</v>
      </c>
      <c r="AT78" s="106">
        <f>-expenditures22</f>
        <v>-165068</v>
      </c>
      <c r="AU78" s="106">
        <f>-expenditures23</f>
        <v>-322735</v>
      </c>
      <c r="AV78" s="106">
        <f>-expenditures24</f>
        <v>-290719</v>
      </c>
      <c r="AW78" s="106">
        <f>-expenditures25</f>
        <v>-357593</v>
      </c>
      <c r="AX78" s="106" t="e">
        <f>-expenditures26</f>
        <v>#REF!</v>
      </c>
      <c r="AY78" s="106">
        <f>-expenditures27</f>
        <v>-777513.79827728355</v>
      </c>
      <c r="AZ78" s="106">
        <f>-expenditures28</f>
        <v>-473128.65089159069</v>
      </c>
      <c r="BA78" s="106">
        <f>-expenditures29</f>
        <v>-537650</v>
      </c>
      <c r="BB78" s="106">
        <f>-expenditures30</f>
        <v>-514241.24921335198</v>
      </c>
      <c r="BC78" s="109" t="e">
        <f>SUM(Z78:BB78)</f>
        <v>#REF!</v>
      </c>
    </row>
    <row r="79" spans="1:154" s="109" customFormat="1" ht="40.049999999999997" customHeight="1" thickBot="1" x14ac:dyDescent="0.4">
      <c r="A79" s="106"/>
      <c r="B79" s="107">
        <v>1</v>
      </c>
      <c r="C79" s="107"/>
      <c r="D79" s="106"/>
      <c r="E79" s="107"/>
      <c r="F79" s="107"/>
      <c r="G79" s="107"/>
      <c r="H79" s="106"/>
      <c r="I79" s="106"/>
      <c r="J79" s="108"/>
      <c r="K79" s="108"/>
      <c r="L79" s="108"/>
      <c r="M79" s="108"/>
      <c r="N79" s="108" t="s">
        <v>148</v>
      </c>
      <c r="O79" s="106"/>
      <c r="P79" s="106"/>
      <c r="Q79" s="106"/>
      <c r="R79" s="108"/>
      <c r="S79" s="106"/>
      <c r="T79" s="108"/>
      <c r="U79" s="108"/>
      <c r="V79" s="108"/>
      <c r="W79" s="108">
        <v>7.1126503460395402E-4</v>
      </c>
      <c r="X79" s="106" t="s">
        <v>42</v>
      </c>
      <c r="Y79" s="106" t="s">
        <v>42</v>
      </c>
      <c r="Z79" s="115" t="e">
        <f>+Z74+Z77+Z78</f>
        <v>#REF!</v>
      </c>
      <c r="AA79" s="115" t="e">
        <f t="shared" ref="AA79:BB79" si="11">+AA74+AA77+AA78</f>
        <v>#REF!</v>
      </c>
      <c r="AB79" s="115" t="e">
        <f t="shared" si="11"/>
        <v>#REF!</v>
      </c>
      <c r="AC79" s="115" t="e">
        <f t="shared" si="11"/>
        <v>#REF!</v>
      </c>
      <c r="AD79" s="115" t="e">
        <f t="shared" si="11"/>
        <v>#REF!</v>
      </c>
      <c r="AE79" s="115" t="e">
        <f t="shared" si="11"/>
        <v>#REF!</v>
      </c>
      <c r="AF79" s="115" t="e">
        <f t="shared" si="11"/>
        <v>#REF!</v>
      </c>
      <c r="AG79" s="115" t="e">
        <f t="shared" si="11"/>
        <v>#REF!</v>
      </c>
      <c r="AH79" s="115" t="e">
        <f t="shared" si="11"/>
        <v>#REF!</v>
      </c>
      <c r="AI79" s="115" t="e">
        <f t="shared" si="11"/>
        <v>#REF!</v>
      </c>
      <c r="AJ79" s="115" t="e">
        <f t="shared" si="11"/>
        <v>#REF!</v>
      </c>
      <c r="AK79" s="115" t="e">
        <f t="shared" si="11"/>
        <v>#REF!</v>
      </c>
      <c r="AL79" s="115" t="e">
        <f t="shared" si="11"/>
        <v>#REF!</v>
      </c>
      <c r="AM79" s="115" t="e">
        <f t="shared" si="11"/>
        <v>#REF!</v>
      </c>
      <c r="AN79" s="115" t="e">
        <f t="shared" si="11"/>
        <v>#REF!</v>
      </c>
      <c r="AO79" s="115" t="e">
        <f t="shared" si="11"/>
        <v>#REF!</v>
      </c>
      <c r="AP79" s="115" t="e">
        <f t="shared" si="11"/>
        <v>#REF!</v>
      </c>
      <c r="AQ79" s="115" t="e">
        <f t="shared" si="11"/>
        <v>#REF!</v>
      </c>
      <c r="AR79" s="115" t="e">
        <f t="shared" si="11"/>
        <v>#REF!</v>
      </c>
      <c r="AS79" s="115" t="e">
        <f t="shared" si="11"/>
        <v>#REF!</v>
      </c>
      <c r="AT79" s="115" t="e">
        <f t="shared" si="11"/>
        <v>#REF!</v>
      </c>
      <c r="AU79" s="115" t="e">
        <f t="shared" si="11"/>
        <v>#REF!</v>
      </c>
      <c r="AV79" s="115" t="e">
        <f t="shared" si="11"/>
        <v>#REF!</v>
      </c>
      <c r="AW79" s="115" t="e">
        <f t="shared" si="11"/>
        <v>#REF!</v>
      </c>
      <c r="AX79" s="115" t="e">
        <f t="shared" si="11"/>
        <v>#REF!</v>
      </c>
      <c r="AY79" s="115" t="e">
        <f t="shared" si="11"/>
        <v>#REF!</v>
      </c>
      <c r="AZ79" s="115" t="e">
        <f t="shared" si="11"/>
        <v>#REF!</v>
      </c>
      <c r="BA79" s="115" t="e">
        <f t="shared" si="11"/>
        <v>#REF!</v>
      </c>
      <c r="BB79" s="115" t="e">
        <f t="shared" si="11"/>
        <v>#REF!</v>
      </c>
      <c r="BE79" s="112">
        <v>1500000</v>
      </c>
    </row>
    <row r="80" spans="1:154" ht="40.049999999999997" customHeight="1" thickTop="1" x14ac:dyDescent="0.35">
      <c r="A80" s="116"/>
      <c r="B80" s="117">
        <v>1</v>
      </c>
      <c r="C80" s="118"/>
      <c r="D80" s="116"/>
      <c r="E80" s="119"/>
      <c r="F80" s="120"/>
      <c r="G80" s="120"/>
      <c r="H80" s="121"/>
      <c r="I80" s="121"/>
      <c r="J80" s="122"/>
      <c r="K80" s="123"/>
      <c r="L80" s="124"/>
      <c r="M80" s="102"/>
      <c r="N80" s="102"/>
      <c r="O80" s="116"/>
      <c r="P80" s="125"/>
      <c r="Q80" s="116"/>
      <c r="R80" s="126"/>
      <c r="S80" s="127"/>
      <c r="T80" s="124"/>
      <c r="U80" s="124"/>
      <c r="V80" s="123"/>
      <c r="W80" s="128">
        <v>7.1126503460395402E-4</v>
      </c>
      <c r="X80" s="105" t="s">
        <v>42</v>
      </c>
      <c r="Y80" s="105" t="s">
        <v>42</v>
      </c>
      <c r="Z80" s="105" t="s">
        <v>42</v>
      </c>
      <c r="AA80" s="105" t="s">
        <v>42</v>
      </c>
      <c r="AB80" s="105" t="s">
        <v>42</v>
      </c>
      <c r="AC80" s="105" t="s">
        <v>42</v>
      </c>
      <c r="AD80" s="105" t="s">
        <v>42</v>
      </c>
      <c r="AE80" s="105" t="s">
        <v>42</v>
      </c>
      <c r="AF80" s="105"/>
      <c r="AG80" s="105" t="s">
        <v>42</v>
      </c>
      <c r="AH80" s="105" t="s">
        <v>42</v>
      </c>
      <c r="AI80" s="105" t="s">
        <v>42</v>
      </c>
      <c r="AJ80" s="105" t="s">
        <v>42</v>
      </c>
      <c r="AK80" s="105" t="s">
        <v>42</v>
      </c>
      <c r="AL80" s="105" t="s">
        <v>42</v>
      </c>
      <c r="AM80" s="105" t="s">
        <v>42</v>
      </c>
      <c r="AN80" s="105" t="s">
        <v>42</v>
      </c>
      <c r="AO80" s="105" t="s">
        <v>42</v>
      </c>
      <c r="AP80" s="105" t="s">
        <v>42</v>
      </c>
      <c r="AQ80" s="105" t="s">
        <v>42</v>
      </c>
      <c r="AR80" s="105" t="s">
        <v>42</v>
      </c>
      <c r="AS80" s="105" t="s">
        <v>42</v>
      </c>
      <c r="AT80" s="105" t="s">
        <v>42</v>
      </c>
      <c r="AU80" s="105" t="s">
        <v>42</v>
      </c>
      <c r="AV80" s="105" t="s">
        <v>42</v>
      </c>
      <c r="AW80" s="105" t="s">
        <v>42</v>
      </c>
      <c r="AX80" s="105" t="s">
        <v>42</v>
      </c>
      <c r="AY80" s="105" t="s">
        <v>42</v>
      </c>
      <c r="AZ80" s="105" t="s">
        <v>42</v>
      </c>
      <c r="BA80" s="105" t="s">
        <v>42</v>
      </c>
      <c r="BB80" s="105"/>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row>
    <row r="81" spans="1:154" ht="40.049999999999997" hidden="1" customHeight="1" x14ac:dyDescent="0.35">
      <c r="A81" s="116"/>
      <c r="B81" s="117">
        <v>1</v>
      </c>
      <c r="C81" s="118"/>
      <c r="D81" s="116"/>
      <c r="E81" s="119"/>
      <c r="F81" s="120"/>
      <c r="G81" s="120"/>
      <c r="H81" s="121"/>
      <c r="I81" s="121"/>
      <c r="J81" s="122"/>
      <c r="K81" s="123"/>
      <c r="L81" s="124"/>
      <c r="M81" s="102"/>
      <c r="N81" s="129" t="s">
        <v>149</v>
      </c>
      <c r="O81" s="130"/>
      <c r="P81" s="131"/>
      <c r="Q81" s="130"/>
      <c r="R81" s="132"/>
      <c r="S81" s="133"/>
      <c r="T81" s="134"/>
      <c r="U81" s="134"/>
      <c r="V81" s="135"/>
      <c r="W81" s="136">
        <v>7.1126503460395402E-4</v>
      </c>
      <c r="X81" s="137" t="s">
        <v>42</v>
      </c>
      <c r="Y81" s="137">
        <v>818182</v>
      </c>
      <c r="Z81" s="137">
        <v>862459</v>
      </c>
      <c r="AA81" s="137">
        <v>80160</v>
      </c>
      <c r="AB81" s="137">
        <v>1210262</v>
      </c>
      <c r="AC81" s="137">
        <v>917429</v>
      </c>
      <c r="AD81" s="137">
        <v>1681527</v>
      </c>
      <c r="AE81" s="137">
        <v>71248</v>
      </c>
      <c r="AF81" s="137">
        <v>144552</v>
      </c>
      <c r="AG81" s="137">
        <v>40444</v>
      </c>
      <c r="AH81" s="137">
        <v>428822</v>
      </c>
      <c r="AI81" s="137">
        <v>49639</v>
      </c>
      <c r="AJ81" s="137">
        <v>0</v>
      </c>
      <c r="AK81" s="137">
        <v>1140828</v>
      </c>
      <c r="AL81" s="137">
        <v>902666</v>
      </c>
      <c r="AM81" s="137">
        <v>488364</v>
      </c>
      <c r="AN81" s="137">
        <v>492019</v>
      </c>
      <c r="AO81" s="137">
        <v>25125</v>
      </c>
      <c r="AP81" s="137">
        <v>1208946</v>
      </c>
      <c r="AQ81" s="137">
        <v>46140</v>
      </c>
      <c r="AR81" s="137">
        <v>536467</v>
      </c>
      <c r="AS81" s="137">
        <v>1173567</v>
      </c>
      <c r="AT81" s="137">
        <v>2549126</v>
      </c>
      <c r="AU81" s="137">
        <v>220612</v>
      </c>
      <c r="AV81" s="137">
        <v>2536033</v>
      </c>
      <c r="AW81" s="137">
        <v>285952</v>
      </c>
      <c r="AX81" s="137">
        <v>4338821</v>
      </c>
      <c r="AY81" s="137">
        <v>35442</v>
      </c>
      <c r="AZ81" s="137">
        <v>373571</v>
      </c>
      <c r="BA81" s="137">
        <v>1463126</v>
      </c>
      <c r="BB81" s="137">
        <v>1359078</v>
      </c>
      <c r="BC81" s="138">
        <f>SUM(Z81:BB81)</f>
        <v>24662425</v>
      </c>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row>
    <row r="82" spans="1:154" ht="18" hidden="1" x14ac:dyDescent="0.35">
      <c r="E82" s="1"/>
      <c r="F82" s="1"/>
      <c r="G82" s="1"/>
      <c r="H82" s="1"/>
      <c r="I82" s="1"/>
      <c r="J82" s="1"/>
      <c r="K82" s="1"/>
      <c r="L82" s="1"/>
      <c r="M82" s="1"/>
      <c r="N82" s="139"/>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40"/>
    </row>
    <row r="83" spans="1:154" ht="23.4" hidden="1" x14ac:dyDescent="0.45">
      <c r="E83" s="79"/>
      <c r="F83" s="1"/>
      <c r="G83" s="1"/>
      <c r="H83" s="1"/>
      <c r="I83" s="1"/>
      <c r="J83" s="1"/>
      <c r="K83" s="1"/>
      <c r="L83" s="1"/>
      <c r="M83" s="1"/>
      <c r="N83" s="139" t="s">
        <v>150</v>
      </c>
      <c r="O83" s="1"/>
      <c r="P83" s="1"/>
      <c r="Q83" s="1"/>
      <c r="R83" s="1"/>
      <c r="S83" s="1"/>
      <c r="T83" s="1"/>
      <c r="U83" s="1"/>
      <c r="V83" s="1"/>
      <c r="W83" s="1"/>
      <c r="X83" s="1"/>
      <c r="Y83" s="1"/>
      <c r="Z83" s="141">
        <f>+Z81+Z78</f>
        <v>397709</v>
      </c>
      <c r="AA83" s="141">
        <f t="shared" ref="AA83:BC83" si="12">+AA81+AA78</f>
        <v>-1287594</v>
      </c>
      <c r="AB83" s="141">
        <f t="shared" si="12"/>
        <v>-603540</v>
      </c>
      <c r="AC83" s="141">
        <f t="shared" si="12"/>
        <v>135598</v>
      </c>
      <c r="AD83" s="141">
        <f t="shared" si="12"/>
        <v>1277057</v>
      </c>
      <c r="AE83" s="141">
        <f t="shared" si="12"/>
        <v>-150000</v>
      </c>
      <c r="AF83" s="141">
        <f t="shared" si="12"/>
        <v>-106526</v>
      </c>
      <c r="AG83" s="141">
        <f t="shared" si="12"/>
        <v>-445666</v>
      </c>
      <c r="AH83" s="141">
        <f t="shared" si="12"/>
        <v>-82406</v>
      </c>
      <c r="AI83" s="141">
        <f t="shared" si="12"/>
        <v>-114308</v>
      </c>
      <c r="AJ83" s="141">
        <f t="shared" si="12"/>
        <v>-120440</v>
      </c>
      <c r="AK83" s="141">
        <f t="shared" si="12"/>
        <v>649936</v>
      </c>
      <c r="AL83" s="141">
        <f t="shared" si="12"/>
        <v>533171</v>
      </c>
      <c r="AM83" s="141">
        <f t="shared" si="12"/>
        <v>-129103</v>
      </c>
      <c r="AN83" s="141">
        <f t="shared" si="12"/>
        <v>-113179</v>
      </c>
      <c r="AO83" s="141">
        <f t="shared" si="12"/>
        <v>-672158.43987166509</v>
      </c>
      <c r="AP83" s="141">
        <f t="shared" si="12"/>
        <v>-1622562.3196149953</v>
      </c>
      <c r="AQ83" s="141">
        <f t="shared" si="12"/>
        <v>-2422033.4794224929</v>
      </c>
      <c r="AR83" s="141">
        <f t="shared" si="12"/>
        <v>-81623.603844019934</v>
      </c>
      <c r="AS83" s="141">
        <f t="shared" si="12"/>
        <v>667446.39172094373</v>
      </c>
      <c r="AT83" s="141">
        <f t="shared" si="12"/>
        <v>2384058</v>
      </c>
      <c r="AU83" s="141">
        <f t="shared" si="12"/>
        <v>-102123</v>
      </c>
      <c r="AV83" s="141">
        <f t="shared" si="12"/>
        <v>2245314</v>
      </c>
      <c r="AW83" s="141">
        <f t="shared" si="12"/>
        <v>-71641</v>
      </c>
      <c r="AX83" s="141" t="e">
        <f t="shared" si="12"/>
        <v>#REF!</v>
      </c>
      <c r="AY83" s="141">
        <f t="shared" si="12"/>
        <v>-742071.79827728355</v>
      </c>
      <c r="AZ83" s="141">
        <f t="shared" si="12"/>
        <v>-99557.650891590689</v>
      </c>
      <c r="BA83" s="141">
        <f t="shared" si="12"/>
        <v>925476</v>
      </c>
      <c r="BB83" s="141">
        <f t="shared" si="12"/>
        <v>844836.75078664802</v>
      </c>
      <c r="BC83" s="142" t="e">
        <f t="shared" si="12"/>
        <v>#REF!</v>
      </c>
    </row>
    <row r="84" spans="1:154" hidden="1" x14ac:dyDescent="0.3">
      <c r="E84" s="1"/>
      <c r="F84" s="1"/>
      <c r="G84" s="1"/>
      <c r="H84" s="1"/>
      <c r="I84" s="1"/>
      <c r="J84" s="1"/>
      <c r="K84" s="1"/>
      <c r="L84" s="1"/>
      <c r="M84" s="1"/>
      <c r="N84" s="143"/>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40"/>
    </row>
    <row r="85" spans="1:154" hidden="1" x14ac:dyDescent="0.3">
      <c r="E85" s="1"/>
      <c r="F85" s="1"/>
      <c r="G85" s="1"/>
      <c r="H85" s="1"/>
      <c r="I85" s="1"/>
      <c r="J85" s="1"/>
      <c r="K85" s="1"/>
      <c r="L85" s="1"/>
      <c r="M85" s="1"/>
      <c r="N85" s="14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145"/>
    </row>
    <row r="86" spans="1:154" hidden="1" x14ac:dyDescent="0.3">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row>
    <row r="87" spans="1:154" s="146" customFormat="1" ht="17.399999999999999" hidden="1" x14ac:dyDescent="0.3">
      <c r="N87" s="147" t="s">
        <v>161</v>
      </c>
      <c r="O87" s="148"/>
      <c r="P87" s="148"/>
      <c r="Q87" s="148"/>
      <c r="R87" s="148"/>
      <c r="S87" s="148"/>
      <c r="T87" s="148"/>
      <c r="U87" s="148"/>
      <c r="V87" s="148"/>
      <c r="W87" s="148"/>
      <c r="X87" s="148"/>
      <c r="Y87" s="148"/>
      <c r="Z87" s="148">
        <v>1250000</v>
      </c>
      <c r="AA87" s="148">
        <v>2176200</v>
      </c>
      <c r="AB87" s="148">
        <v>803400</v>
      </c>
      <c r="AC87" s="148">
        <v>581500</v>
      </c>
      <c r="AD87" s="148">
        <v>360600</v>
      </c>
      <c r="AE87" s="148">
        <v>260000</v>
      </c>
      <c r="AF87" s="148">
        <v>279600</v>
      </c>
      <c r="AG87" s="148">
        <v>299900</v>
      </c>
      <c r="AH87" s="148">
        <v>320900</v>
      </c>
      <c r="AI87" s="148">
        <v>342600</v>
      </c>
      <c r="AJ87" s="148">
        <v>365100</v>
      </c>
      <c r="AK87" s="148">
        <v>388400</v>
      </c>
      <c r="AL87" s="148">
        <v>312500</v>
      </c>
      <c r="AM87" s="148">
        <v>437400</v>
      </c>
      <c r="AN87" s="148">
        <v>563200</v>
      </c>
      <c r="AO87" s="148">
        <v>389900</v>
      </c>
      <c r="AP87" s="148">
        <v>2017500</v>
      </c>
      <c r="AQ87" s="148">
        <v>2046100</v>
      </c>
      <c r="AR87" s="148">
        <v>775700</v>
      </c>
      <c r="AS87" s="148">
        <v>606300</v>
      </c>
      <c r="AT87" s="148">
        <v>338000</v>
      </c>
      <c r="AU87" s="148">
        <v>370800</v>
      </c>
      <c r="AV87" s="148">
        <v>604800</v>
      </c>
      <c r="AW87" s="148">
        <v>540000</v>
      </c>
      <c r="AX87" s="148">
        <v>476400</v>
      </c>
      <c r="AY87" s="148">
        <v>114100</v>
      </c>
      <c r="AZ87" s="148">
        <v>153100</v>
      </c>
      <c r="BA87" s="148">
        <v>893500</v>
      </c>
      <c r="BB87" s="149">
        <v>1035300</v>
      </c>
    </row>
    <row r="88" spans="1:154" s="146" customFormat="1" ht="17.399999999999999" hidden="1" x14ac:dyDescent="0.3">
      <c r="N88" s="150"/>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2"/>
    </row>
    <row r="89" spans="1:154" s="146" customFormat="1" ht="18" hidden="1" thickBot="1" x14ac:dyDescent="0.35">
      <c r="N89" s="153" t="s">
        <v>162</v>
      </c>
      <c r="O89" s="154"/>
      <c r="P89" s="154"/>
      <c r="Q89" s="154"/>
      <c r="R89" s="154"/>
      <c r="S89" s="154"/>
      <c r="T89" s="154"/>
      <c r="U89" s="154"/>
      <c r="V89" s="154"/>
      <c r="W89" s="154"/>
      <c r="X89" s="154"/>
      <c r="Y89" s="154"/>
      <c r="Z89" s="154">
        <f>+Z77-Z87</f>
        <v>-425000</v>
      </c>
      <c r="AA89" s="154">
        <f t="shared" ref="AA89:BB89" si="13">+AA77-AA87</f>
        <v>-1101200</v>
      </c>
      <c r="AB89" s="154">
        <f t="shared" si="13"/>
        <v>1246600</v>
      </c>
      <c r="AC89" s="154">
        <f t="shared" si="13"/>
        <v>210904.21592727688</v>
      </c>
      <c r="AD89" s="154">
        <f t="shared" si="13"/>
        <v>431804.21592727688</v>
      </c>
      <c r="AE89" s="154">
        <f t="shared" si="13"/>
        <v>382404.21592727688</v>
      </c>
      <c r="AF89" s="154">
        <f t="shared" si="13"/>
        <v>362804.21592727688</v>
      </c>
      <c r="AG89" s="154">
        <f t="shared" si="13"/>
        <v>342504.21592727688</v>
      </c>
      <c r="AH89" s="154">
        <f t="shared" si="13"/>
        <v>321504.21592727688</v>
      </c>
      <c r="AI89" s="154">
        <f t="shared" si="13"/>
        <v>299804.21592727688</v>
      </c>
      <c r="AJ89" s="154">
        <f t="shared" si="13"/>
        <v>277304.21592727688</v>
      </c>
      <c r="AK89" s="154">
        <f t="shared" si="13"/>
        <v>304004.21592727688</v>
      </c>
      <c r="AL89" s="154">
        <f t="shared" si="13"/>
        <v>379904.21592727688</v>
      </c>
      <c r="AM89" s="154">
        <f t="shared" si="13"/>
        <v>305004.21592727688</v>
      </c>
      <c r="AN89" s="154">
        <f t="shared" si="13"/>
        <v>279204.21592727688</v>
      </c>
      <c r="AO89" s="154">
        <f t="shared" si="13"/>
        <v>402504.21592727688</v>
      </c>
      <c r="AP89" s="154">
        <f t="shared" si="13"/>
        <v>-1127620.9387392346</v>
      </c>
      <c r="AQ89" s="154">
        <f t="shared" si="13"/>
        <v>-1156220.9387392346</v>
      </c>
      <c r="AR89" s="154">
        <f t="shared" si="13"/>
        <v>114179.0612607653</v>
      </c>
      <c r="AS89" s="154">
        <f t="shared" si="13"/>
        <v>483579.06126076542</v>
      </c>
      <c r="AT89" s="154">
        <f t="shared" si="13"/>
        <v>501879.0612607653</v>
      </c>
      <c r="AU89" s="154">
        <f t="shared" si="13"/>
        <v>469079.0612607653</v>
      </c>
      <c r="AV89" s="154">
        <f t="shared" si="13"/>
        <v>385079.0612607653</v>
      </c>
      <c r="AW89" s="154">
        <f t="shared" si="13"/>
        <v>349879.0612607653</v>
      </c>
      <c r="AX89" s="154">
        <f t="shared" si="13"/>
        <v>413479.0612607653</v>
      </c>
      <c r="AY89" s="154">
        <f t="shared" si="13"/>
        <v>775779.0612607653</v>
      </c>
      <c r="AZ89" s="154">
        <f t="shared" si="13"/>
        <v>736779.0612607653</v>
      </c>
      <c r="BA89" s="154">
        <f t="shared" si="13"/>
        <v>-3620.938739234698</v>
      </c>
      <c r="BB89" s="155">
        <f t="shared" si="13"/>
        <v>54579.061260765418</v>
      </c>
    </row>
    <row r="90" spans="1:154" s="146" customFormat="1" ht="17.399999999999999" hidden="1" x14ac:dyDescent="0.3">
      <c r="N90" s="147"/>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9"/>
    </row>
    <row r="91" spans="1:154" s="146" customFormat="1" ht="17.399999999999999" hidden="1" x14ac:dyDescent="0.3">
      <c r="N91" s="150" t="s">
        <v>163</v>
      </c>
      <c r="O91" s="151"/>
      <c r="P91" s="151"/>
      <c r="Q91" s="151"/>
      <c r="R91" s="151"/>
      <c r="S91" s="151"/>
      <c r="T91" s="151"/>
      <c r="U91" s="151"/>
      <c r="V91" s="151"/>
      <c r="W91" s="151"/>
      <c r="X91" s="151"/>
      <c r="Y91" s="151"/>
      <c r="Z91" s="156">
        <v>750000</v>
      </c>
      <c r="AA91" s="156">
        <v>776200</v>
      </c>
      <c r="AB91" s="156">
        <v>803400</v>
      </c>
      <c r="AC91" s="156">
        <v>831500</v>
      </c>
      <c r="AD91" s="156">
        <v>860600</v>
      </c>
      <c r="AE91" s="156">
        <v>560000</v>
      </c>
      <c r="AF91" s="156">
        <v>579600</v>
      </c>
      <c r="AG91" s="156">
        <v>599900</v>
      </c>
      <c r="AH91" s="156">
        <v>620900</v>
      </c>
      <c r="AI91" s="156">
        <v>642600</v>
      </c>
      <c r="AJ91" s="156">
        <v>665100</v>
      </c>
      <c r="AK91" s="156">
        <v>688400</v>
      </c>
      <c r="AL91" s="156">
        <v>712500</v>
      </c>
      <c r="AM91" s="156">
        <v>737400</v>
      </c>
      <c r="AN91" s="156">
        <v>763200</v>
      </c>
      <c r="AO91" s="156">
        <v>789900</v>
      </c>
      <c r="AP91" s="156">
        <v>817500</v>
      </c>
      <c r="AQ91" s="156">
        <v>846100</v>
      </c>
      <c r="AR91" s="156">
        <v>875700</v>
      </c>
      <c r="AS91" s="156">
        <v>906300</v>
      </c>
      <c r="AT91" s="156">
        <v>938000</v>
      </c>
      <c r="AU91" s="156">
        <v>970800</v>
      </c>
      <c r="AV91" s="156">
        <v>1004800</v>
      </c>
      <c r="AW91" s="156">
        <v>1040000</v>
      </c>
      <c r="AX91" s="156">
        <v>1076400</v>
      </c>
      <c r="AY91" s="156">
        <v>1114100</v>
      </c>
      <c r="AZ91" s="156">
        <v>1153100</v>
      </c>
      <c r="BA91" s="156">
        <v>1193500</v>
      </c>
      <c r="BB91" s="157">
        <v>1235300</v>
      </c>
    </row>
    <row r="92" spans="1:154" s="158" customFormat="1" ht="17.399999999999999" hidden="1" x14ac:dyDescent="0.3">
      <c r="N92" s="159"/>
      <c r="BB92" s="160"/>
    </row>
    <row r="93" spans="1:154" s="146" customFormat="1" ht="18" hidden="1" thickBot="1" x14ac:dyDescent="0.35">
      <c r="N93" s="153" t="s">
        <v>162</v>
      </c>
      <c r="O93" s="154"/>
      <c r="P93" s="154"/>
      <c r="Q93" s="154"/>
      <c r="R93" s="154"/>
      <c r="S93" s="154"/>
      <c r="T93" s="154"/>
      <c r="U93" s="154"/>
      <c r="V93" s="154"/>
      <c r="W93" s="154"/>
      <c r="X93" s="154"/>
      <c r="Y93" s="154"/>
      <c r="Z93" s="154">
        <f>-Z77+Z91</f>
        <v>-75000</v>
      </c>
      <c r="AA93" s="154">
        <f t="shared" ref="AA93:BB93" si="14">-AA77+AA91</f>
        <v>-298800</v>
      </c>
      <c r="AB93" s="154">
        <f t="shared" si="14"/>
        <v>-1246600</v>
      </c>
      <c r="AC93" s="154">
        <f t="shared" si="14"/>
        <v>39095.784072723123</v>
      </c>
      <c r="AD93" s="154">
        <f t="shared" si="14"/>
        <v>68195.784072723123</v>
      </c>
      <c r="AE93" s="154">
        <f t="shared" si="14"/>
        <v>-82404.215927276877</v>
      </c>
      <c r="AF93" s="154">
        <f t="shared" si="14"/>
        <v>-62804.215927276877</v>
      </c>
      <c r="AG93" s="154">
        <f t="shared" si="14"/>
        <v>-42504.215927276877</v>
      </c>
      <c r="AH93" s="154">
        <f t="shared" si="14"/>
        <v>-21504.215927276877</v>
      </c>
      <c r="AI93" s="154">
        <f t="shared" si="14"/>
        <v>195.78407272312324</v>
      </c>
      <c r="AJ93" s="154">
        <f t="shared" si="14"/>
        <v>22695.784072723123</v>
      </c>
      <c r="AK93" s="154">
        <f t="shared" si="14"/>
        <v>-4004.2159272768768</v>
      </c>
      <c r="AL93" s="154">
        <f t="shared" si="14"/>
        <v>20095.784072723123</v>
      </c>
      <c r="AM93" s="154">
        <f t="shared" si="14"/>
        <v>-5004.2159272768768</v>
      </c>
      <c r="AN93" s="154">
        <f t="shared" si="14"/>
        <v>-79204.215927276877</v>
      </c>
      <c r="AO93" s="154">
        <f t="shared" si="14"/>
        <v>-2504.2159272768768</v>
      </c>
      <c r="AP93" s="154">
        <f t="shared" si="14"/>
        <v>-72379.061260765302</v>
      </c>
      <c r="AQ93" s="154">
        <f t="shared" si="14"/>
        <v>-43779.061260765302</v>
      </c>
      <c r="AR93" s="154">
        <f t="shared" si="14"/>
        <v>-14179.061260765302</v>
      </c>
      <c r="AS93" s="154">
        <f t="shared" si="14"/>
        <v>-183579.06126076542</v>
      </c>
      <c r="AT93" s="154">
        <f t="shared" si="14"/>
        <v>98120.938739234698</v>
      </c>
      <c r="AU93" s="154">
        <f t="shared" si="14"/>
        <v>130920.9387392347</v>
      </c>
      <c r="AV93" s="154">
        <f t="shared" si="14"/>
        <v>14920.938739234698</v>
      </c>
      <c r="AW93" s="154">
        <f t="shared" si="14"/>
        <v>150120.9387392347</v>
      </c>
      <c r="AX93" s="154">
        <f t="shared" si="14"/>
        <v>186520.9387392347</v>
      </c>
      <c r="AY93" s="154">
        <f t="shared" si="14"/>
        <v>224220.9387392347</v>
      </c>
      <c r="AZ93" s="154">
        <f t="shared" si="14"/>
        <v>263220.9387392347</v>
      </c>
      <c r="BA93" s="154">
        <f t="shared" si="14"/>
        <v>303620.9387392347</v>
      </c>
      <c r="BB93" s="154">
        <f t="shared" si="14"/>
        <v>145420.93873923458</v>
      </c>
    </row>
    <row r="94" spans="1:154" hidden="1" x14ac:dyDescent="0.3">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row>
    <row r="95" spans="1:154" x14ac:dyDescent="0.3">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row>
    <row r="96" spans="1:154" ht="18" x14ac:dyDescent="0.35">
      <c r="E96" s="1"/>
      <c r="F96" s="1"/>
      <c r="G96" s="1"/>
      <c r="H96" s="1"/>
      <c r="I96" s="1"/>
      <c r="J96" s="1"/>
      <c r="K96" s="1"/>
      <c r="L96" s="1"/>
      <c r="M96" s="1"/>
      <c r="N96" s="178" t="s">
        <v>179</v>
      </c>
      <c r="O96" s="179"/>
      <c r="P96" s="179"/>
      <c r="Q96" s="179"/>
      <c r="R96" s="179"/>
      <c r="S96" s="179"/>
      <c r="T96" s="179"/>
      <c r="U96" s="179"/>
      <c r="V96" s="179"/>
      <c r="W96" s="179"/>
      <c r="X96" s="179"/>
      <c r="Y96" s="179"/>
      <c r="Z96" s="179"/>
      <c r="AA96" s="179"/>
      <c r="AB96" s="184"/>
      <c r="AC96" s="192">
        <f>SUM(AO21:AQ21)/15</f>
        <v>292404.21592727688</v>
      </c>
      <c r="AD96" s="192">
        <f>+AC96</f>
        <v>292404.21592727688</v>
      </c>
      <c r="AE96" s="192">
        <f>+AD96</f>
        <v>292404.21592727688</v>
      </c>
      <c r="AF96" s="192">
        <f t="shared" ref="AF96:AO96" si="15">+AE96</f>
        <v>292404.21592727688</v>
      </c>
      <c r="AG96" s="192">
        <f t="shared" si="15"/>
        <v>292404.21592727688</v>
      </c>
      <c r="AH96" s="192">
        <f t="shared" si="15"/>
        <v>292404.21592727688</v>
      </c>
      <c r="AI96" s="192">
        <f t="shared" si="15"/>
        <v>292404.21592727688</v>
      </c>
      <c r="AJ96" s="192">
        <f t="shared" si="15"/>
        <v>292404.21592727688</v>
      </c>
      <c r="AK96" s="192">
        <f t="shared" si="15"/>
        <v>292404.21592727688</v>
      </c>
      <c r="AL96" s="192">
        <f t="shared" si="15"/>
        <v>292404.21592727688</v>
      </c>
      <c r="AM96" s="192">
        <f t="shared" si="15"/>
        <v>292404.21592727688</v>
      </c>
      <c r="AN96" s="192">
        <f t="shared" si="15"/>
        <v>292404.21592727688</v>
      </c>
      <c r="AO96" s="192">
        <f t="shared" si="15"/>
        <v>292404.21592727688</v>
      </c>
      <c r="AP96" s="192">
        <f>SUM(BD21:BF21)/15</f>
        <v>489879.0612607653</v>
      </c>
      <c r="AQ96" s="192">
        <f>+AP96</f>
        <v>489879.0612607653</v>
      </c>
      <c r="AR96" s="192">
        <f t="shared" ref="AR96:BB96" si="16">+AQ96</f>
        <v>489879.0612607653</v>
      </c>
      <c r="AS96" s="192">
        <f t="shared" si="16"/>
        <v>489879.0612607653</v>
      </c>
      <c r="AT96" s="192">
        <f t="shared" si="16"/>
        <v>489879.0612607653</v>
      </c>
      <c r="AU96" s="192">
        <f t="shared" si="16"/>
        <v>489879.0612607653</v>
      </c>
      <c r="AV96" s="192">
        <f t="shared" si="16"/>
        <v>489879.0612607653</v>
      </c>
      <c r="AW96" s="192">
        <f t="shared" si="16"/>
        <v>489879.0612607653</v>
      </c>
      <c r="AX96" s="192">
        <f t="shared" si="16"/>
        <v>489879.0612607653</v>
      </c>
      <c r="AY96" s="192">
        <f t="shared" si="16"/>
        <v>489879.0612607653</v>
      </c>
      <c r="AZ96" s="192">
        <f t="shared" si="16"/>
        <v>489879.0612607653</v>
      </c>
      <c r="BA96" s="192">
        <f t="shared" si="16"/>
        <v>489879.0612607653</v>
      </c>
      <c r="BB96" s="192">
        <f t="shared" si="16"/>
        <v>489879.0612607653</v>
      </c>
      <c r="BC96" s="1"/>
    </row>
    <row r="97" spans="5:55" ht="18" x14ac:dyDescent="0.35">
      <c r="E97" s="1"/>
      <c r="F97" s="1"/>
      <c r="G97" s="1"/>
      <c r="H97" s="1"/>
      <c r="I97" s="1"/>
      <c r="J97" s="1"/>
      <c r="K97" s="1"/>
      <c r="L97" s="1"/>
      <c r="M97" s="1"/>
      <c r="N97" s="180" t="s">
        <v>205</v>
      </c>
      <c r="O97" s="181"/>
      <c r="P97" s="181"/>
      <c r="Q97" s="181"/>
      <c r="R97" s="181"/>
      <c r="S97" s="181"/>
      <c r="T97" s="181"/>
      <c r="U97" s="181"/>
      <c r="V97" s="181"/>
      <c r="W97" s="181"/>
      <c r="X97" s="181"/>
      <c r="Y97" s="181"/>
      <c r="Z97" s="181"/>
      <c r="AA97" s="181"/>
      <c r="AB97" s="191">
        <v>650000</v>
      </c>
      <c r="AC97" s="186">
        <v>500000</v>
      </c>
      <c r="AD97" s="186">
        <v>500000</v>
      </c>
      <c r="AE97" s="186">
        <v>350000</v>
      </c>
      <c r="AF97" s="186">
        <v>350000</v>
      </c>
      <c r="AG97" s="186">
        <v>350000</v>
      </c>
      <c r="AH97" s="186">
        <v>350000</v>
      </c>
      <c r="AI97" s="186">
        <v>350000</v>
      </c>
      <c r="AJ97" s="186">
        <v>350000</v>
      </c>
      <c r="AK97" s="186">
        <v>400000</v>
      </c>
      <c r="AL97" s="186">
        <v>400000</v>
      </c>
      <c r="AM97" s="186">
        <v>450000</v>
      </c>
      <c r="AN97" s="186">
        <v>550000</v>
      </c>
      <c r="AO97" s="186">
        <v>500000</v>
      </c>
      <c r="AP97" s="186">
        <v>400000</v>
      </c>
      <c r="AQ97" s="186">
        <v>400000</v>
      </c>
      <c r="AR97" s="186">
        <v>400000</v>
      </c>
      <c r="AS97" s="186">
        <v>600000</v>
      </c>
      <c r="AT97" s="186">
        <v>350000</v>
      </c>
      <c r="AU97" s="186">
        <v>350000</v>
      </c>
      <c r="AV97" s="186">
        <v>500000</v>
      </c>
      <c r="AW97" s="186">
        <v>400000</v>
      </c>
      <c r="AX97" s="186">
        <v>400000</v>
      </c>
      <c r="AY97" s="186">
        <v>400000</v>
      </c>
      <c r="AZ97" s="186">
        <v>400000</v>
      </c>
      <c r="BA97" s="186">
        <v>400000</v>
      </c>
      <c r="BB97" s="187">
        <v>600000</v>
      </c>
      <c r="BC97" s="1"/>
    </row>
    <row r="98" spans="5:55" ht="18" x14ac:dyDescent="0.35">
      <c r="E98" s="1"/>
      <c r="F98" s="1"/>
      <c r="G98" s="1"/>
      <c r="H98" s="1"/>
      <c r="I98" s="1"/>
      <c r="J98" s="1"/>
      <c r="K98" s="1"/>
      <c r="L98" s="1"/>
      <c r="M98" s="1"/>
      <c r="N98" s="182" t="s">
        <v>181</v>
      </c>
      <c r="O98" s="183"/>
      <c r="P98" s="183"/>
      <c r="Q98" s="183"/>
      <c r="R98" s="183"/>
      <c r="S98" s="183"/>
      <c r="T98" s="183"/>
      <c r="U98" s="183"/>
      <c r="V98" s="183"/>
      <c r="W98" s="183"/>
      <c r="X98" s="183"/>
      <c r="Y98" s="183"/>
      <c r="Z98" s="183"/>
      <c r="AA98" s="183"/>
      <c r="AB98" s="186">
        <f>SUM(AB96:AB97)</f>
        <v>650000</v>
      </c>
      <c r="AC98" s="186">
        <f t="shared" ref="AC98:BB98" si="17">SUM(AC96:AC97)</f>
        <v>792404.21592727688</v>
      </c>
      <c r="AD98" s="186">
        <f>SUM(AD96:AD97)</f>
        <v>792404.21592727688</v>
      </c>
      <c r="AE98" s="186">
        <f>SUM(AE96:AE97)</f>
        <v>642404.21592727688</v>
      </c>
      <c r="AF98" s="186">
        <f t="shared" si="17"/>
        <v>642404.21592727688</v>
      </c>
      <c r="AG98" s="186">
        <f t="shared" si="17"/>
        <v>642404.21592727688</v>
      </c>
      <c r="AH98" s="186">
        <f t="shared" si="17"/>
        <v>642404.21592727688</v>
      </c>
      <c r="AI98" s="186">
        <f t="shared" si="17"/>
        <v>642404.21592727688</v>
      </c>
      <c r="AJ98" s="186">
        <f t="shared" si="17"/>
        <v>642404.21592727688</v>
      </c>
      <c r="AK98" s="186">
        <f t="shared" si="17"/>
        <v>692404.21592727688</v>
      </c>
      <c r="AL98" s="186">
        <f t="shared" si="17"/>
        <v>692404.21592727688</v>
      </c>
      <c r="AM98" s="186">
        <f t="shared" si="17"/>
        <v>742404.21592727688</v>
      </c>
      <c r="AN98" s="186">
        <f t="shared" si="17"/>
        <v>842404.21592727688</v>
      </c>
      <c r="AO98" s="186">
        <f t="shared" si="17"/>
        <v>792404.21592727688</v>
      </c>
      <c r="AP98" s="186">
        <f t="shared" si="17"/>
        <v>889879.0612607653</v>
      </c>
      <c r="AQ98" s="186">
        <f t="shared" si="17"/>
        <v>889879.0612607653</v>
      </c>
      <c r="AR98" s="186">
        <f t="shared" si="17"/>
        <v>889879.0612607653</v>
      </c>
      <c r="AS98" s="186">
        <f t="shared" si="17"/>
        <v>1089879.0612607654</v>
      </c>
      <c r="AT98" s="186">
        <f t="shared" si="17"/>
        <v>839879.0612607653</v>
      </c>
      <c r="AU98" s="186">
        <f t="shared" si="17"/>
        <v>839879.0612607653</v>
      </c>
      <c r="AV98" s="186">
        <f t="shared" si="17"/>
        <v>989879.0612607653</v>
      </c>
      <c r="AW98" s="186">
        <f t="shared" si="17"/>
        <v>889879.0612607653</v>
      </c>
      <c r="AX98" s="186">
        <f t="shared" si="17"/>
        <v>889879.0612607653</v>
      </c>
      <c r="AY98" s="186">
        <f t="shared" si="17"/>
        <v>889879.0612607653</v>
      </c>
      <c r="AZ98" s="186">
        <f t="shared" si="17"/>
        <v>889879.0612607653</v>
      </c>
      <c r="BA98" s="186">
        <f t="shared" si="17"/>
        <v>889879.0612607653</v>
      </c>
      <c r="BB98" s="187">
        <f t="shared" si="17"/>
        <v>1089879.0612607654</v>
      </c>
      <c r="BC98" s="1"/>
    </row>
    <row r="99" spans="5:55" x14ac:dyDescent="0.3">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row>
    <row r="100" spans="5:55" x14ac:dyDescent="0.3">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row>
    <row r="101" spans="5:55" ht="18" hidden="1" thickBot="1" x14ac:dyDescent="0.5">
      <c r="N101" s="163" t="s">
        <v>164</v>
      </c>
      <c r="Y101" s="162" t="s">
        <v>174</v>
      </c>
      <c r="Z101" s="161"/>
      <c r="AA101" s="161"/>
      <c r="AB101" s="161"/>
      <c r="AC101" s="161"/>
      <c r="AD101" s="161"/>
      <c r="AE101" s="161"/>
      <c r="AF101" s="161"/>
      <c r="AG101" s="161"/>
      <c r="AH101" s="161"/>
      <c r="AI101" s="161"/>
      <c r="AJ101" s="161"/>
      <c r="AK101" s="161"/>
      <c r="AL101" s="161"/>
      <c r="AM101" s="161"/>
      <c r="AN101" s="193"/>
      <c r="AO101" s="194" t="s">
        <v>175</v>
      </c>
      <c r="AP101" s="195">
        <v>1600000</v>
      </c>
      <c r="AQ101" s="196">
        <v>1600000</v>
      </c>
      <c r="AR101" s="197"/>
      <c r="AS101" s="198" t="s">
        <v>177</v>
      </c>
      <c r="AT101" s="199">
        <f>+AR75*16</f>
        <v>0</v>
      </c>
      <c r="AU101" s="161"/>
      <c r="AV101" s="161"/>
      <c r="AW101" s="161"/>
      <c r="AX101" s="161"/>
      <c r="AY101" s="161"/>
      <c r="AZ101" s="161"/>
      <c r="BA101" s="161"/>
      <c r="BB101" s="161"/>
    </row>
    <row r="102" spans="5:55" ht="16.2" hidden="1" thickBot="1" x14ac:dyDescent="0.35">
      <c r="N102" t="s">
        <v>165</v>
      </c>
      <c r="Y102" s="161"/>
      <c r="Z102" s="161"/>
      <c r="AA102" s="161"/>
      <c r="AB102" s="161"/>
      <c r="AC102" s="161"/>
      <c r="AD102" s="161"/>
      <c r="AE102" s="161"/>
      <c r="AF102" s="161"/>
      <c r="AG102" s="161"/>
      <c r="AH102" s="161"/>
      <c r="AI102" s="161"/>
      <c r="AJ102" s="161"/>
      <c r="AK102" s="161"/>
      <c r="AL102" s="161"/>
      <c r="AM102" s="161"/>
      <c r="AN102" s="200"/>
      <c r="AO102" s="201" t="s">
        <v>176</v>
      </c>
      <c r="AP102" s="202">
        <v>568379</v>
      </c>
      <c r="AQ102" s="203">
        <v>862239</v>
      </c>
      <c r="AR102" s="204"/>
      <c r="AS102" s="204"/>
      <c r="AT102" s="204"/>
      <c r="AU102" s="161"/>
      <c r="AV102" s="161"/>
      <c r="AW102" s="161"/>
      <c r="AX102" s="161"/>
      <c r="AY102" s="161"/>
      <c r="AZ102" s="161"/>
      <c r="BA102" s="161"/>
      <c r="BB102" s="161"/>
    </row>
    <row r="103" spans="5:55" hidden="1" x14ac:dyDescent="0.3">
      <c r="N103" t="s">
        <v>166</v>
      </c>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row>
    <row r="104" spans="5:55" hidden="1" x14ac:dyDescent="0.3">
      <c r="N104" t="s">
        <v>167</v>
      </c>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row>
    <row r="105" spans="5:55" hidden="1" x14ac:dyDescent="0.3">
      <c r="N105" t="s">
        <v>168</v>
      </c>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row>
    <row r="106" spans="5:55" hidden="1" x14ac:dyDescent="0.3">
      <c r="N106" t="s">
        <v>173</v>
      </c>
      <c r="Y106" s="164">
        <f>SUM(Z106:BB106)</f>
        <v>4590998</v>
      </c>
      <c r="Z106" s="164">
        <f t="shared" ref="Z106:AE106" si="18">SUM(Z12:Z30)</f>
        <v>423000</v>
      </c>
      <c r="AA106" s="164">
        <f t="shared" si="18"/>
        <v>1290250</v>
      </c>
      <c r="AB106" s="164">
        <f t="shared" si="18"/>
        <v>1798280</v>
      </c>
      <c r="AC106" s="164">
        <f t="shared" si="18"/>
        <v>503484</v>
      </c>
      <c r="AD106" s="164">
        <f t="shared" si="18"/>
        <v>255000</v>
      </c>
      <c r="AE106" s="164">
        <f t="shared" si="18"/>
        <v>194530</v>
      </c>
      <c r="AF106" s="164"/>
      <c r="AG106" s="164"/>
      <c r="AH106" s="164"/>
      <c r="AI106" s="164"/>
      <c r="AJ106" s="164"/>
      <c r="AK106" s="164">
        <f>+AK21+AK15</f>
        <v>126454</v>
      </c>
      <c r="AL106" s="164"/>
      <c r="AM106" s="164"/>
      <c r="AN106" s="164"/>
      <c r="AO106" s="164"/>
      <c r="AP106" s="164"/>
      <c r="AQ106" s="164"/>
      <c r="AR106" s="164"/>
      <c r="AS106" s="164"/>
      <c r="AT106" s="164"/>
      <c r="AU106" s="164"/>
      <c r="AV106" s="164"/>
      <c r="AW106" s="164"/>
      <c r="AX106" s="164"/>
      <c r="AY106" s="164"/>
      <c r="AZ106" s="164"/>
      <c r="BA106" s="164"/>
      <c r="BB106" s="164"/>
    </row>
    <row r="107" spans="5:55" hidden="1" x14ac:dyDescent="0.3">
      <c r="N107" t="s">
        <v>169</v>
      </c>
      <c r="Y107" s="164">
        <f t="shared" ref="Y107:Y110" si="19">SUM(Z107:BB107)</f>
        <v>1006015</v>
      </c>
      <c r="Z107" s="164">
        <f>SUM(Z32:Z49)</f>
        <v>40000</v>
      </c>
      <c r="AA107" s="164">
        <f t="shared" ref="AA107:AE107" si="20">SUM(AA32:AA49)</f>
        <v>39997</v>
      </c>
      <c r="AB107" s="164">
        <f t="shared" si="20"/>
        <v>15522</v>
      </c>
      <c r="AC107" s="164">
        <f t="shared" si="20"/>
        <v>231065</v>
      </c>
      <c r="AD107" s="164">
        <f t="shared" si="20"/>
        <v>42525</v>
      </c>
      <c r="AE107" s="164">
        <f t="shared" si="20"/>
        <v>0</v>
      </c>
      <c r="AF107" s="164"/>
      <c r="AG107" s="164"/>
      <c r="AH107" s="164"/>
      <c r="AI107" s="164">
        <f>+AI37</f>
        <v>29199</v>
      </c>
      <c r="AJ107" s="164"/>
      <c r="AK107" s="164"/>
      <c r="AL107" s="164">
        <f>+AL44+AL47</f>
        <v>154424</v>
      </c>
      <c r="AM107" s="164">
        <f>+AM38+AM49</f>
        <v>347635</v>
      </c>
      <c r="AN107" s="164"/>
      <c r="AO107" s="164"/>
      <c r="AP107" s="164">
        <f>+AP46</f>
        <v>30091</v>
      </c>
      <c r="AQ107" s="164"/>
      <c r="AR107" s="164">
        <f>+AR34</f>
        <v>49745</v>
      </c>
      <c r="AS107" s="164"/>
      <c r="AT107" s="164"/>
      <c r="AU107" s="164">
        <f>+AU45</f>
        <v>25812</v>
      </c>
      <c r="AV107" s="164"/>
      <c r="AW107" s="164"/>
      <c r="AX107" s="164"/>
      <c r="AY107" s="164"/>
      <c r="AZ107" s="164"/>
      <c r="BA107" s="164"/>
      <c r="BB107" s="164"/>
    </row>
    <row r="108" spans="5:55" hidden="1" x14ac:dyDescent="0.3">
      <c r="N108" t="s">
        <v>114</v>
      </c>
      <c r="Y108" s="164">
        <f t="shared" si="19"/>
        <v>403273</v>
      </c>
      <c r="Z108" s="164">
        <f>SUM(Z52:Z58)</f>
        <v>0</v>
      </c>
      <c r="AA108" s="164">
        <f t="shared" ref="AA108:AE108" si="21">SUM(AA52:AA58)</f>
        <v>26420</v>
      </c>
      <c r="AB108" s="164">
        <f t="shared" si="21"/>
        <v>0</v>
      </c>
      <c r="AC108" s="164">
        <f t="shared" si="21"/>
        <v>42282</v>
      </c>
      <c r="AD108" s="164">
        <f t="shared" si="21"/>
        <v>0</v>
      </c>
      <c r="AE108" s="164">
        <f t="shared" si="21"/>
        <v>26718</v>
      </c>
      <c r="AF108" s="164">
        <f>SUM(AF52:AF58)</f>
        <v>42269</v>
      </c>
      <c r="AG108" s="164">
        <f>+AF52</f>
        <v>28706</v>
      </c>
      <c r="AH108" s="164"/>
      <c r="AI108" s="164"/>
      <c r="AJ108" s="164"/>
      <c r="AK108" s="164"/>
      <c r="AL108" s="164"/>
      <c r="AM108" s="164"/>
      <c r="AN108" s="164">
        <f>+AN58</f>
        <v>190738</v>
      </c>
      <c r="AO108" s="164"/>
      <c r="AP108" s="164"/>
      <c r="AQ108" s="164">
        <f>+AQ54</f>
        <v>46140</v>
      </c>
      <c r="AR108" s="164"/>
      <c r="AS108" s="164"/>
      <c r="AT108" s="164"/>
      <c r="AU108" s="164"/>
      <c r="AV108" s="164"/>
      <c r="AW108" s="164"/>
      <c r="AX108" s="164"/>
      <c r="AY108" s="164"/>
      <c r="AZ108" s="164"/>
      <c r="BA108" s="164"/>
      <c r="BB108" s="164"/>
    </row>
    <row r="109" spans="5:55" hidden="1" x14ac:dyDescent="0.3">
      <c r="N109" t="s">
        <v>128</v>
      </c>
      <c r="Y109" s="164">
        <f t="shared" si="19"/>
        <v>477978</v>
      </c>
      <c r="Z109" s="164">
        <f>SUM(Z61:Z66)</f>
        <v>0</v>
      </c>
      <c r="AA109" s="164">
        <f t="shared" ref="AA109:AH109" si="22">SUM(AA61:AA66)</f>
        <v>11087</v>
      </c>
      <c r="AB109" s="164">
        <f t="shared" si="22"/>
        <v>0</v>
      </c>
      <c r="AC109" s="164">
        <f t="shared" si="22"/>
        <v>0</v>
      </c>
      <c r="AD109" s="164">
        <f t="shared" si="22"/>
        <v>0</v>
      </c>
      <c r="AE109" s="164">
        <f t="shared" si="22"/>
        <v>0</v>
      </c>
      <c r="AF109" s="164">
        <f t="shared" si="22"/>
        <v>13168</v>
      </c>
      <c r="AG109" s="164">
        <f t="shared" si="22"/>
        <v>0</v>
      </c>
      <c r="AH109" s="164">
        <f t="shared" si="22"/>
        <v>368167</v>
      </c>
      <c r="AI109" s="164"/>
      <c r="AJ109" s="164"/>
      <c r="AK109" s="164"/>
      <c r="AL109" s="164"/>
      <c r="AM109" s="164"/>
      <c r="AN109" s="164"/>
      <c r="AO109" s="164"/>
      <c r="AP109" s="164"/>
      <c r="AQ109" s="164"/>
      <c r="AR109" s="164">
        <f>+AR64</f>
        <v>44770</v>
      </c>
      <c r="AS109" s="164">
        <f>+AS62</f>
        <v>22654</v>
      </c>
      <c r="AT109" s="164"/>
      <c r="AU109" s="164"/>
      <c r="AV109" s="164"/>
      <c r="AW109" s="164"/>
      <c r="AX109" s="164"/>
      <c r="AY109" s="164"/>
      <c r="AZ109" s="164"/>
      <c r="BA109" s="164"/>
      <c r="BB109" s="164">
        <f>+BB65</f>
        <v>18132</v>
      </c>
    </row>
    <row r="110" spans="5:55" hidden="1" x14ac:dyDescent="0.3">
      <c r="N110" t="s">
        <v>170</v>
      </c>
      <c r="Y110" s="164">
        <f t="shared" si="19"/>
        <v>1750</v>
      </c>
      <c r="Z110" s="164">
        <f>+Z68</f>
        <v>1750</v>
      </c>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row>
    <row r="111" spans="5:55" hidden="1" x14ac:dyDescent="0.3">
      <c r="N111" t="s">
        <v>171</v>
      </c>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row>
    <row r="112" spans="5:55" hidden="1" x14ac:dyDescent="0.3">
      <c r="N112" t="s">
        <v>172</v>
      </c>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row>
    <row r="113" spans="14:54" hidden="1" x14ac:dyDescent="0.3">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161"/>
      <c r="BA113" s="161"/>
      <c r="BB113" s="161"/>
    </row>
    <row r="114" spans="14:54" hidden="1" x14ac:dyDescent="0.3">
      <c r="N114" t="s">
        <v>15</v>
      </c>
      <c r="Y114" s="161">
        <f>SUM(Y102:Y113)</f>
        <v>6480014</v>
      </c>
      <c r="Z114" s="161">
        <f>SUM(Z102:Z113)</f>
        <v>464750</v>
      </c>
      <c r="AA114" s="161">
        <f t="shared" ref="AA114:BB114" si="23">SUM(AA102:AA113)</f>
        <v>1367754</v>
      </c>
      <c r="AB114" s="161">
        <f t="shared" si="23"/>
        <v>1813802</v>
      </c>
      <c r="AC114" s="161">
        <f t="shared" si="23"/>
        <v>776831</v>
      </c>
      <c r="AD114" s="161">
        <f t="shared" si="23"/>
        <v>297525</v>
      </c>
      <c r="AE114" s="161">
        <f t="shared" si="23"/>
        <v>221248</v>
      </c>
      <c r="AF114" s="161">
        <f t="shared" si="23"/>
        <v>55437</v>
      </c>
      <c r="AG114" s="161">
        <f t="shared" si="23"/>
        <v>28706</v>
      </c>
      <c r="AH114" s="161">
        <f t="shared" si="23"/>
        <v>368167</v>
      </c>
      <c r="AI114" s="161">
        <f t="shared" si="23"/>
        <v>29199</v>
      </c>
      <c r="AJ114" s="161">
        <f t="shared" si="23"/>
        <v>0</v>
      </c>
      <c r="AK114" s="161">
        <f t="shared" si="23"/>
        <v>126454</v>
      </c>
      <c r="AL114" s="161">
        <f t="shared" si="23"/>
        <v>154424</v>
      </c>
      <c r="AM114" s="161">
        <f t="shared" si="23"/>
        <v>347635</v>
      </c>
      <c r="AN114" s="161">
        <f t="shared" si="23"/>
        <v>190738</v>
      </c>
      <c r="AO114" s="161">
        <f t="shared" si="23"/>
        <v>0</v>
      </c>
      <c r="AP114" s="161">
        <f t="shared" si="23"/>
        <v>598470</v>
      </c>
      <c r="AQ114" s="161">
        <f t="shared" si="23"/>
        <v>908379</v>
      </c>
      <c r="AR114" s="161">
        <f t="shared" si="23"/>
        <v>94515</v>
      </c>
      <c r="AS114" s="161">
        <f t="shared" si="23"/>
        <v>22654</v>
      </c>
      <c r="AT114" s="161">
        <f t="shared" si="23"/>
        <v>0</v>
      </c>
      <c r="AU114" s="161">
        <f t="shared" si="23"/>
        <v>25812</v>
      </c>
      <c r="AV114" s="161">
        <f t="shared" si="23"/>
        <v>0</v>
      </c>
      <c r="AW114" s="161">
        <f t="shared" si="23"/>
        <v>0</v>
      </c>
      <c r="AX114" s="161">
        <f t="shared" si="23"/>
        <v>0</v>
      </c>
      <c r="AY114" s="161">
        <f t="shared" si="23"/>
        <v>0</v>
      </c>
      <c r="AZ114" s="161">
        <f t="shared" si="23"/>
        <v>0</v>
      </c>
      <c r="BA114" s="161">
        <f t="shared" si="23"/>
        <v>0</v>
      </c>
      <c r="BB114" s="161">
        <f t="shared" si="23"/>
        <v>18132</v>
      </c>
    </row>
    <row r="115" spans="14:54" x14ac:dyDescent="0.3">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row>
    <row r="116" spans="14:54" x14ac:dyDescent="0.3">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c r="AX116" s="161"/>
      <c r="AY116" s="161"/>
      <c r="AZ116" s="161"/>
      <c r="BA116" s="161"/>
      <c r="BB116" s="161"/>
    </row>
    <row r="117" spans="14:54" x14ac:dyDescent="0.3">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row>
    <row r="118" spans="14:54" x14ac:dyDescent="0.3">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row>
    <row r="119" spans="14:54" x14ac:dyDescent="0.3">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row>
    <row r="120" spans="14:54" x14ac:dyDescent="0.3">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row>
  </sheetData>
  <mergeCells count="3">
    <mergeCell ref="P7:Q7"/>
    <mergeCell ref="R7:U7"/>
    <mergeCell ref="P8:Q8"/>
  </mergeCells>
  <conditionalFormatting sqref="B8:B10">
    <cfRule type="expression" dxfId="29" priority="16" stopIfTrue="1">
      <formula>AND(NOT(ISBLANK(#REF!)))</formula>
    </cfRule>
  </conditionalFormatting>
  <conditionalFormatting sqref="C8:C10">
    <cfRule type="expression" dxfId="28" priority="15" stopIfTrue="1">
      <formula>AND(NOT(ISBLANK(XFD8)))</formula>
    </cfRule>
  </conditionalFormatting>
  <conditionalFormatting sqref="D8:D10">
    <cfRule type="expression" dxfId="27" priority="13" stopIfTrue="1">
      <formula>AND(NOT(ISBLANK(XFD8)))</formula>
    </cfRule>
  </conditionalFormatting>
  <conditionalFormatting sqref="D10">
    <cfRule type="expression" dxfId="26" priority="14" stopIfTrue="1">
      <formula>ISNA(D10)</formula>
    </cfRule>
  </conditionalFormatting>
  <conditionalFormatting sqref="E8:E10">
    <cfRule type="expression" dxfId="25" priority="12" stopIfTrue="1">
      <formula>AND(NOT(ISBLANK(XFD8)))</formula>
    </cfRule>
  </conditionalFormatting>
  <conditionalFormatting sqref="F8:F10">
    <cfRule type="expression" dxfId="24" priority="9" stopIfTrue="1">
      <formula>AND(NOT(ISBLANK(XFB8)))</formula>
    </cfRule>
  </conditionalFormatting>
  <conditionalFormatting sqref="G8:G10">
    <cfRule type="expression" dxfId="23" priority="6" stopIfTrue="1">
      <formula>AND(NOT(ISBLANK(XEY8)))</formula>
    </cfRule>
  </conditionalFormatting>
  <conditionalFormatting sqref="H8:I10">
    <cfRule type="expression" dxfId="22" priority="3" stopIfTrue="1">
      <formula>AND(NOT(ISBLANK(XET8)))</formula>
    </cfRule>
  </conditionalFormatting>
  <conditionalFormatting sqref="J10">
    <cfRule type="duplicateValues" dxfId="21" priority="2" stopIfTrue="1"/>
  </conditionalFormatting>
  <conditionalFormatting sqref="R7">
    <cfRule type="expression" dxfId="20" priority="1">
      <formula>CELL("width",Print_Hide_PercentDollars)=0</formula>
    </cfRule>
  </conditionalFormatting>
  <pageMargins left="0.45" right="0.45" top="0.5" bottom="0.5" header="0.3" footer="0.3"/>
  <pageSetup scale="30" fitToWidth="2" fitToHeight="2" orientation="landscape" horizontalDpi="0" verticalDpi="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922C9-A1B8-4848-8ED9-8EA19C63611E}">
  <sheetPr>
    <pageSetUpPr fitToPage="1"/>
  </sheetPr>
  <dimension ref="A1:EX119"/>
  <sheetViews>
    <sheetView zoomScale="91" zoomScaleNormal="70" workbookViewId="0">
      <pane xSplit="14" ySplit="10" topLeftCell="V21" activePane="bottomRight" state="frozen"/>
      <selection activeCell="J23" sqref="J23"/>
      <selection pane="topRight" activeCell="J23" sqref="J23"/>
      <selection pane="bottomLeft" activeCell="J23" sqref="J23"/>
      <selection pane="bottomRight" activeCell="N34" sqref="N34"/>
    </sheetView>
  </sheetViews>
  <sheetFormatPr defaultColWidth="8.796875" defaultRowHeight="15.6" x14ac:dyDescent="0.3"/>
  <cols>
    <col min="1" max="1" width="2.69921875" hidden="1" customWidth="1"/>
    <col min="2" max="2" width="14.5" hidden="1" customWidth="1"/>
    <col min="3" max="3" width="11.296875" hidden="1" customWidth="1"/>
    <col min="4" max="4" width="10" hidden="1" customWidth="1"/>
    <col min="5" max="5" width="11.69921875" hidden="1" customWidth="1"/>
    <col min="6" max="6" width="10.69921875" hidden="1" customWidth="1"/>
    <col min="7" max="7" width="9.296875" hidden="1" customWidth="1"/>
    <col min="8" max="8" width="0.796875" hidden="1" customWidth="1"/>
    <col min="9" max="9" width="2.69921875" hidden="1" customWidth="1"/>
    <col min="10" max="10" width="9.5" hidden="1" customWidth="1"/>
    <col min="11" max="11" width="13.296875" hidden="1" customWidth="1"/>
    <col min="12" max="12" width="11.296875" hidden="1" customWidth="1"/>
    <col min="13" max="13" width="15.69921875" hidden="1" customWidth="1"/>
    <col min="14" max="14" width="100.69921875" customWidth="1"/>
    <col min="15" max="15" width="13" hidden="1" customWidth="1"/>
    <col min="16" max="16" width="10" hidden="1" customWidth="1"/>
    <col min="17" max="17" width="13.69921875" hidden="1" customWidth="1"/>
    <col min="18" max="18" width="15.5" hidden="1" customWidth="1"/>
    <col min="19" max="19" width="0" hidden="1" customWidth="1"/>
    <col min="20" max="20" width="15.5" hidden="1" customWidth="1"/>
    <col min="21" max="21" width="16.5" hidden="1" customWidth="1"/>
    <col min="22" max="22" width="17.69921875" customWidth="1"/>
    <col min="23" max="23" width="15.19921875" hidden="1" customWidth="1"/>
    <col min="24" max="24" width="15" customWidth="1"/>
    <col min="25" max="25" width="20" customWidth="1"/>
    <col min="26" max="47" width="15" customWidth="1"/>
    <col min="48" max="48" width="15.69921875" customWidth="1"/>
    <col min="49" max="49" width="13.796875" customWidth="1"/>
    <col min="50" max="50" width="15.5" customWidth="1"/>
    <col min="51" max="52" width="13.796875" customWidth="1"/>
    <col min="53" max="53" width="15.296875" customWidth="1"/>
    <col min="54" max="54" width="16" customWidth="1"/>
    <col min="55" max="55" width="14.5" hidden="1" customWidth="1"/>
    <col min="56" max="56" width="11.19921875" hidden="1" customWidth="1"/>
    <col min="57" max="57" width="10.19921875" hidden="1" customWidth="1"/>
  </cols>
  <sheetData>
    <row r="1" spans="1:72" ht="30" customHeight="1" x14ac:dyDescent="0.3">
      <c r="A1" s="1"/>
      <c r="B1" s="1"/>
      <c r="C1" s="1"/>
      <c r="D1" s="1"/>
      <c r="E1" s="1"/>
      <c r="F1" s="1"/>
      <c r="G1" s="1"/>
      <c r="H1" s="1"/>
      <c r="I1" s="1"/>
      <c r="J1" s="1"/>
      <c r="K1" s="1"/>
      <c r="L1" s="1"/>
      <c r="M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25.95" customHeight="1" x14ac:dyDescent="0.5">
      <c r="A2" s="1"/>
      <c r="B2" s="2"/>
      <c r="C2" s="2"/>
      <c r="D2" s="2"/>
      <c r="E2" s="2"/>
      <c r="F2" s="2"/>
      <c r="G2" s="2"/>
      <c r="H2" s="2"/>
      <c r="I2" s="2"/>
      <c r="J2" s="3"/>
      <c r="K2" s="3"/>
      <c r="L2" s="3"/>
      <c r="M2" s="3"/>
      <c r="N2" s="4" t="s">
        <v>178</v>
      </c>
      <c r="O2" s="5"/>
      <c r="P2" s="6"/>
      <c r="Q2" s="7"/>
      <c r="R2" s="7"/>
      <c r="S2" s="7"/>
      <c r="T2" s="7"/>
      <c r="U2" s="7"/>
      <c r="V2" s="7"/>
      <c r="W2" s="7"/>
      <c r="X2" s="8"/>
      <c r="Y2" s="9" t="s">
        <v>151</v>
      </c>
      <c r="Z2" s="7"/>
      <c r="AA2" s="9"/>
      <c r="AB2" s="7"/>
      <c r="AC2" s="7"/>
      <c r="AD2" s="7"/>
      <c r="AE2" s="7"/>
      <c r="AF2" s="7"/>
      <c r="AG2" s="7"/>
      <c r="AH2" s="7"/>
      <c r="AI2" s="7"/>
      <c r="AJ2" s="7"/>
      <c r="AK2" s="7"/>
      <c r="AL2" s="7"/>
      <c r="AM2" s="7"/>
      <c r="AN2" s="7"/>
      <c r="AO2" s="7"/>
      <c r="AP2" s="3"/>
      <c r="AQ2" s="3"/>
      <c r="AR2" s="3"/>
      <c r="AS2" s="3"/>
      <c r="AT2" s="3"/>
      <c r="AU2" s="3"/>
      <c r="AV2" s="3"/>
      <c r="AW2" s="10"/>
      <c r="AX2" s="3"/>
      <c r="AY2" s="3"/>
      <c r="AZ2" s="3"/>
      <c r="BA2" s="3"/>
      <c r="BB2" s="3"/>
      <c r="BC2" s="1"/>
      <c r="BD2" s="1"/>
      <c r="BE2" s="1"/>
      <c r="BF2" s="1"/>
      <c r="BG2" s="1"/>
      <c r="BH2" s="1"/>
      <c r="BI2" s="1"/>
      <c r="BJ2" s="1"/>
      <c r="BK2" s="1"/>
      <c r="BL2" s="1"/>
      <c r="BM2" s="1"/>
      <c r="BN2" s="1"/>
      <c r="BO2" s="1"/>
      <c r="BP2" s="1"/>
      <c r="BQ2" s="1"/>
      <c r="BR2" s="1"/>
      <c r="BS2" s="1"/>
      <c r="BT2" s="1"/>
    </row>
    <row r="3" spans="1:72" ht="19.05" customHeight="1" x14ac:dyDescent="0.35">
      <c r="A3" s="1"/>
      <c r="B3" s="2"/>
      <c r="C3" s="2"/>
      <c r="D3" s="2"/>
      <c r="E3" s="2"/>
      <c r="F3" s="2"/>
      <c r="G3" s="2"/>
      <c r="H3" s="2"/>
      <c r="I3" s="2"/>
      <c r="J3" s="11"/>
      <c r="K3" s="12"/>
      <c r="L3" s="11"/>
      <c r="M3" s="13"/>
      <c r="N3" s="14"/>
      <c r="O3" s="15"/>
      <c r="P3" s="16"/>
      <c r="Q3" s="17"/>
      <c r="R3" s="18"/>
      <c r="S3" s="18"/>
      <c r="T3" s="18"/>
      <c r="U3" s="18"/>
      <c r="V3" s="18"/>
      <c r="W3" s="3"/>
      <c r="X3" s="19" t="s">
        <v>152</v>
      </c>
      <c r="Y3" s="20" t="e">
        <f>IF(Inflation=secondaryInflation,Inflation,secondaryInflation)</f>
        <v>#REF!</v>
      </c>
      <c r="Z3" s="21" t="e">
        <f>IF(Inflation=secondaryInflation,"is the estimated Inflation Rate for estimating Future Replacement Costs.","is the estimated Inflation Rate through "&amp;secondaryInflationYear&amp;".")</f>
        <v>#REF!</v>
      </c>
      <c r="AA3" s="8"/>
      <c r="AB3" s="2"/>
      <c r="AC3" s="22"/>
      <c r="AD3" s="22"/>
      <c r="AE3" s="2"/>
      <c r="AF3" s="37" t="s">
        <v>153</v>
      </c>
      <c r="AG3" s="2"/>
      <c r="AH3" s="2"/>
      <c r="AI3" s="2"/>
      <c r="AJ3" s="2"/>
      <c r="AK3" s="2"/>
      <c r="AL3" s="2"/>
      <c r="AM3" s="2"/>
      <c r="AN3" s="2"/>
      <c r="AO3" s="2"/>
      <c r="AP3" s="2"/>
      <c r="AQ3" s="2"/>
      <c r="AR3" s="2"/>
      <c r="AS3" s="23"/>
      <c r="AT3" s="24"/>
      <c r="AU3" s="24"/>
      <c r="AV3" s="24"/>
      <c r="AW3" s="24"/>
      <c r="AX3" s="24"/>
      <c r="AY3" s="24"/>
      <c r="AZ3" s="24"/>
      <c r="BA3" s="24"/>
      <c r="BB3" s="24"/>
      <c r="BC3" s="1"/>
      <c r="BD3" s="1"/>
      <c r="BE3" s="1"/>
      <c r="BF3" s="1"/>
      <c r="BG3" s="1"/>
      <c r="BH3" s="1"/>
      <c r="BI3" s="1"/>
      <c r="BJ3" s="1"/>
      <c r="BK3" s="1"/>
      <c r="BL3" s="1"/>
      <c r="BM3" s="1"/>
      <c r="BN3" s="1"/>
      <c r="BO3" s="1"/>
      <c r="BP3" s="1"/>
      <c r="BQ3" s="1"/>
      <c r="BR3" s="1"/>
      <c r="BS3" s="1"/>
      <c r="BT3" s="1"/>
    </row>
    <row r="4" spans="1:72" ht="22.05" customHeight="1" x14ac:dyDescent="0.35">
      <c r="A4" s="1"/>
      <c r="B4" s="2"/>
      <c r="C4" s="2"/>
      <c r="D4" s="2"/>
      <c r="E4" s="2"/>
      <c r="F4" s="2"/>
      <c r="G4" s="2"/>
      <c r="H4" s="2"/>
      <c r="I4" s="2"/>
      <c r="J4" s="25"/>
      <c r="K4" s="12"/>
      <c r="L4" s="11"/>
      <c r="M4" s="11"/>
      <c r="N4" s="26" t="s">
        <v>0</v>
      </c>
      <c r="O4" s="27"/>
      <c r="P4" s="27"/>
      <c r="Q4" s="28"/>
      <c r="R4" s="29"/>
      <c r="S4" s="29"/>
      <c r="T4" s="29"/>
      <c r="U4" s="29"/>
      <c r="V4" s="29"/>
      <c r="W4" s="3"/>
      <c r="X4" s="19" t="s">
        <v>154</v>
      </c>
      <c r="Y4" s="30" t="s">
        <v>155</v>
      </c>
      <c r="Z4" s="2"/>
      <c r="AA4" s="8"/>
      <c r="AB4" s="2"/>
      <c r="AC4" s="2"/>
      <c r="AD4" s="2"/>
      <c r="AE4" s="2"/>
      <c r="AF4" s="2"/>
      <c r="AG4" s="3"/>
      <c r="AH4" s="2"/>
      <c r="AI4" s="2"/>
      <c r="AJ4" s="2"/>
      <c r="AK4" s="2"/>
      <c r="AL4" s="2"/>
      <c r="AM4" s="2"/>
      <c r="AN4" s="2"/>
      <c r="AO4" s="2"/>
      <c r="AP4" s="2"/>
      <c r="AQ4" s="2"/>
      <c r="AR4" s="2"/>
      <c r="AS4" s="31"/>
      <c r="AT4" s="31"/>
      <c r="AU4" s="31"/>
      <c r="AV4" s="31"/>
      <c r="AW4" s="31"/>
      <c r="AX4" s="31"/>
      <c r="AY4" s="31"/>
      <c r="AZ4" s="31"/>
      <c r="BA4" s="31"/>
      <c r="BB4" s="31"/>
      <c r="BC4" s="1"/>
      <c r="BD4" s="1"/>
      <c r="BE4" s="1"/>
      <c r="BF4" s="1"/>
      <c r="BG4" s="1"/>
      <c r="BH4" s="1"/>
      <c r="BI4" s="1"/>
      <c r="BJ4" s="1"/>
      <c r="BK4" s="1"/>
      <c r="BL4" s="1"/>
      <c r="BM4" s="1"/>
      <c r="BN4" s="1"/>
      <c r="BO4" s="1"/>
      <c r="BP4" s="1"/>
      <c r="BQ4" s="1"/>
      <c r="BR4" s="1"/>
      <c r="BS4" s="1"/>
      <c r="BT4" s="1"/>
    </row>
    <row r="5" spans="1:72" ht="22.05" customHeight="1" x14ac:dyDescent="0.35">
      <c r="A5" s="1"/>
      <c r="B5" s="2"/>
      <c r="C5" s="2"/>
      <c r="D5" s="2"/>
      <c r="E5" s="2"/>
      <c r="F5" s="2"/>
      <c r="G5" s="2"/>
      <c r="H5" s="2"/>
      <c r="I5" s="2"/>
      <c r="J5" s="11"/>
      <c r="K5" s="12"/>
      <c r="L5" s="11"/>
      <c r="M5" s="13"/>
      <c r="N5" s="26" t="s">
        <v>1</v>
      </c>
      <c r="O5" s="32"/>
      <c r="P5" s="12"/>
      <c r="Q5" s="11"/>
      <c r="R5" s="2"/>
      <c r="S5" s="2"/>
      <c r="T5" s="2"/>
      <c r="U5" s="2"/>
      <c r="V5" s="2"/>
      <c r="W5" s="3"/>
      <c r="X5" s="19" t="s">
        <v>42</v>
      </c>
      <c r="Y5" s="33"/>
      <c r="Z5" s="8"/>
      <c r="AA5" s="8"/>
      <c r="AB5" s="2"/>
      <c r="AC5" s="2"/>
      <c r="AD5" s="2"/>
      <c r="AE5" s="2"/>
      <c r="AF5" s="2"/>
      <c r="AG5" s="2"/>
      <c r="AH5" s="2"/>
      <c r="AI5" s="2"/>
      <c r="AJ5" s="2"/>
      <c r="AK5" s="2"/>
      <c r="AL5" s="2"/>
      <c r="AM5" s="2"/>
      <c r="AN5" s="2"/>
      <c r="AO5" s="2"/>
      <c r="AP5" s="2"/>
      <c r="AQ5" s="2"/>
      <c r="AR5" s="2"/>
      <c r="AS5" s="34"/>
      <c r="AT5" s="31"/>
      <c r="AU5" s="31"/>
      <c r="AV5" s="31"/>
      <c r="AW5" s="31"/>
      <c r="AX5" s="31"/>
      <c r="AY5" s="31"/>
      <c r="AZ5" s="31"/>
      <c r="BA5" s="31"/>
      <c r="BB5" s="31"/>
      <c r="BC5" s="1"/>
      <c r="BD5" s="1"/>
      <c r="BE5" s="1"/>
      <c r="BF5" s="1"/>
      <c r="BG5" s="1"/>
      <c r="BH5" s="1"/>
      <c r="BI5" s="1"/>
      <c r="BJ5" s="1"/>
      <c r="BK5" s="1"/>
      <c r="BL5" s="1"/>
      <c r="BM5" s="1"/>
      <c r="BN5" s="1"/>
      <c r="BO5" s="1"/>
      <c r="BP5" s="1"/>
      <c r="BQ5" s="1"/>
      <c r="BR5" s="1"/>
      <c r="BS5" s="1"/>
      <c r="BT5" s="1"/>
    </row>
    <row r="6" spans="1:72" ht="19.05" customHeight="1" x14ac:dyDescent="0.35">
      <c r="A6" s="1"/>
      <c r="B6" s="2"/>
      <c r="C6" s="2"/>
      <c r="D6" s="2"/>
      <c r="E6" s="2"/>
      <c r="F6" s="2"/>
      <c r="G6" s="2"/>
      <c r="H6" s="2"/>
      <c r="I6" s="2"/>
      <c r="J6" s="11"/>
      <c r="K6" s="12"/>
      <c r="L6" s="11"/>
      <c r="M6" s="13"/>
      <c r="N6" s="80"/>
      <c r="O6" s="25"/>
      <c r="P6" s="36"/>
      <c r="Q6" s="11"/>
      <c r="R6" s="11"/>
      <c r="S6" s="11"/>
      <c r="T6" s="3"/>
      <c r="U6" s="3"/>
      <c r="V6" s="3"/>
      <c r="W6" s="11"/>
      <c r="X6" s="37"/>
      <c r="Y6" s="30" t="s">
        <v>42</v>
      </c>
      <c r="Z6" s="2"/>
      <c r="AA6" s="2"/>
      <c r="AB6" s="2"/>
      <c r="AC6" s="2"/>
      <c r="AD6" s="2"/>
      <c r="AE6" s="2"/>
      <c r="AF6" s="2"/>
      <c r="AG6" s="2"/>
      <c r="AH6" s="2"/>
      <c r="AI6" s="2"/>
      <c r="AJ6" s="2"/>
      <c r="AK6" s="2"/>
      <c r="AL6" s="2"/>
      <c r="AM6" s="2"/>
      <c r="AN6" s="2"/>
      <c r="AO6" s="2"/>
      <c r="AP6" s="2"/>
      <c r="AQ6" s="2"/>
      <c r="AR6" s="2"/>
      <c r="AS6" s="31"/>
      <c r="AT6" s="31"/>
      <c r="AU6" s="31"/>
      <c r="AV6" s="31"/>
      <c r="AW6" s="31"/>
      <c r="AX6" s="31"/>
      <c r="AY6" s="31"/>
      <c r="AZ6" s="31"/>
      <c r="BA6" s="31"/>
      <c r="BB6" s="31"/>
      <c r="BC6" s="1"/>
      <c r="BD6" s="1"/>
      <c r="BE6" s="1"/>
      <c r="BF6" s="1"/>
      <c r="BG6" s="1"/>
      <c r="BH6" s="1"/>
      <c r="BI6" s="1"/>
      <c r="BJ6" s="1"/>
      <c r="BK6" s="1"/>
      <c r="BL6" s="1"/>
      <c r="BM6" s="1"/>
      <c r="BN6" s="1"/>
      <c r="BO6" s="1"/>
      <c r="BP6" s="1"/>
      <c r="BQ6" s="1"/>
      <c r="BR6" s="1"/>
      <c r="BS6" s="1"/>
      <c r="BT6" s="1"/>
    </row>
    <row r="7" spans="1:72" ht="19.05" customHeight="1" x14ac:dyDescent="0.35">
      <c r="A7" s="38"/>
      <c r="B7" s="39"/>
      <c r="C7" s="39"/>
      <c r="D7" s="39"/>
      <c r="E7" s="39"/>
      <c r="F7" s="39"/>
      <c r="G7" s="39"/>
      <c r="H7" s="39"/>
      <c r="I7" s="39"/>
      <c r="J7" s="35"/>
      <c r="K7" s="35"/>
      <c r="L7" s="35"/>
      <c r="M7" s="40" t="s">
        <v>2</v>
      </c>
      <c r="N7" s="41"/>
      <c r="O7" s="35" t="s">
        <v>3</v>
      </c>
      <c r="P7" s="329" t="s">
        <v>4</v>
      </c>
      <c r="Q7" s="329"/>
      <c r="R7" s="330" t="s">
        <v>5</v>
      </c>
      <c r="S7" s="330"/>
      <c r="T7" s="330"/>
      <c r="U7" s="330"/>
      <c r="V7" s="42"/>
      <c r="W7" s="43" t="s">
        <v>6</v>
      </c>
      <c r="X7" s="44">
        <v>3.5000000000000003E-2</v>
      </c>
      <c r="Y7" s="45">
        <v>3.5000000000000003E-2</v>
      </c>
      <c r="Z7" s="45">
        <v>3.5000000000000003E-2</v>
      </c>
      <c r="AA7" s="45">
        <v>3.5000000000000003E-2</v>
      </c>
      <c r="AB7" s="45">
        <v>3.5000000000000003E-2</v>
      </c>
      <c r="AC7" s="45">
        <v>3.5000000000000003E-2</v>
      </c>
      <c r="AD7" s="45">
        <v>3.5000000000000003E-2</v>
      </c>
      <c r="AE7" s="45">
        <v>3.5000000000000003E-2</v>
      </c>
      <c r="AF7" s="45">
        <v>3.5000000000000003E-2</v>
      </c>
      <c r="AG7" s="45">
        <v>3.5000000000000003E-2</v>
      </c>
      <c r="AH7" s="45">
        <v>3.5000000000000003E-2</v>
      </c>
      <c r="AI7" s="45">
        <v>3.5000000000000003E-2</v>
      </c>
      <c r="AJ7" s="45">
        <v>3.5000000000000003E-2</v>
      </c>
      <c r="AK7" s="45">
        <v>3.5000000000000003E-2</v>
      </c>
      <c r="AL7" s="45">
        <v>3.5000000000000003E-2</v>
      </c>
      <c r="AM7" s="45">
        <v>3.5000000000000003E-2</v>
      </c>
      <c r="AN7" s="45">
        <v>3.5000000000000003E-2</v>
      </c>
      <c r="AO7" s="45">
        <v>3.5000000000000003E-2</v>
      </c>
      <c r="AP7" s="45">
        <v>3.5000000000000003E-2</v>
      </c>
      <c r="AQ7" s="45">
        <v>3.5000000000000003E-2</v>
      </c>
      <c r="AR7" s="45">
        <v>3.5000000000000003E-2</v>
      </c>
      <c r="AS7" s="45">
        <v>3.5000000000000003E-2</v>
      </c>
      <c r="AT7" s="45">
        <v>3.5000000000000003E-2</v>
      </c>
      <c r="AU7" s="45">
        <v>3.5000000000000003E-2</v>
      </c>
      <c r="AV7" s="45">
        <v>3.5000000000000003E-2</v>
      </c>
      <c r="AW7" s="45">
        <v>3.5000000000000003E-2</v>
      </c>
      <c r="AX7" s="45">
        <v>3.5000000000000003E-2</v>
      </c>
      <c r="AY7" s="45">
        <v>3.5000000000000003E-2</v>
      </c>
      <c r="AZ7" s="45">
        <v>3.5000000000000003E-2</v>
      </c>
      <c r="BA7" s="45">
        <v>3.5000000000000003E-2</v>
      </c>
      <c r="BB7" s="45">
        <v>3.5000000000000003E-2</v>
      </c>
      <c r="BC7" s="46"/>
      <c r="BD7" s="46"/>
      <c r="BE7" s="46"/>
      <c r="BF7" s="46"/>
      <c r="BG7" s="46"/>
      <c r="BH7" s="46"/>
      <c r="BI7" s="46"/>
      <c r="BJ7" s="46"/>
      <c r="BK7" s="46"/>
      <c r="BL7" s="46"/>
      <c r="BM7" s="46"/>
      <c r="BN7" s="46"/>
      <c r="BO7" s="46"/>
      <c r="BP7" s="46"/>
      <c r="BQ7" s="46"/>
      <c r="BR7" s="46"/>
      <c r="BS7" s="46"/>
      <c r="BT7" s="46"/>
    </row>
    <row r="8" spans="1:72" ht="19.05" customHeight="1" x14ac:dyDescent="0.35">
      <c r="A8" s="38"/>
      <c r="B8" s="47" t="s">
        <v>7</v>
      </c>
      <c r="C8" s="48" t="s">
        <v>8</v>
      </c>
      <c r="D8" s="49" t="s">
        <v>9</v>
      </c>
      <c r="E8" s="49" t="s">
        <v>10</v>
      </c>
      <c r="F8" s="50" t="s">
        <v>11</v>
      </c>
      <c r="G8" s="51" t="s">
        <v>12</v>
      </c>
      <c r="H8" s="52" t="s">
        <v>13</v>
      </c>
      <c r="I8" s="52"/>
      <c r="J8" s="35" t="s">
        <v>14</v>
      </c>
      <c r="K8" s="39" t="s">
        <v>15</v>
      </c>
      <c r="L8" s="35" t="s">
        <v>16</v>
      </c>
      <c r="M8" s="35"/>
      <c r="N8" s="35"/>
      <c r="O8" s="35" t="s">
        <v>17</v>
      </c>
      <c r="P8" s="331" t="s">
        <v>18</v>
      </c>
      <c r="Q8" s="331"/>
      <c r="R8" s="35" t="s">
        <v>19</v>
      </c>
      <c r="S8" s="35" t="s">
        <v>6</v>
      </c>
      <c r="T8" s="35" t="s">
        <v>16</v>
      </c>
      <c r="U8" s="35" t="s">
        <v>15</v>
      </c>
      <c r="V8" s="35" t="s">
        <v>20</v>
      </c>
      <c r="W8" s="35" t="s">
        <v>21</v>
      </c>
      <c r="X8" s="53">
        <v>0</v>
      </c>
      <c r="Y8" s="54">
        <v>1</v>
      </c>
      <c r="Z8" s="54">
        <v>2</v>
      </c>
      <c r="AA8" s="54">
        <v>3</v>
      </c>
      <c r="AB8" s="54">
        <v>4</v>
      </c>
      <c r="AC8" s="54">
        <v>5</v>
      </c>
      <c r="AD8" s="54">
        <v>6</v>
      </c>
      <c r="AE8" s="54">
        <v>7</v>
      </c>
      <c r="AF8" s="54">
        <v>8</v>
      </c>
      <c r="AG8" s="54">
        <v>9</v>
      </c>
      <c r="AH8" s="54">
        <v>10</v>
      </c>
      <c r="AI8" s="54">
        <v>11</v>
      </c>
      <c r="AJ8" s="54">
        <v>12</v>
      </c>
      <c r="AK8" s="54">
        <v>13</v>
      </c>
      <c r="AL8" s="54">
        <v>14</v>
      </c>
      <c r="AM8" s="54">
        <v>15</v>
      </c>
      <c r="AN8" s="54">
        <v>16</v>
      </c>
      <c r="AO8" s="54">
        <v>17</v>
      </c>
      <c r="AP8" s="54">
        <v>18</v>
      </c>
      <c r="AQ8" s="54">
        <v>19</v>
      </c>
      <c r="AR8" s="54">
        <v>20</v>
      </c>
      <c r="AS8" s="55">
        <v>21</v>
      </c>
      <c r="AT8" s="55">
        <v>22</v>
      </c>
      <c r="AU8" s="55">
        <v>23</v>
      </c>
      <c r="AV8" s="55">
        <v>24</v>
      </c>
      <c r="AW8" s="55">
        <v>25</v>
      </c>
      <c r="AX8" s="55">
        <v>26</v>
      </c>
      <c r="AY8" s="55">
        <v>27</v>
      </c>
      <c r="AZ8" s="55">
        <v>28</v>
      </c>
      <c r="BA8" s="55">
        <v>29</v>
      </c>
      <c r="BB8" s="55">
        <v>30</v>
      </c>
      <c r="BC8" s="56"/>
      <c r="BD8" s="56"/>
      <c r="BE8" s="56"/>
      <c r="BF8" s="56"/>
      <c r="BG8" s="56"/>
      <c r="BH8" s="56"/>
      <c r="BI8" s="56"/>
      <c r="BJ8" s="56"/>
      <c r="BK8" s="56"/>
      <c r="BL8" s="56"/>
      <c r="BM8" s="56"/>
      <c r="BN8" s="56"/>
      <c r="BO8" s="56"/>
      <c r="BP8" s="56"/>
      <c r="BQ8" s="56"/>
      <c r="BR8" s="56"/>
      <c r="BS8" s="56"/>
      <c r="BT8" s="56"/>
    </row>
    <row r="9" spans="1:72" ht="19.05" customHeight="1" x14ac:dyDescent="0.35">
      <c r="A9" s="38"/>
      <c r="B9" s="47" t="s">
        <v>22</v>
      </c>
      <c r="C9" s="48" t="s">
        <v>23</v>
      </c>
      <c r="D9" s="49" t="s">
        <v>24</v>
      </c>
      <c r="E9" s="49" t="s">
        <v>16</v>
      </c>
      <c r="F9" s="50" t="s">
        <v>25</v>
      </c>
      <c r="G9" s="51" t="s">
        <v>26</v>
      </c>
      <c r="H9" s="52" t="s">
        <v>27</v>
      </c>
      <c r="I9" s="52"/>
      <c r="J9" s="35" t="s">
        <v>28</v>
      </c>
      <c r="K9" s="35" t="s">
        <v>22</v>
      </c>
      <c r="L9" s="35" t="s">
        <v>22</v>
      </c>
      <c r="M9" s="35" t="s">
        <v>29</v>
      </c>
      <c r="N9" s="35" t="s">
        <v>156</v>
      </c>
      <c r="O9" s="35" t="s">
        <v>30</v>
      </c>
      <c r="P9" s="41" t="s">
        <v>12</v>
      </c>
      <c r="Q9" s="41" t="s">
        <v>31</v>
      </c>
      <c r="R9" s="35" t="s">
        <v>32</v>
      </c>
      <c r="S9" s="35" t="s">
        <v>33</v>
      </c>
      <c r="T9" s="35" t="s">
        <v>32</v>
      </c>
      <c r="U9" s="35" t="s">
        <v>32</v>
      </c>
      <c r="V9" s="35" t="s">
        <v>34</v>
      </c>
      <c r="W9" s="35" t="s">
        <v>35</v>
      </c>
      <c r="X9" s="57">
        <v>2023</v>
      </c>
      <c r="Y9" s="54">
        <v>2024</v>
      </c>
      <c r="Z9" s="54">
        <v>2025</v>
      </c>
      <c r="AA9" s="54">
        <v>2026</v>
      </c>
      <c r="AB9" s="54">
        <v>2027</v>
      </c>
      <c r="AC9" s="54">
        <v>2028</v>
      </c>
      <c r="AD9" s="54">
        <v>2029</v>
      </c>
      <c r="AE9" s="54">
        <v>2030</v>
      </c>
      <c r="AF9" s="54">
        <v>2031</v>
      </c>
      <c r="AG9" s="54">
        <v>2032</v>
      </c>
      <c r="AH9" s="54">
        <v>2033</v>
      </c>
      <c r="AI9" s="54">
        <v>2034</v>
      </c>
      <c r="AJ9" s="54">
        <v>2035</v>
      </c>
      <c r="AK9" s="54">
        <v>2036</v>
      </c>
      <c r="AL9" s="54">
        <v>2037</v>
      </c>
      <c r="AM9" s="54">
        <v>2038</v>
      </c>
      <c r="AN9" s="54">
        <v>2039</v>
      </c>
      <c r="AO9" s="54">
        <v>2040</v>
      </c>
      <c r="AP9" s="54">
        <v>2041</v>
      </c>
      <c r="AQ9" s="54">
        <v>2042</v>
      </c>
      <c r="AR9" s="54">
        <v>2043</v>
      </c>
      <c r="AS9" s="54">
        <v>2044</v>
      </c>
      <c r="AT9" s="54">
        <v>2045</v>
      </c>
      <c r="AU9" s="54">
        <v>2046</v>
      </c>
      <c r="AV9" s="54">
        <v>2047</v>
      </c>
      <c r="AW9" s="54">
        <v>2048</v>
      </c>
      <c r="AX9" s="54">
        <v>2049</v>
      </c>
      <c r="AY9" s="54">
        <v>2050</v>
      </c>
      <c r="AZ9" s="54">
        <v>2051</v>
      </c>
      <c r="BA9" s="54">
        <v>2052</v>
      </c>
      <c r="BB9" s="54">
        <v>2053</v>
      </c>
      <c r="BC9" s="56"/>
      <c r="BD9" s="56"/>
      <c r="BE9" s="56"/>
      <c r="BF9" s="56"/>
      <c r="BG9" s="56"/>
      <c r="BH9" s="56"/>
      <c r="BI9" s="56"/>
      <c r="BJ9" s="56"/>
      <c r="BK9" s="56"/>
      <c r="BL9" s="56"/>
      <c r="BM9" s="56"/>
      <c r="BN9" s="56"/>
      <c r="BO9" s="56"/>
      <c r="BP9" s="56"/>
      <c r="BQ9" s="56"/>
      <c r="BR9" s="56"/>
      <c r="BS9" s="56"/>
      <c r="BT9" s="56"/>
    </row>
    <row r="10" spans="1:72" ht="10.050000000000001" customHeight="1" x14ac:dyDescent="0.35">
      <c r="A10" s="58"/>
      <c r="B10" s="59"/>
      <c r="C10" s="59"/>
      <c r="D10" s="59" t="s">
        <v>36</v>
      </c>
      <c r="E10" s="59" t="s">
        <v>36</v>
      </c>
      <c r="F10" s="59" t="s">
        <v>36</v>
      </c>
      <c r="G10" s="59" t="s">
        <v>36</v>
      </c>
      <c r="H10" s="59"/>
      <c r="I10" s="59"/>
      <c r="J10" s="59" t="s">
        <v>36</v>
      </c>
      <c r="K10" s="59"/>
      <c r="L10" s="59" t="s">
        <v>36</v>
      </c>
      <c r="M10" s="59" t="s">
        <v>36</v>
      </c>
      <c r="N10" s="59" t="s">
        <v>36</v>
      </c>
      <c r="O10" s="59" t="s">
        <v>36</v>
      </c>
      <c r="P10" s="59" t="s">
        <v>36</v>
      </c>
      <c r="Q10" s="59" t="s">
        <v>36</v>
      </c>
      <c r="R10" s="59" t="s">
        <v>36</v>
      </c>
      <c r="S10" s="59" t="s">
        <v>36</v>
      </c>
      <c r="T10" s="59" t="s">
        <v>36</v>
      </c>
      <c r="U10" s="59" t="s">
        <v>36</v>
      </c>
      <c r="V10" s="59" t="s">
        <v>36</v>
      </c>
      <c r="W10" s="60" t="s">
        <v>36</v>
      </c>
      <c r="X10" s="59" t="s">
        <v>36</v>
      </c>
      <c r="Y10" s="59" t="s">
        <v>36</v>
      </c>
      <c r="Z10" s="59" t="s">
        <v>36</v>
      </c>
      <c r="AA10" s="59" t="s">
        <v>36</v>
      </c>
      <c r="AB10" s="59" t="s">
        <v>36</v>
      </c>
      <c r="AC10" s="59" t="s">
        <v>36</v>
      </c>
      <c r="AD10" s="59" t="s">
        <v>36</v>
      </c>
      <c r="AE10" s="59" t="s">
        <v>36</v>
      </c>
      <c r="AF10" s="59" t="s">
        <v>36</v>
      </c>
      <c r="AG10" s="59" t="s">
        <v>36</v>
      </c>
      <c r="AH10" s="59" t="s">
        <v>36</v>
      </c>
      <c r="AI10" s="59" t="s">
        <v>36</v>
      </c>
      <c r="AJ10" s="59" t="s">
        <v>36</v>
      </c>
      <c r="AK10" s="59" t="s">
        <v>36</v>
      </c>
      <c r="AL10" s="59" t="s">
        <v>36</v>
      </c>
      <c r="AM10" s="59" t="s">
        <v>36</v>
      </c>
      <c r="AN10" s="59" t="s">
        <v>36</v>
      </c>
      <c r="AO10" s="59" t="s">
        <v>36</v>
      </c>
      <c r="AP10" s="59" t="s">
        <v>36</v>
      </c>
      <c r="AQ10" s="59" t="s">
        <v>36</v>
      </c>
      <c r="AR10" s="59" t="s">
        <v>36</v>
      </c>
      <c r="AS10" s="59" t="s">
        <v>36</v>
      </c>
      <c r="AT10" s="59" t="s">
        <v>36</v>
      </c>
      <c r="AU10" s="59" t="s">
        <v>36</v>
      </c>
      <c r="AV10" s="59" t="s">
        <v>36</v>
      </c>
      <c r="AW10" s="59" t="s">
        <v>36</v>
      </c>
      <c r="AX10" s="59" t="s">
        <v>36</v>
      </c>
      <c r="AY10" s="59" t="s">
        <v>36</v>
      </c>
      <c r="AZ10" s="59" t="s">
        <v>36</v>
      </c>
      <c r="BA10" s="59" t="s">
        <v>36</v>
      </c>
      <c r="BB10" s="59" t="s">
        <v>36</v>
      </c>
      <c r="BC10" s="61"/>
      <c r="BD10" s="61"/>
      <c r="BE10" s="61"/>
      <c r="BF10" s="61"/>
      <c r="BG10" s="61"/>
      <c r="BH10" s="61"/>
      <c r="BI10" s="61"/>
      <c r="BJ10" s="61"/>
      <c r="BK10" s="61"/>
      <c r="BL10" s="61"/>
      <c r="BM10" s="61"/>
      <c r="BN10" s="61"/>
      <c r="BO10" s="61"/>
      <c r="BP10" s="61"/>
      <c r="BQ10" s="61"/>
      <c r="BR10" s="61"/>
      <c r="BS10" s="61"/>
      <c r="BT10" s="61"/>
    </row>
    <row r="11" spans="1:72" s="1" customFormat="1" ht="40.049999999999997" customHeight="1" x14ac:dyDescent="0.35">
      <c r="A11" s="62"/>
      <c r="B11" s="63"/>
      <c r="C11" s="64"/>
      <c r="D11" s="62"/>
      <c r="E11" s="62"/>
      <c r="F11" s="65"/>
      <c r="G11" s="65"/>
      <c r="H11" s="66"/>
      <c r="I11" s="66"/>
      <c r="J11" s="67"/>
      <c r="K11" s="68"/>
      <c r="L11" s="61"/>
      <c r="M11" s="61"/>
      <c r="N11" s="69" t="s">
        <v>37</v>
      </c>
      <c r="O11" s="62"/>
      <c r="P11" s="65"/>
      <c r="Q11" s="62"/>
      <c r="R11" s="70"/>
      <c r="S11" s="71"/>
      <c r="T11" s="61"/>
      <c r="U11" s="61"/>
      <c r="V11" s="68"/>
      <c r="W11" s="72"/>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row>
    <row r="12" spans="1:72" s="1" customFormat="1" ht="40.049999999999997" customHeight="1" x14ac:dyDescent="0.35">
      <c r="A12" s="62"/>
      <c r="B12" s="63">
        <v>1</v>
      </c>
      <c r="C12" s="64">
        <v>1</v>
      </c>
      <c r="D12" s="62">
        <v>1</v>
      </c>
      <c r="E12" s="62">
        <v>1</v>
      </c>
      <c r="F12" s="65">
        <v>2041</v>
      </c>
      <c r="G12" s="65">
        <v>30</v>
      </c>
      <c r="H12" s="66">
        <v>0.01</v>
      </c>
      <c r="I12" s="66"/>
      <c r="J12" s="67">
        <v>1.0409999999999999</v>
      </c>
      <c r="K12" s="68">
        <v>154</v>
      </c>
      <c r="L12" s="73">
        <v>154</v>
      </c>
      <c r="M12" s="61" t="s">
        <v>38</v>
      </c>
      <c r="N12" s="61" t="s">
        <v>39</v>
      </c>
      <c r="O12" s="62">
        <v>2041</v>
      </c>
      <c r="P12" s="65" t="s">
        <v>40</v>
      </c>
      <c r="Q12" s="62" t="s">
        <v>41</v>
      </c>
      <c r="R12" s="70">
        <v>900</v>
      </c>
      <c r="S12" s="71">
        <v>1</v>
      </c>
      <c r="T12" s="73">
        <v>138600</v>
      </c>
      <c r="U12" s="73">
        <v>138600</v>
      </c>
      <c r="V12" s="68">
        <f>SUM(Y12:BB12)</f>
        <v>257448</v>
      </c>
      <c r="W12" s="72">
        <v>1.0098927897017359E-2</v>
      </c>
      <c r="X12" s="74" t="s">
        <v>42</v>
      </c>
      <c r="Y12" s="74" t="s">
        <v>42</v>
      </c>
      <c r="Z12" s="74" t="s">
        <v>42</v>
      </c>
      <c r="AA12" s="74" t="s">
        <v>42</v>
      </c>
      <c r="AB12" s="74" t="s">
        <v>42</v>
      </c>
      <c r="AC12" s="74" t="s">
        <v>42</v>
      </c>
      <c r="AD12" s="74" t="s">
        <v>42</v>
      </c>
      <c r="AE12" s="74" t="s">
        <v>42</v>
      </c>
      <c r="AF12" s="74" t="s">
        <v>42</v>
      </c>
      <c r="AG12" s="74" t="s">
        <v>42</v>
      </c>
      <c r="AH12" s="74" t="s">
        <v>42</v>
      </c>
      <c r="AI12" s="74" t="s">
        <v>42</v>
      </c>
      <c r="AJ12" s="74" t="s">
        <v>42</v>
      </c>
      <c r="AK12" s="74" t="s">
        <v>42</v>
      </c>
      <c r="AL12" s="74" t="s">
        <v>42</v>
      </c>
      <c r="AM12" s="74" t="s">
        <v>42</v>
      </c>
      <c r="AN12" s="74" t="s">
        <v>42</v>
      </c>
      <c r="AO12" s="74" t="s">
        <v>42</v>
      </c>
      <c r="AP12" s="74">
        <v>257448</v>
      </c>
      <c r="AQ12" s="74" t="s">
        <v>42</v>
      </c>
      <c r="AR12" s="74" t="s">
        <v>42</v>
      </c>
      <c r="AS12" s="74" t="s">
        <v>42</v>
      </c>
      <c r="AT12" s="74" t="s">
        <v>42</v>
      </c>
      <c r="AU12" s="74" t="s">
        <v>42</v>
      </c>
      <c r="AV12" s="74" t="s">
        <v>42</v>
      </c>
      <c r="AW12" s="74" t="s">
        <v>42</v>
      </c>
      <c r="AX12" s="74" t="s">
        <v>42</v>
      </c>
      <c r="AY12" s="74" t="s">
        <v>42</v>
      </c>
      <c r="AZ12" s="74" t="s">
        <v>42</v>
      </c>
      <c r="BA12" s="74" t="s">
        <v>42</v>
      </c>
      <c r="BB12" s="74" t="s">
        <v>42</v>
      </c>
    </row>
    <row r="13" spans="1:72" s="1" customFormat="1" ht="40.049999999999997" customHeight="1" x14ac:dyDescent="0.35">
      <c r="A13" s="62"/>
      <c r="B13" s="63">
        <v>1</v>
      </c>
      <c r="C13" s="64">
        <v>1</v>
      </c>
      <c r="D13" s="62">
        <v>1</v>
      </c>
      <c r="E13" s="62">
        <v>1</v>
      </c>
      <c r="F13" s="65">
        <v>2028</v>
      </c>
      <c r="G13" s="65">
        <v>8</v>
      </c>
      <c r="H13" s="66">
        <v>0.01</v>
      </c>
      <c r="I13" s="66"/>
      <c r="J13" s="67">
        <v>1.06</v>
      </c>
      <c r="K13" s="68">
        <v>8100</v>
      </c>
      <c r="L13" s="73">
        <v>8100</v>
      </c>
      <c r="M13" s="61" t="s">
        <v>43</v>
      </c>
      <c r="N13" s="61" t="s">
        <v>44</v>
      </c>
      <c r="O13" s="62">
        <v>2028</v>
      </c>
      <c r="P13" s="65" t="s">
        <v>45</v>
      </c>
      <c r="Q13" s="62" t="s">
        <v>46</v>
      </c>
      <c r="R13" s="70">
        <v>16</v>
      </c>
      <c r="S13" s="71">
        <v>1</v>
      </c>
      <c r="T13" s="73">
        <v>129600</v>
      </c>
      <c r="U13" s="73">
        <v>129600</v>
      </c>
      <c r="V13" s="68">
        <f t="shared" ref="V13:V67" si="0">SUM(Y13:BB13)</f>
        <v>974974</v>
      </c>
      <c r="W13" s="72">
        <v>3.8245362665340586E-2</v>
      </c>
      <c r="X13" s="74" t="s">
        <v>42</v>
      </c>
      <c r="Y13" s="74" t="s">
        <v>42</v>
      </c>
      <c r="Z13" s="74" t="s">
        <v>42</v>
      </c>
      <c r="AA13" s="74" t="s">
        <v>42</v>
      </c>
      <c r="AB13" s="74" t="s">
        <v>42</v>
      </c>
      <c r="AC13" s="74">
        <v>153924</v>
      </c>
      <c r="AD13" s="74" t="s">
        <v>42</v>
      </c>
      <c r="AE13" s="74" t="s">
        <v>42</v>
      </c>
      <c r="AF13" s="74" t="s">
        <v>42</v>
      </c>
      <c r="AG13" s="74" t="s">
        <v>42</v>
      </c>
      <c r="AH13" s="74" t="s">
        <v>42</v>
      </c>
      <c r="AI13" s="74" t="s">
        <v>42</v>
      </c>
      <c r="AJ13" s="74" t="s">
        <v>42</v>
      </c>
      <c r="AK13" s="74">
        <v>202689</v>
      </c>
      <c r="AL13" s="74" t="s">
        <v>42</v>
      </c>
      <c r="AM13" s="74" t="s">
        <v>42</v>
      </c>
      <c r="AN13" s="74" t="s">
        <v>42</v>
      </c>
      <c r="AO13" s="74" t="s">
        <v>42</v>
      </c>
      <c r="AP13" s="74" t="s">
        <v>42</v>
      </c>
      <c r="AQ13" s="74" t="s">
        <v>42</v>
      </c>
      <c r="AR13" s="74" t="s">
        <v>42</v>
      </c>
      <c r="AS13" s="74">
        <v>266902</v>
      </c>
      <c r="AT13" s="74" t="s">
        <v>42</v>
      </c>
      <c r="AU13" s="74" t="s">
        <v>42</v>
      </c>
      <c r="AV13" s="74" t="s">
        <v>42</v>
      </c>
      <c r="AW13" s="74" t="s">
        <v>42</v>
      </c>
      <c r="AX13" s="74" t="s">
        <v>42</v>
      </c>
      <c r="AY13" s="74" t="s">
        <v>42</v>
      </c>
      <c r="AZ13" s="74" t="s">
        <v>42</v>
      </c>
      <c r="BA13" s="74">
        <v>351459</v>
      </c>
      <c r="BB13" s="74" t="s">
        <v>42</v>
      </c>
    </row>
    <row r="14" spans="1:72" s="1" customFormat="1" ht="40.049999999999997" customHeight="1" x14ac:dyDescent="0.35">
      <c r="A14" s="62"/>
      <c r="B14" s="63">
        <v>1</v>
      </c>
      <c r="C14" s="64">
        <v>1</v>
      </c>
      <c r="D14" s="62">
        <v>1</v>
      </c>
      <c r="E14" s="62">
        <v>1</v>
      </c>
      <c r="F14" s="65">
        <v>2041</v>
      </c>
      <c r="G14" s="65">
        <v>30</v>
      </c>
      <c r="H14" s="66">
        <v>0.01</v>
      </c>
      <c r="I14" s="66"/>
      <c r="J14" s="67">
        <v>1.0609999999999999</v>
      </c>
      <c r="K14" s="68">
        <v>4500</v>
      </c>
      <c r="L14" s="73">
        <v>4500</v>
      </c>
      <c r="M14" s="61" t="s">
        <v>47</v>
      </c>
      <c r="N14" s="61" t="s">
        <v>48</v>
      </c>
      <c r="O14" s="62">
        <v>2041</v>
      </c>
      <c r="P14" s="65" t="s">
        <v>40</v>
      </c>
      <c r="Q14" s="62" t="s">
        <v>41</v>
      </c>
      <c r="R14" s="70">
        <v>80</v>
      </c>
      <c r="S14" s="71">
        <v>1</v>
      </c>
      <c r="T14" s="73">
        <v>360000</v>
      </c>
      <c r="U14" s="73">
        <v>360000</v>
      </c>
      <c r="V14" s="68">
        <f t="shared" si="0"/>
        <v>668696</v>
      </c>
      <c r="W14" s="72">
        <v>2.6230977475155837E-2</v>
      </c>
      <c r="X14" s="74" t="s">
        <v>42</v>
      </c>
      <c r="Y14" s="74" t="s">
        <v>42</v>
      </c>
      <c r="Z14" s="74" t="s">
        <v>42</v>
      </c>
      <c r="AA14" s="74" t="s">
        <v>42</v>
      </c>
      <c r="AB14" s="74" t="s">
        <v>42</v>
      </c>
      <c r="AC14" s="74" t="s">
        <v>42</v>
      </c>
      <c r="AD14" s="74" t="s">
        <v>42</v>
      </c>
      <c r="AE14" s="74" t="s">
        <v>42</v>
      </c>
      <c r="AF14" s="74" t="s">
        <v>42</v>
      </c>
      <c r="AG14" s="74" t="s">
        <v>42</v>
      </c>
      <c r="AH14" s="74" t="s">
        <v>42</v>
      </c>
      <c r="AI14" s="74" t="s">
        <v>42</v>
      </c>
      <c r="AJ14" s="74" t="s">
        <v>42</v>
      </c>
      <c r="AK14" s="74" t="s">
        <v>42</v>
      </c>
      <c r="AL14" s="74" t="s">
        <v>42</v>
      </c>
      <c r="AM14" s="74" t="s">
        <v>42</v>
      </c>
      <c r="AN14" s="74" t="s">
        <v>42</v>
      </c>
      <c r="AO14" s="74" t="s">
        <v>42</v>
      </c>
      <c r="AP14" s="74">
        <v>668696</v>
      </c>
      <c r="AQ14" s="74" t="s">
        <v>42</v>
      </c>
      <c r="AR14" s="74" t="s">
        <v>42</v>
      </c>
      <c r="AS14" s="74" t="s">
        <v>42</v>
      </c>
      <c r="AT14" s="74" t="s">
        <v>42</v>
      </c>
      <c r="AU14" s="74" t="s">
        <v>42</v>
      </c>
      <c r="AV14" s="74" t="s">
        <v>42</v>
      </c>
      <c r="AW14" s="74" t="s">
        <v>42</v>
      </c>
      <c r="AX14" s="74" t="s">
        <v>42</v>
      </c>
      <c r="AY14" s="74" t="s">
        <v>42</v>
      </c>
      <c r="AZ14" s="74" t="s">
        <v>42</v>
      </c>
      <c r="BA14" s="74" t="s">
        <v>42</v>
      </c>
      <c r="BB14" s="74" t="s">
        <v>42</v>
      </c>
    </row>
    <row r="15" spans="1:72" s="1" customFormat="1" ht="40.049999999999997" customHeight="1" x14ac:dyDescent="0.35">
      <c r="A15" s="62"/>
      <c r="B15" s="63">
        <v>1</v>
      </c>
      <c r="C15" s="64">
        <v>1</v>
      </c>
      <c r="D15" s="62">
        <v>1</v>
      </c>
      <c r="E15" s="62">
        <v>1</v>
      </c>
      <c r="F15" s="65">
        <v>2036</v>
      </c>
      <c r="G15" s="65">
        <v>25</v>
      </c>
      <c r="H15" s="66">
        <v>0.01</v>
      </c>
      <c r="I15" s="66"/>
      <c r="J15" s="67">
        <v>1.103</v>
      </c>
      <c r="K15" s="68">
        <v>600</v>
      </c>
      <c r="L15" s="73">
        <v>600</v>
      </c>
      <c r="M15" s="61" t="s">
        <v>49</v>
      </c>
      <c r="N15" s="61" t="s">
        <v>50</v>
      </c>
      <c r="O15" s="62">
        <v>2036</v>
      </c>
      <c r="P15" s="65" t="s">
        <v>51</v>
      </c>
      <c r="Q15" s="62" t="s">
        <v>52</v>
      </c>
      <c r="R15" s="70">
        <v>90</v>
      </c>
      <c r="S15" s="71">
        <v>1</v>
      </c>
      <c r="T15" s="73">
        <v>54000</v>
      </c>
      <c r="U15" s="73">
        <v>54000</v>
      </c>
      <c r="V15" s="68">
        <f t="shared" si="0"/>
        <v>84454</v>
      </c>
      <c r="W15" s="72">
        <v>3.3128820445864952E-3</v>
      </c>
      <c r="X15" s="74" t="s">
        <v>42</v>
      </c>
      <c r="Y15" s="74" t="s">
        <v>42</v>
      </c>
      <c r="Z15" s="74" t="s">
        <v>42</v>
      </c>
      <c r="AA15" s="74" t="s">
        <v>42</v>
      </c>
      <c r="AB15" s="74" t="s">
        <v>42</v>
      </c>
      <c r="AC15" s="74" t="s">
        <v>42</v>
      </c>
      <c r="AD15" s="74" t="s">
        <v>42</v>
      </c>
      <c r="AE15" s="74" t="s">
        <v>42</v>
      </c>
      <c r="AF15" s="74" t="s">
        <v>42</v>
      </c>
      <c r="AG15" s="74" t="s">
        <v>42</v>
      </c>
      <c r="AH15" s="74" t="s">
        <v>42</v>
      </c>
      <c r="AI15" s="74" t="s">
        <v>42</v>
      </c>
      <c r="AJ15" s="74" t="s">
        <v>42</v>
      </c>
      <c r="AK15" s="74">
        <v>84454</v>
      </c>
      <c r="AL15" s="74" t="s">
        <v>42</v>
      </c>
      <c r="AM15" s="74" t="s">
        <v>42</v>
      </c>
      <c r="AN15" s="74" t="s">
        <v>42</v>
      </c>
      <c r="AO15" s="74" t="s">
        <v>42</v>
      </c>
      <c r="AP15" s="74" t="s">
        <v>42</v>
      </c>
      <c r="AQ15" s="74" t="s">
        <v>42</v>
      </c>
      <c r="AR15" s="74" t="s">
        <v>42</v>
      </c>
      <c r="AS15" s="74" t="s">
        <v>42</v>
      </c>
      <c r="AT15" s="74" t="s">
        <v>42</v>
      </c>
      <c r="AU15" s="74" t="s">
        <v>42</v>
      </c>
      <c r="AV15" s="74" t="s">
        <v>42</v>
      </c>
      <c r="AW15" s="74" t="s">
        <v>42</v>
      </c>
      <c r="AX15" s="74" t="s">
        <v>42</v>
      </c>
      <c r="AY15" s="74" t="s">
        <v>42</v>
      </c>
      <c r="AZ15" s="74" t="s">
        <v>42</v>
      </c>
      <c r="BA15" s="74" t="s">
        <v>42</v>
      </c>
      <c r="BB15" s="74" t="s">
        <v>42</v>
      </c>
    </row>
    <row r="16" spans="1:72" s="1" customFormat="1" ht="40.049999999999997" customHeight="1" x14ac:dyDescent="0.35">
      <c r="A16" s="62"/>
      <c r="B16" s="63">
        <v>1</v>
      </c>
      <c r="C16" s="64">
        <v>1</v>
      </c>
      <c r="D16" s="62">
        <v>2</v>
      </c>
      <c r="E16" s="62">
        <v>2</v>
      </c>
      <c r="F16" s="65">
        <v>2031</v>
      </c>
      <c r="G16" s="65">
        <v>20</v>
      </c>
      <c r="H16" s="66">
        <v>0.01</v>
      </c>
      <c r="I16" s="66"/>
      <c r="J16" s="67">
        <v>1.24</v>
      </c>
      <c r="K16" s="68">
        <v>3300</v>
      </c>
      <c r="L16" s="73">
        <v>1650</v>
      </c>
      <c r="M16" s="61" t="s">
        <v>47</v>
      </c>
      <c r="N16" s="61" t="s">
        <v>53</v>
      </c>
      <c r="O16" s="62">
        <v>2031</v>
      </c>
      <c r="P16" s="65" t="s">
        <v>54</v>
      </c>
      <c r="Q16" s="62" t="s">
        <v>55</v>
      </c>
      <c r="R16" s="70">
        <v>9.5</v>
      </c>
      <c r="S16" s="71">
        <v>1</v>
      </c>
      <c r="T16" s="73">
        <v>15675</v>
      </c>
      <c r="U16" s="73">
        <v>31350</v>
      </c>
      <c r="V16" s="68">
        <f t="shared" si="0"/>
        <v>125584</v>
      </c>
      <c r="W16" s="72">
        <v>4.9262909831073766E-3</v>
      </c>
      <c r="X16" s="74" t="s">
        <v>42</v>
      </c>
      <c r="Y16" s="74" t="s">
        <v>42</v>
      </c>
      <c r="Z16" s="74" t="s">
        <v>42</v>
      </c>
      <c r="AA16" s="74" t="s">
        <v>42</v>
      </c>
      <c r="AB16" s="74" t="s">
        <v>42</v>
      </c>
      <c r="AC16" s="74" t="s">
        <v>42</v>
      </c>
      <c r="AD16" s="74" t="s">
        <v>42</v>
      </c>
      <c r="AE16" s="74" t="s">
        <v>42</v>
      </c>
      <c r="AF16" s="74">
        <v>20641</v>
      </c>
      <c r="AG16" s="74">
        <v>21363</v>
      </c>
      <c r="AH16" s="74" t="s">
        <v>42</v>
      </c>
      <c r="AI16" s="74" t="s">
        <v>42</v>
      </c>
      <c r="AJ16" s="74" t="s">
        <v>42</v>
      </c>
      <c r="AK16" s="74" t="s">
        <v>42</v>
      </c>
      <c r="AL16" s="74" t="s">
        <v>42</v>
      </c>
      <c r="AM16" s="74" t="s">
        <v>42</v>
      </c>
      <c r="AN16" s="74" t="s">
        <v>42</v>
      </c>
      <c r="AO16" s="74" t="s">
        <v>42</v>
      </c>
      <c r="AP16" s="74" t="s">
        <v>42</v>
      </c>
      <c r="AQ16" s="74" t="s">
        <v>42</v>
      </c>
      <c r="AR16" s="74" t="s">
        <v>42</v>
      </c>
      <c r="AS16" s="74" t="s">
        <v>42</v>
      </c>
      <c r="AT16" s="74" t="s">
        <v>42</v>
      </c>
      <c r="AU16" s="74" t="s">
        <v>42</v>
      </c>
      <c r="AV16" s="74" t="s">
        <v>42</v>
      </c>
      <c r="AW16" s="74" t="s">
        <v>42</v>
      </c>
      <c r="AX16" s="74" t="s">
        <v>42</v>
      </c>
      <c r="AY16" s="74" t="s">
        <v>42</v>
      </c>
      <c r="AZ16" s="74">
        <v>41071</v>
      </c>
      <c r="BA16" s="74">
        <v>42509</v>
      </c>
      <c r="BB16" s="74" t="s">
        <v>42</v>
      </c>
    </row>
    <row r="17" spans="1:54" s="1" customFormat="1" ht="40.049999999999997" customHeight="1" x14ac:dyDescent="0.35">
      <c r="A17" s="62"/>
      <c r="B17" s="63">
        <v>1</v>
      </c>
      <c r="C17" s="64">
        <v>1</v>
      </c>
      <c r="D17" s="62">
        <v>1</v>
      </c>
      <c r="E17" s="62">
        <v>1</v>
      </c>
      <c r="F17" s="65">
        <v>2028</v>
      </c>
      <c r="G17" s="65">
        <v>20</v>
      </c>
      <c r="H17" s="66">
        <v>0.01</v>
      </c>
      <c r="I17" s="66"/>
      <c r="J17" s="67">
        <v>1.26</v>
      </c>
      <c r="K17" s="68">
        <v>102</v>
      </c>
      <c r="L17" s="73">
        <v>102</v>
      </c>
      <c r="M17" s="61" t="s">
        <v>38</v>
      </c>
      <c r="N17" s="61" t="s">
        <v>56</v>
      </c>
      <c r="O17" s="62">
        <v>2028</v>
      </c>
      <c r="P17" s="65" t="s">
        <v>57</v>
      </c>
      <c r="Q17" s="62" t="s">
        <v>46</v>
      </c>
      <c r="R17" s="70">
        <v>500</v>
      </c>
      <c r="S17" s="71">
        <v>1</v>
      </c>
      <c r="T17" s="73">
        <v>51000</v>
      </c>
      <c r="U17" s="73">
        <v>51000</v>
      </c>
      <c r="V17" s="68">
        <f t="shared" si="0"/>
        <v>250525</v>
      </c>
      <c r="W17" s="72">
        <v>7.103902711872505E-3</v>
      </c>
      <c r="X17" s="74" t="s">
        <v>42</v>
      </c>
      <c r="Y17" s="74" t="s">
        <v>42</v>
      </c>
      <c r="Z17" s="75"/>
      <c r="AA17" s="74">
        <v>10000</v>
      </c>
      <c r="AB17" s="74">
        <v>120000</v>
      </c>
      <c r="AC17" s="74"/>
      <c r="AD17" s="74" t="s">
        <v>42</v>
      </c>
      <c r="AE17" s="74" t="s">
        <v>42</v>
      </c>
      <c r="AF17" s="74" t="s">
        <v>42</v>
      </c>
      <c r="AG17" s="74" t="s">
        <v>42</v>
      </c>
      <c r="AH17" s="74" t="s">
        <v>42</v>
      </c>
      <c r="AI17" s="74" t="s">
        <v>42</v>
      </c>
      <c r="AJ17" s="74" t="s">
        <v>42</v>
      </c>
      <c r="AK17" s="74" t="s">
        <v>42</v>
      </c>
      <c r="AL17" s="74" t="s">
        <v>42</v>
      </c>
      <c r="AM17" s="74" t="s">
        <v>42</v>
      </c>
      <c r="AN17" s="74" t="s">
        <v>42</v>
      </c>
      <c r="AO17" s="74" t="s">
        <v>42</v>
      </c>
      <c r="AP17" s="74" t="s">
        <v>42</v>
      </c>
      <c r="AQ17" s="74" t="s">
        <v>42</v>
      </c>
      <c r="AR17" s="74" t="s">
        <v>42</v>
      </c>
      <c r="AS17" s="74" t="s">
        <v>42</v>
      </c>
      <c r="AT17" s="74" t="s">
        <v>42</v>
      </c>
      <c r="AU17" s="74" t="s">
        <v>42</v>
      </c>
      <c r="AV17" s="74" t="s">
        <v>42</v>
      </c>
      <c r="AW17" s="74">
        <v>120525</v>
      </c>
      <c r="AX17" s="74" t="s">
        <v>42</v>
      </c>
      <c r="AY17" s="74" t="s">
        <v>42</v>
      </c>
      <c r="AZ17" s="74" t="s">
        <v>42</v>
      </c>
      <c r="BA17" s="74" t="s">
        <v>42</v>
      </c>
      <c r="BB17" s="74" t="s">
        <v>42</v>
      </c>
    </row>
    <row r="18" spans="1:54" s="1" customFormat="1" ht="40.049999999999997" customHeight="1" x14ac:dyDescent="0.35">
      <c r="A18" s="62"/>
      <c r="B18" s="63">
        <v>1</v>
      </c>
      <c r="C18" s="64">
        <v>1</v>
      </c>
      <c r="D18" s="62">
        <v>1</v>
      </c>
      <c r="E18" s="62">
        <v>1</v>
      </c>
      <c r="F18" s="65">
        <v>2024</v>
      </c>
      <c r="G18" s="65">
        <v>25</v>
      </c>
      <c r="H18" s="66">
        <v>0.01</v>
      </c>
      <c r="I18" s="66"/>
      <c r="J18" s="67">
        <v>1.32</v>
      </c>
      <c r="K18" s="68">
        <v>340</v>
      </c>
      <c r="L18" s="73">
        <v>340</v>
      </c>
      <c r="M18" s="61" t="s">
        <v>58</v>
      </c>
      <c r="N18" s="61" t="s">
        <v>59</v>
      </c>
      <c r="O18" s="62">
        <v>2024</v>
      </c>
      <c r="P18" s="65" t="s">
        <v>60</v>
      </c>
      <c r="Q18" s="62" t="s">
        <v>61</v>
      </c>
      <c r="R18" s="70">
        <v>2400</v>
      </c>
      <c r="S18" s="71">
        <v>1</v>
      </c>
      <c r="T18" s="73">
        <v>816000</v>
      </c>
      <c r="U18" s="73">
        <v>816000</v>
      </c>
      <c r="V18" s="68" t="e">
        <f t="shared" si="0"/>
        <v>#REF!</v>
      </c>
      <c r="W18" s="72">
        <v>0.11038823922559195</v>
      </c>
      <c r="X18" s="74" t="s">
        <v>42</v>
      </c>
      <c r="Y18" s="74" t="e">
        <f>+'[4]Reserve Exp 2024'!U60+'[4]Reserve Exp 2024'!U63-'[4]Budget 2025'!M131</f>
        <v>#REF!</v>
      </c>
      <c r="Z18" s="74" t="s">
        <v>42</v>
      </c>
      <c r="AA18" s="74" t="s">
        <v>42</v>
      </c>
      <c r="AB18" s="74" t="s">
        <v>42</v>
      </c>
      <c r="AC18" s="74" t="s">
        <v>42</v>
      </c>
      <c r="AD18" s="74" t="s">
        <v>42</v>
      </c>
      <c r="AE18" s="74" t="s">
        <v>42</v>
      </c>
      <c r="AF18" s="74" t="s">
        <v>42</v>
      </c>
      <c r="AG18" s="74" t="s">
        <v>42</v>
      </c>
      <c r="AH18" s="74" t="s">
        <v>42</v>
      </c>
      <c r="AI18" s="74" t="s">
        <v>42</v>
      </c>
      <c r="AJ18" s="74" t="s">
        <v>42</v>
      </c>
      <c r="AK18" s="74" t="s">
        <v>42</v>
      </c>
      <c r="AL18" s="74" t="s">
        <v>42</v>
      </c>
      <c r="AM18" s="74" t="s">
        <v>42</v>
      </c>
      <c r="AN18" s="74" t="s">
        <v>42</v>
      </c>
      <c r="AO18" s="74" t="s">
        <v>42</v>
      </c>
      <c r="AP18" s="74" t="s">
        <v>42</v>
      </c>
      <c r="AQ18" s="74" t="s">
        <v>42</v>
      </c>
      <c r="AR18" s="74" t="s">
        <v>42</v>
      </c>
      <c r="AS18" s="74" t="s">
        <v>42</v>
      </c>
      <c r="AT18" s="74" t="s">
        <v>42</v>
      </c>
      <c r="AU18" s="74" t="s">
        <v>42</v>
      </c>
      <c r="AV18" s="74" t="s">
        <v>42</v>
      </c>
      <c r="AW18" s="74" t="s">
        <v>42</v>
      </c>
      <c r="AX18" s="74"/>
      <c r="AY18" s="74" t="s">
        <v>42</v>
      </c>
      <c r="AZ18" s="74" t="s">
        <v>42</v>
      </c>
      <c r="BA18" s="74" t="s">
        <v>42</v>
      </c>
      <c r="BB18" s="74" t="s">
        <v>42</v>
      </c>
    </row>
    <row r="19" spans="1:54" s="1" customFormat="1" ht="40.049999999999997" customHeight="1" x14ac:dyDescent="0.35">
      <c r="A19" s="62"/>
      <c r="B19" s="63">
        <v>1</v>
      </c>
      <c r="C19" s="64">
        <v>1</v>
      </c>
      <c r="D19" s="62">
        <v>1</v>
      </c>
      <c r="E19" s="62">
        <v>1</v>
      </c>
      <c r="F19" s="65">
        <v>2049</v>
      </c>
      <c r="G19" s="65">
        <v>30</v>
      </c>
      <c r="H19" s="66">
        <v>0.01</v>
      </c>
      <c r="I19" s="66"/>
      <c r="J19" s="67">
        <v>1.4</v>
      </c>
      <c r="K19" s="68">
        <v>8</v>
      </c>
      <c r="L19" s="73">
        <v>8</v>
      </c>
      <c r="M19" s="61" t="s">
        <v>38</v>
      </c>
      <c r="N19" s="61" t="s">
        <v>62</v>
      </c>
      <c r="O19" s="62">
        <v>2049</v>
      </c>
      <c r="P19" s="65" t="s">
        <v>40</v>
      </c>
      <c r="Q19" s="62" t="s">
        <v>63</v>
      </c>
      <c r="R19" s="70">
        <v>2900</v>
      </c>
      <c r="S19" s="71">
        <v>1</v>
      </c>
      <c r="T19" s="73">
        <v>23200</v>
      </c>
      <c r="U19" s="73">
        <v>23200</v>
      </c>
      <c r="V19" s="68">
        <f t="shared" si="0"/>
        <v>0</v>
      </c>
      <c r="W19" s="72">
        <v>2.2259786925676139E-3</v>
      </c>
      <c r="X19" s="74" t="s">
        <v>42</v>
      </c>
      <c r="Y19" s="74" t="s">
        <v>42</v>
      </c>
      <c r="Z19" s="74" t="s">
        <v>42</v>
      </c>
      <c r="AA19" s="74" t="s">
        <v>42</v>
      </c>
      <c r="AB19" s="74" t="s">
        <v>42</v>
      </c>
      <c r="AC19" s="74" t="s">
        <v>42</v>
      </c>
      <c r="AD19" s="74" t="s">
        <v>42</v>
      </c>
      <c r="AE19" s="74" t="s">
        <v>42</v>
      </c>
      <c r="AF19" s="74" t="s">
        <v>42</v>
      </c>
      <c r="AG19" s="74" t="s">
        <v>42</v>
      </c>
      <c r="AH19" s="74" t="s">
        <v>42</v>
      </c>
      <c r="AI19" s="74" t="s">
        <v>42</v>
      </c>
      <c r="AJ19" s="74" t="s">
        <v>42</v>
      </c>
      <c r="AK19" s="74" t="s">
        <v>42</v>
      </c>
      <c r="AL19" s="74" t="s">
        <v>42</v>
      </c>
      <c r="AM19" s="74" t="s">
        <v>42</v>
      </c>
      <c r="AN19" s="74" t="s">
        <v>42</v>
      </c>
      <c r="AO19" s="74" t="s">
        <v>42</v>
      </c>
      <c r="AP19" s="74" t="s">
        <v>42</v>
      </c>
      <c r="AQ19" s="74" t="s">
        <v>42</v>
      </c>
      <c r="AR19" s="74" t="s">
        <v>42</v>
      </c>
      <c r="AS19" s="74" t="s">
        <v>42</v>
      </c>
      <c r="AT19" s="74" t="s">
        <v>42</v>
      </c>
      <c r="AU19" s="74" t="s">
        <v>42</v>
      </c>
      <c r="AV19" s="74" t="s">
        <v>42</v>
      </c>
      <c r="AW19" s="74" t="s">
        <v>42</v>
      </c>
      <c r="AX19" s="74"/>
      <c r="AY19" s="74" t="s">
        <v>42</v>
      </c>
      <c r="AZ19" s="74" t="s">
        <v>42</v>
      </c>
      <c r="BA19" s="74" t="s">
        <v>42</v>
      </c>
      <c r="BB19" s="74" t="s">
        <v>42</v>
      </c>
    </row>
    <row r="20" spans="1:54" s="1" customFormat="1" ht="40.049999999999997" customHeight="1" x14ac:dyDescent="0.35">
      <c r="A20" s="62"/>
      <c r="B20" s="63">
        <v>1</v>
      </c>
      <c r="C20" s="64">
        <v>1</v>
      </c>
      <c r="D20" s="62">
        <v>1</v>
      </c>
      <c r="E20" s="62">
        <v>1</v>
      </c>
      <c r="F20" s="65">
        <v>2036</v>
      </c>
      <c r="G20" s="65">
        <v>30</v>
      </c>
      <c r="H20" s="66">
        <v>0.01</v>
      </c>
      <c r="I20" s="66"/>
      <c r="J20" s="67">
        <v>1.401</v>
      </c>
      <c r="K20" s="68">
        <v>37</v>
      </c>
      <c r="L20" s="73">
        <v>37</v>
      </c>
      <c r="M20" s="61" t="s">
        <v>38</v>
      </c>
      <c r="N20" s="61" t="s">
        <v>64</v>
      </c>
      <c r="O20" s="62">
        <v>2036</v>
      </c>
      <c r="P20" s="65" t="s">
        <v>40</v>
      </c>
      <c r="Q20" s="62" t="s">
        <v>52</v>
      </c>
      <c r="R20" s="70">
        <v>2900</v>
      </c>
      <c r="S20" s="71">
        <v>1</v>
      </c>
      <c r="T20" s="73">
        <v>107300</v>
      </c>
      <c r="U20" s="73">
        <v>107300</v>
      </c>
      <c r="V20" s="68">
        <f t="shared" si="0"/>
        <v>0</v>
      </c>
      <c r="W20" s="72">
        <v>6.5827712324596699E-3</v>
      </c>
      <c r="X20" s="74" t="s">
        <v>42</v>
      </c>
      <c r="Y20" s="74" t="s">
        <v>42</v>
      </c>
      <c r="Z20" s="74" t="s">
        <v>42</v>
      </c>
      <c r="AA20" s="74" t="s">
        <v>42</v>
      </c>
      <c r="AB20" s="74" t="s">
        <v>42</v>
      </c>
      <c r="AC20" s="74" t="s">
        <v>42</v>
      </c>
      <c r="AD20" s="74" t="s">
        <v>42</v>
      </c>
      <c r="AE20" s="74" t="s">
        <v>42</v>
      </c>
      <c r="AF20" s="74" t="s">
        <v>42</v>
      </c>
      <c r="AG20" s="74" t="s">
        <v>42</v>
      </c>
      <c r="AH20" s="74" t="s">
        <v>42</v>
      </c>
      <c r="AI20" s="74" t="s">
        <v>42</v>
      </c>
      <c r="AJ20" s="74" t="s">
        <v>42</v>
      </c>
      <c r="AK20" s="74"/>
      <c r="AL20" s="74" t="s">
        <v>42</v>
      </c>
      <c r="AM20" s="74" t="s">
        <v>42</v>
      </c>
      <c r="AN20" s="74" t="s">
        <v>42</v>
      </c>
      <c r="AO20" s="74" t="s">
        <v>42</v>
      </c>
      <c r="AP20" s="74" t="s">
        <v>42</v>
      </c>
      <c r="AQ20" s="74" t="s">
        <v>42</v>
      </c>
      <c r="AR20" s="74" t="s">
        <v>42</v>
      </c>
      <c r="AS20" s="74" t="s">
        <v>42</v>
      </c>
      <c r="AT20" s="74" t="s">
        <v>42</v>
      </c>
      <c r="AU20" s="74" t="s">
        <v>42</v>
      </c>
      <c r="AV20" s="74" t="s">
        <v>42</v>
      </c>
      <c r="AW20" s="74" t="s">
        <v>42</v>
      </c>
      <c r="AX20" s="74" t="s">
        <v>42</v>
      </c>
      <c r="AY20" s="74" t="s">
        <v>42</v>
      </c>
      <c r="AZ20" s="74" t="s">
        <v>42</v>
      </c>
      <c r="BA20" s="74" t="s">
        <v>42</v>
      </c>
      <c r="BB20" s="74" t="s">
        <v>42</v>
      </c>
    </row>
    <row r="21" spans="1:54" s="1" customFormat="1" ht="40.049999999999997" customHeight="1" x14ac:dyDescent="0.35">
      <c r="A21" s="62"/>
      <c r="B21" s="63">
        <v>1</v>
      </c>
      <c r="C21" s="64">
        <v>2</v>
      </c>
      <c r="D21" s="62">
        <v>5</v>
      </c>
      <c r="E21" s="62">
        <v>3</v>
      </c>
      <c r="F21" s="65">
        <v>2025</v>
      </c>
      <c r="G21" s="65">
        <v>20</v>
      </c>
      <c r="H21" s="66">
        <v>0.01</v>
      </c>
      <c r="I21" s="66"/>
      <c r="J21" s="67">
        <v>1.5</v>
      </c>
      <c r="K21" s="68">
        <v>1070</v>
      </c>
      <c r="L21" s="73">
        <v>356.67</v>
      </c>
      <c r="M21" s="61" t="s">
        <v>58</v>
      </c>
      <c r="N21" s="61" t="s">
        <v>65</v>
      </c>
      <c r="O21" s="62">
        <v>2025</v>
      </c>
      <c r="P21" s="65" t="s">
        <v>54</v>
      </c>
      <c r="Q21" s="62" t="s">
        <v>66</v>
      </c>
      <c r="R21" s="70">
        <v>2200</v>
      </c>
      <c r="S21" s="71">
        <v>1</v>
      </c>
      <c r="T21" s="73">
        <v>784674</v>
      </c>
      <c r="U21" s="73">
        <v>2354000</v>
      </c>
      <c r="V21" s="68">
        <f t="shared" si="0"/>
        <v>5612020</v>
      </c>
      <c r="W21" s="72">
        <v>0.31730956351384543</v>
      </c>
      <c r="X21" s="74" t="s">
        <v>42</v>
      </c>
      <c r="Y21" s="74" t="s">
        <v>42</v>
      </c>
      <c r="Z21" s="74">
        <v>850020</v>
      </c>
      <c r="AA21" s="74">
        <f>11.5*150000-1*150000+125000</f>
        <v>1700000</v>
      </c>
      <c r="AB21" s="74"/>
      <c r="AC21" s="74" t="s">
        <v>42</v>
      </c>
      <c r="AD21" s="74">
        <v>0</v>
      </c>
      <c r="AE21" s="74">
        <v>50000</v>
      </c>
      <c r="AF21" s="74" t="s">
        <v>42</v>
      </c>
      <c r="AG21" s="74" t="s">
        <v>42</v>
      </c>
      <c r="AH21" s="74" t="s">
        <v>42</v>
      </c>
      <c r="AI21" s="74" t="s">
        <v>42</v>
      </c>
      <c r="AJ21" s="74" t="s">
        <v>42</v>
      </c>
      <c r="AK21" s="74">
        <f>35000*1.2</f>
        <v>42000</v>
      </c>
      <c r="AL21" s="74" t="s">
        <v>42</v>
      </c>
      <c r="AM21" s="74" t="s">
        <v>42</v>
      </c>
      <c r="AN21" s="74" t="s">
        <v>42</v>
      </c>
      <c r="AO21" s="74">
        <f>200000*1.2</f>
        <v>240000</v>
      </c>
      <c r="AP21" s="74">
        <f>900000*1.3</f>
        <v>1170000</v>
      </c>
      <c r="AQ21" s="74">
        <f>8*150000*1.3</f>
        <v>1560000</v>
      </c>
      <c r="AR21" s="74" t="s">
        <v>42</v>
      </c>
      <c r="AS21" s="74" t="s">
        <v>42</v>
      </c>
      <c r="AT21" s="74"/>
      <c r="AU21" s="74"/>
      <c r="AV21" s="74"/>
      <c r="AW21" s="74"/>
      <c r="AX21" s="74"/>
      <c r="AY21" s="74" t="s">
        <v>42</v>
      </c>
      <c r="AZ21" s="74" t="s">
        <v>42</v>
      </c>
      <c r="BA21" s="74" t="s">
        <v>42</v>
      </c>
      <c r="BB21" s="74" t="s">
        <v>42</v>
      </c>
    </row>
    <row r="22" spans="1:54" s="1" customFormat="1" ht="40.049999999999997" customHeight="1" x14ac:dyDescent="0.35">
      <c r="A22" s="62"/>
      <c r="B22" s="63">
        <v>1</v>
      </c>
      <c r="C22" s="64">
        <v>1</v>
      </c>
      <c r="D22" s="62">
        <v>2</v>
      </c>
      <c r="E22" s="62">
        <v>2</v>
      </c>
      <c r="F22" s="65">
        <v>2028</v>
      </c>
      <c r="G22" s="65">
        <v>8</v>
      </c>
      <c r="H22" s="66">
        <v>0.01</v>
      </c>
      <c r="I22" s="66"/>
      <c r="J22" s="67">
        <v>1.88</v>
      </c>
      <c r="K22" s="68">
        <v>117000</v>
      </c>
      <c r="L22" s="73">
        <v>58500</v>
      </c>
      <c r="M22" s="61" t="s">
        <v>43</v>
      </c>
      <c r="N22" s="61" t="s">
        <v>67</v>
      </c>
      <c r="O22" s="62">
        <v>2028</v>
      </c>
      <c r="P22" s="65" t="s">
        <v>45</v>
      </c>
      <c r="Q22" s="62" t="s">
        <v>68</v>
      </c>
      <c r="R22" s="70">
        <v>6.5</v>
      </c>
      <c r="S22" s="71">
        <v>1</v>
      </c>
      <c r="T22" s="73">
        <v>380250</v>
      </c>
      <c r="U22" s="73">
        <v>760500</v>
      </c>
      <c r="V22" s="68" t="e">
        <f t="shared" si="0"/>
        <v>#REF!</v>
      </c>
      <c r="W22" s="72">
        <v>0.22835349872219818</v>
      </c>
      <c r="X22" s="74" t="s">
        <v>42</v>
      </c>
      <c r="Y22" s="74" t="e">
        <f>+'[4]Reserve Exp 2024'!U61</f>
        <v>#REF!</v>
      </c>
      <c r="Z22" s="74">
        <v>100000</v>
      </c>
      <c r="AA22" s="74">
        <v>100000</v>
      </c>
      <c r="AB22" s="74">
        <v>100000</v>
      </c>
      <c r="AC22" s="74">
        <v>100000</v>
      </c>
      <c r="AD22" s="74">
        <v>100000</v>
      </c>
      <c r="AE22" s="74">
        <v>100000</v>
      </c>
      <c r="AF22" s="74">
        <v>100000</v>
      </c>
      <c r="AG22" s="74">
        <v>100000</v>
      </c>
      <c r="AH22" s="74">
        <v>100000</v>
      </c>
      <c r="AI22" s="74">
        <v>100000</v>
      </c>
      <c r="AJ22" s="74">
        <v>100000</v>
      </c>
      <c r="AK22" s="74">
        <v>100000</v>
      </c>
      <c r="AL22" s="74">
        <v>100000</v>
      </c>
      <c r="AM22" s="74">
        <v>100000</v>
      </c>
      <c r="AN22" s="74">
        <v>100000</v>
      </c>
      <c r="AO22" s="74">
        <v>100000</v>
      </c>
      <c r="AP22" s="74">
        <v>100000</v>
      </c>
      <c r="AQ22" s="74">
        <v>100000</v>
      </c>
      <c r="AR22" s="74">
        <v>100000</v>
      </c>
      <c r="AS22" s="74">
        <v>100000</v>
      </c>
      <c r="AT22" s="74">
        <v>100000</v>
      </c>
      <c r="AU22" s="74">
        <v>100000</v>
      </c>
      <c r="AV22" s="74">
        <v>100000</v>
      </c>
      <c r="AW22" s="74">
        <v>100000</v>
      </c>
      <c r="AX22" s="74">
        <v>100000</v>
      </c>
      <c r="AY22" s="74">
        <v>100000</v>
      </c>
      <c r="AZ22" s="74">
        <v>100000</v>
      </c>
      <c r="BA22" s="74">
        <v>100000</v>
      </c>
      <c r="BB22" s="74">
        <v>100000</v>
      </c>
    </row>
    <row r="23" spans="1:54" s="1" customFormat="1" ht="40.049999999999997" customHeight="1" x14ac:dyDescent="0.35">
      <c r="A23" s="62"/>
      <c r="B23" s="63">
        <v>1</v>
      </c>
      <c r="C23" s="64">
        <v>1</v>
      </c>
      <c r="D23" s="62">
        <v>1</v>
      </c>
      <c r="E23" s="62">
        <v>1</v>
      </c>
      <c r="F23" s="65">
        <v>2029</v>
      </c>
      <c r="G23" s="65">
        <v>35</v>
      </c>
      <c r="H23" s="66">
        <v>0.01</v>
      </c>
      <c r="I23" s="66"/>
      <c r="J23" s="67">
        <v>5.8</v>
      </c>
      <c r="K23" s="68">
        <v>870</v>
      </c>
      <c r="L23" s="73">
        <v>870</v>
      </c>
      <c r="M23" s="61" t="s">
        <v>43</v>
      </c>
      <c r="N23" s="2" t="s">
        <v>157</v>
      </c>
      <c r="O23" s="62">
        <v>2029</v>
      </c>
      <c r="P23" s="65" t="s">
        <v>69</v>
      </c>
      <c r="Q23" s="62" t="s">
        <v>70</v>
      </c>
      <c r="R23" s="70">
        <v>100</v>
      </c>
      <c r="S23" s="71">
        <v>1</v>
      </c>
      <c r="T23" s="73">
        <v>87000</v>
      </c>
      <c r="U23" s="73">
        <v>87000</v>
      </c>
      <c r="V23" s="68">
        <f t="shared" si="0"/>
        <v>250000</v>
      </c>
      <c r="W23" s="72">
        <v>4.195137829567608E-3</v>
      </c>
      <c r="X23" s="74" t="s">
        <v>42</v>
      </c>
      <c r="Y23" s="74" t="s">
        <v>42</v>
      </c>
      <c r="Z23" s="75"/>
      <c r="AA23" s="74">
        <f>250000-125000</f>
        <v>125000</v>
      </c>
      <c r="AB23" s="74">
        <v>50000</v>
      </c>
      <c r="AC23" s="74">
        <v>50000</v>
      </c>
      <c r="AD23" s="74">
        <v>25000</v>
      </c>
      <c r="AE23" s="74" t="s">
        <v>42</v>
      </c>
      <c r="AF23" s="74" t="s">
        <v>42</v>
      </c>
      <c r="AG23" s="74" t="s">
        <v>42</v>
      </c>
      <c r="AH23" s="74" t="s">
        <v>42</v>
      </c>
      <c r="AI23" s="74" t="s">
        <v>42</v>
      </c>
      <c r="AJ23" s="74" t="s">
        <v>42</v>
      </c>
      <c r="AK23" s="74" t="s">
        <v>42</v>
      </c>
      <c r="AL23" s="74" t="s">
        <v>42</v>
      </c>
      <c r="AM23" s="74" t="s">
        <v>42</v>
      </c>
      <c r="AN23" s="74" t="s">
        <v>42</v>
      </c>
      <c r="AO23" s="74" t="s">
        <v>42</v>
      </c>
      <c r="AP23" s="74" t="s">
        <v>42</v>
      </c>
      <c r="AQ23" s="74" t="s">
        <v>42</v>
      </c>
      <c r="AR23" s="74" t="s">
        <v>42</v>
      </c>
      <c r="AS23" s="74" t="s">
        <v>42</v>
      </c>
      <c r="AT23" s="74" t="s">
        <v>42</v>
      </c>
      <c r="AU23" s="74" t="s">
        <v>42</v>
      </c>
      <c r="AV23" s="74" t="s">
        <v>42</v>
      </c>
      <c r="AW23" s="74" t="s">
        <v>42</v>
      </c>
      <c r="AX23" s="74" t="s">
        <v>42</v>
      </c>
      <c r="AY23" s="74" t="s">
        <v>42</v>
      </c>
      <c r="AZ23" s="74" t="s">
        <v>42</v>
      </c>
      <c r="BA23" s="74" t="s">
        <v>42</v>
      </c>
      <c r="BB23" s="74" t="s">
        <v>42</v>
      </c>
    </row>
    <row r="24" spans="1:54" s="1" customFormat="1" ht="40.049999999999997" customHeight="1" x14ac:dyDescent="0.35">
      <c r="A24" s="62"/>
      <c r="B24" s="63"/>
      <c r="C24" s="64"/>
      <c r="D24" s="62"/>
      <c r="E24" s="62"/>
      <c r="F24" s="65"/>
      <c r="G24" s="65"/>
      <c r="H24" s="66"/>
      <c r="I24" s="66"/>
      <c r="J24" s="67"/>
      <c r="K24" s="68"/>
      <c r="L24" s="61"/>
      <c r="M24" s="61"/>
      <c r="N24" s="61" t="s">
        <v>158</v>
      </c>
      <c r="O24" s="62"/>
      <c r="P24" s="65"/>
      <c r="Q24" s="62"/>
      <c r="R24" s="70"/>
      <c r="S24" s="71"/>
      <c r="T24" s="61"/>
      <c r="U24" s="61"/>
      <c r="V24" s="68">
        <f t="shared" si="0"/>
        <v>50000</v>
      </c>
      <c r="W24" s="72"/>
      <c r="X24" s="74"/>
      <c r="Y24" s="74"/>
      <c r="Z24" s="74">
        <v>50000</v>
      </c>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row>
    <row r="25" spans="1:54" s="1" customFormat="1" ht="40.049999999999997" customHeight="1" x14ac:dyDescent="0.35">
      <c r="A25" s="62"/>
      <c r="B25" s="63"/>
      <c r="C25" s="64"/>
      <c r="D25" s="62"/>
      <c r="E25" s="62"/>
      <c r="F25" s="65"/>
      <c r="G25" s="65"/>
      <c r="H25" s="66"/>
      <c r="I25" s="66"/>
      <c r="J25" s="67"/>
      <c r="K25" s="68"/>
      <c r="L25" s="61"/>
      <c r="M25" s="61"/>
      <c r="N25" s="69" t="s">
        <v>71</v>
      </c>
      <c r="O25" s="62"/>
      <c r="P25" s="65"/>
      <c r="Q25" s="62"/>
      <c r="R25" s="70"/>
      <c r="S25" s="71"/>
      <c r="T25" s="61"/>
      <c r="U25" s="61"/>
      <c r="V25" s="68">
        <f t="shared" si="0"/>
        <v>0</v>
      </c>
      <c r="W25" s="72"/>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row>
    <row r="26" spans="1:54" s="1" customFormat="1" ht="40.049999999999997" customHeight="1" x14ac:dyDescent="0.35">
      <c r="A26" s="62"/>
      <c r="B26" s="63">
        <v>1</v>
      </c>
      <c r="C26" s="64">
        <v>1</v>
      </c>
      <c r="D26" s="62">
        <v>1</v>
      </c>
      <c r="E26" s="62">
        <v>1</v>
      </c>
      <c r="F26" s="65">
        <v>2030</v>
      </c>
      <c r="G26" s="65">
        <v>7</v>
      </c>
      <c r="H26" s="66">
        <v>0.01</v>
      </c>
      <c r="I26" s="66"/>
      <c r="J26" s="67">
        <v>2.88</v>
      </c>
      <c r="K26" s="68">
        <v>1</v>
      </c>
      <c r="L26" s="73">
        <v>1</v>
      </c>
      <c r="M26" s="61" t="s">
        <v>72</v>
      </c>
      <c r="N26" s="61" t="s">
        <v>73</v>
      </c>
      <c r="O26" s="62">
        <v>2030</v>
      </c>
      <c r="P26" s="65" t="s">
        <v>45</v>
      </c>
      <c r="Q26" s="62" t="s">
        <v>74</v>
      </c>
      <c r="R26" s="70">
        <v>35000</v>
      </c>
      <c r="S26" s="71">
        <v>1</v>
      </c>
      <c r="T26" s="73">
        <v>35000</v>
      </c>
      <c r="U26" s="73">
        <v>35000</v>
      </c>
      <c r="V26" s="68">
        <f t="shared" si="0"/>
        <v>264970</v>
      </c>
      <c r="W26" s="72">
        <v>1.0393993835153855E-2</v>
      </c>
      <c r="X26" s="74" t="s">
        <v>42</v>
      </c>
      <c r="Y26" s="74" t="s">
        <v>42</v>
      </c>
      <c r="Z26" s="74" t="s">
        <v>42</v>
      </c>
      <c r="AA26" s="74" t="s">
        <v>42</v>
      </c>
      <c r="AB26" s="74" t="s">
        <v>42</v>
      </c>
      <c r="AC26" s="74" t="s">
        <v>42</v>
      </c>
      <c r="AD26" s="74" t="s">
        <v>42</v>
      </c>
      <c r="AE26" s="74">
        <v>44530</v>
      </c>
      <c r="AF26" s="74" t="s">
        <v>42</v>
      </c>
      <c r="AG26" s="74" t="s">
        <v>42</v>
      </c>
      <c r="AH26" s="74" t="s">
        <v>42</v>
      </c>
      <c r="AI26" s="74" t="s">
        <v>42</v>
      </c>
      <c r="AJ26" s="74" t="s">
        <v>42</v>
      </c>
      <c r="AK26" s="74" t="s">
        <v>42</v>
      </c>
      <c r="AL26" s="74">
        <v>56654</v>
      </c>
      <c r="AM26" s="74" t="s">
        <v>42</v>
      </c>
      <c r="AN26" s="74" t="s">
        <v>42</v>
      </c>
      <c r="AO26" s="74" t="s">
        <v>42</v>
      </c>
      <c r="AP26" s="74" t="s">
        <v>42</v>
      </c>
      <c r="AQ26" s="74" t="s">
        <v>42</v>
      </c>
      <c r="AR26" s="74" t="s">
        <v>42</v>
      </c>
      <c r="AS26" s="74">
        <v>72080</v>
      </c>
      <c r="AT26" s="74" t="s">
        <v>42</v>
      </c>
      <c r="AU26" s="74" t="s">
        <v>42</v>
      </c>
      <c r="AV26" s="74" t="s">
        <v>42</v>
      </c>
      <c r="AW26" s="74" t="s">
        <v>42</v>
      </c>
      <c r="AX26" s="74" t="s">
        <v>42</v>
      </c>
      <c r="AY26" s="74" t="s">
        <v>42</v>
      </c>
      <c r="AZ26" s="74">
        <v>91706</v>
      </c>
      <c r="BA26" s="74" t="s">
        <v>42</v>
      </c>
      <c r="BB26" s="74" t="s">
        <v>42</v>
      </c>
    </row>
    <row r="27" spans="1:54" s="1" customFormat="1" ht="40.049999999999997" customHeight="1" x14ac:dyDescent="0.35">
      <c r="A27" s="62"/>
      <c r="B27" s="63"/>
      <c r="C27" s="64"/>
      <c r="D27" s="62"/>
      <c r="E27" s="62"/>
      <c r="F27" s="65"/>
      <c r="G27" s="65"/>
      <c r="H27" s="66"/>
      <c r="I27" s="66"/>
      <c r="J27" s="67"/>
      <c r="K27" s="68"/>
      <c r="L27" s="61"/>
      <c r="M27" s="61"/>
      <c r="N27" s="61"/>
      <c r="O27" s="62"/>
      <c r="P27" s="65"/>
      <c r="Q27" s="62"/>
      <c r="R27" s="70"/>
      <c r="S27" s="71"/>
      <c r="T27" s="61"/>
      <c r="U27" s="61"/>
      <c r="V27" s="68">
        <f t="shared" si="0"/>
        <v>0</v>
      </c>
      <c r="W27" s="72"/>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row>
    <row r="28" spans="1:54" s="1" customFormat="1" ht="40.049999999999997" customHeight="1" x14ac:dyDescent="0.35">
      <c r="A28" s="62"/>
      <c r="B28" s="63"/>
      <c r="C28" s="64"/>
      <c r="D28" s="62"/>
      <c r="E28" s="62"/>
      <c r="F28" s="65"/>
      <c r="G28" s="65"/>
      <c r="H28" s="66"/>
      <c r="I28" s="66"/>
      <c r="J28" s="67"/>
      <c r="K28" s="68"/>
      <c r="L28" s="61"/>
      <c r="M28" s="61"/>
      <c r="N28" s="69" t="s">
        <v>75</v>
      </c>
      <c r="O28" s="62"/>
      <c r="P28" s="65"/>
      <c r="Q28" s="62"/>
      <c r="R28" s="70"/>
      <c r="S28" s="71"/>
      <c r="T28" s="61"/>
      <c r="U28" s="61"/>
      <c r="V28" s="68">
        <f t="shared" si="0"/>
        <v>0</v>
      </c>
      <c r="W28" s="72"/>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row>
    <row r="29" spans="1:54" s="1" customFormat="1" ht="40.049999999999997" customHeight="1" x14ac:dyDescent="0.35">
      <c r="A29" s="62"/>
      <c r="B29" s="63">
        <v>1</v>
      </c>
      <c r="C29" s="64">
        <v>5</v>
      </c>
      <c r="D29" s="62">
        <v>51</v>
      </c>
      <c r="E29" s="62">
        <v>11</v>
      </c>
      <c r="F29" s="65">
        <v>2026</v>
      </c>
      <c r="G29" s="65">
        <v>70</v>
      </c>
      <c r="H29" s="66">
        <v>0.01</v>
      </c>
      <c r="I29" s="66"/>
      <c r="J29" s="67">
        <v>3.3</v>
      </c>
      <c r="K29" s="68">
        <v>22</v>
      </c>
      <c r="L29" s="73">
        <v>2</v>
      </c>
      <c r="M29" s="61" t="s">
        <v>38</v>
      </c>
      <c r="N29" s="61" t="s">
        <v>76</v>
      </c>
      <c r="O29" s="62">
        <v>2026</v>
      </c>
      <c r="P29" s="65" t="s">
        <v>77</v>
      </c>
      <c r="Q29" s="62" t="s">
        <v>78</v>
      </c>
      <c r="R29" s="70">
        <v>19000</v>
      </c>
      <c r="S29" s="71">
        <v>1</v>
      </c>
      <c r="T29" s="73">
        <v>38000</v>
      </c>
      <c r="U29" s="73">
        <v>418000</v>
      </c>
      <c r="V29" s="68" t="e">
        <f t="shared" si="0"/>
        <v>#REF!</v>
      </c>
      <c r="W29" s="72">
        <v>1.5909867515707592E-2</v>
      </c>
      <c r="X29" s="74" t="s">
        <v>42</v>
      </c>
      <c r="Y29" s="74" t="e">
        <f>+'[4]Reserve Exp 2024'!U62</f>
        <v>#REF!</v>
      </c>
      <c r="Z29" s="74">
        <f>60000+76250</f>
        <v>136250</v>
      </c>
      <c r="AA29" s="74">
        <f>60000+114780</f>
        <v>174780</v>
      </c>
      <c r="AB29" s="74">
        <f>100000+229560-130000</f>
        <v>199560</v>
      </c>
      <c r="AC29" s="74">
        <v>130000</v>
      </c>
      <c r="AD29" s="74" t="s">
        <v>42</v>
      </c>
      <c r="AE29" s="74" t="s">
        <v>42</v>
      </c>
      <c r="AF29" s="74">
        <v>20000</v>
      </c>
      <c r="AG29" s="74" t="s">
        <v>42</v>
      </c>
      <c r="AH29" s="74" t="s">
        <v>42</v>
      </c>
      <c r="AI29" s="74" t="s">
        <v>42</v>
      </c>
      <c r="AJ29" s="74" t="s">
        <v>42</v>
      </c>
      <c r="AK29" s="74">
        <v>10000</v>
      </c>
      <c r="AL29" s="74" t="s">
        <v>42</v>
      </c>
      <c r="AM29" s="74" t="s">
        <v>42</v>
      </c>
      <c r="AN29" s="74" t="s">
        <v>42</v>
      </c>
      <c r="AO29" s="74" t="s">
        <v>42</v>
      </c>
      <c r="AP29" s="74">
        <v>10000</v>
      </c>
      <c r="AQ29" s="74" t="s">
        <v>42</v>
      </c>
      <c r="AR29" s="74" t="s">
        <v>42</v>
      </c>
      <c r="AS29" s="74" t="s">
        <v>42</v>
      </c>
      <c r="AT29" s="74" t="s">
        <v>42</v>
      </c>
      <c r="AU29" s="74">
        <v>10000</v>
      </c>
      <c r="AV29" s="74" t="s">
        <v>42</v>
      </c>
      <c r="AW29" s="74" t="s">
        <v>42</v>
      </c>
      <c r="AX29" s="74" t="s">
        <v>42</v>
      </c>
      <c r="AY29" s="74" t="s">
        <v>42</v>
      </c>
      <c r="AZ29" s="74">
        <v>10000</v>
      </c>
      <c r="BA29" s="74">
        <v>400000</v>
      </c>
      <c r="BB29" s="74">
        <v>400000</v>
      </c>
    </row>
    <row r="30" spans="1:54" s="1" customFormat="1" ht="40.049999999999997" customHeight="1" x14ac:dyDescent="0.35">
      <c r="A30" s="62"/>
      <c r="B30" s="63"/>
      <c r="C30" s="64"/>
      <c r="D30" s="62"/>
      <c r="E30" s="62"/>
      <c r="F30" s="65"/>
      <c r="G30" s="65"/>
      <c r="H30" s="66"/>
      <c r="I30" s="66"/>
      <c r="J30" s="67"/>
      <c r="K30" s="68"/>
      <c r="L30" s="61"/>
      <c r="M30" s="61"/>
      <c r="N30" s="61" t="s">
        <v>79</v>
      </c>
      <c r="O30" s="62"/>
      <c r="P30" s="65"/>
      <c r="Q30" s="62"/>
      <c r="R30" s="70"/>
      <c r="S30" s="71"/>
      <c r="T30" s="61"/>
      <c r="U30" s="61"/>
      <c r="V30" s="68" t="e">
        <f t="shared" si="0"/>
        <v>#REF!</v>
      </c>
      <c r="W30" s="72"/>
      <c r="X30" s="74"/>
      <c r="Y30" s="74" t="e">
        <f>-'[4]Budget 2025'!M130</f>
        <v>#REF!</v>
      </c>
      <c r="Z30" s="74">
        <v>15000</v>
      </c>
      <c r="AA30" s="74">
        <v>15000</v>
      </c>
      <c r="AB30" s="74"/>
      <c r="AC30" s="74"/>
      <c r="AD30" s="74"/>
      <c r="AE30" s="74"/>
      <c r="AF30" s="74">
        <v>20000</v>
      </c>
      <c r="AG30" s="74"/>
      <c r="AH30" s="74"/>
      <c r="AI30" s="74"/>
      <c r="AJ30" s="74"/>
      <c r="AK30" s="74">
        <v>20000</v>
      </c>
      <c r="AL30" s="74"/>
      <c r="AM30" s="74"/>
      <c r="AN30" s="74"/>
      <c r="AO30" s="74"/>
      <c r="AP30" s="74">
        <v>20000</v>
      </c>
      <c r="AQ30" s="74"/>
      <c r="AR30" s="74"/>
      <c r="AS30" s="74"/>
      <c r="AT30" s="74"/>
      <c r="AU30" s="74">
        <v>20000</v>
      </c>
      <c r="AV30" s="74"/>
      <c r="AW30" s="74"/>
      <c r="AX30" s="74"/>
      <c r="AY30" s="74"/>
      <c r="AZ30" s="74">
        <v>20000</v>
      </c>
      <c r="BA30" s="74"/>
      <c r="BB30" s="74"/>
    </row>
    <row r="31" spans="1:54" s="1" customFormat="1" ht="40.049999999999997" customHeight="1" x14ac:dyDescent="0.35">
      <c r="A31" s="62"/>
      <c r="B31" s="63"/>
      <c r="C31" s="64"/>
      <c r="D31" s="62"/>
      <c r="E31" s="62"/>
      <c r="F31" s="65"/>
      <c r="G31" s="65"/>
      <c r="H31" s="66"/>
      <c r="I31" s="66"/>
      <c r="J31" s="67"/>
      <c r="K31" s="68"/>
      <c r="L31" s="61"/>
      <c r="M31" s="61"/>
      <c r="N31" s="61" t="s">
        <v>80</v>
      </c>
      <c r="O31" s="62"/>
      <c r="P31" s="65"/>
      <c r="Q31" s="62"/>
      <c r="R31" s="70"/>
      <c r="S31" s="71"/>
      <c r="T31" s="61"/>
      <c r="U31" s="61"/>
      <c r="V31" s="68">
        <f t="shared" si="0"/>
        <v>150000</v>
      </c>
      <c r="W31" s="72"/>
      <c r="X31" s="74"/>
      <c r="Y31" s="74"/>
      <c r="Z31" s="74"/>
      <c r="AA31" s="74"/>
      <c r="AB31" s="74"/>
      <c r="AC31" s="74"/>
      <c r="AD31" s="74"/>
      <c r="AE31" s="74">
        <v>50000</v>
      </c>
      <c r="AF31" s="74"/>
      <c r="AG31" s="74"/>
      <c r="AH31" s="74"/>
      <c r="AI31" s="74"/>
      <c r="AJ31" s="74"/>
      <c r="AK31" s="74"/>
      <c r="AL31" s="74"/>
      <c r="AM31" s="74">
        <v>50000</v>
      </c>
      <c r="AN31" s="74"/>
      <c r="AO31" s="74"/>
      <c r="AP31" s="74"/>
      <c r="AQ31" s="74"/>
      <c r="AR31" s="74"/>
      <c r="AS31" s="74"/>
      <c r="AT31" s="74"/>
      <c r="AU31" s="74">
        <v>50000</v>
      </c>
      <c r="AV31" s="74"/>
      <c r="AW31" s="74"/>
      <c r="AX31" s="74"/>
      <c r="AY31" s="74"/>
      <c r="AZ31" s="74"/>
      <c r="BA31" s="74"/>
      <c r="BB31" s="74"/>
    </row>
    <row r="32" spans="1:54" s="1" customFormat="1" ht="40.049999999999997" customHeight="1" x14ac:dyDescent="0.35">
      <c r="A32" s="62"/>
      <c r="B32" s="63"/>
      <c r="C32" s="64"/>
      <c r="D32" s="62"/>
      <c r="E32" s="62"/>
      <c r="F32" s="65"/>
      <c r="G32" s="65"/>
      <c r="H32" s="66"/>
      <c r="I32" s="66"/>
      <c r="J32" s="67"/>
      <c r="K32" s="68"/>
      <c r="L32" s="61"/>
      <c r="M32" s="61"/>
      <c r="N32" s="69" t="s">
        <v>81</v>
      </c>
      <c r="O32" s="62"/>
      <c r="P32" s="65"/>
      <c r="Q32" s="62"/>
      <c r="R32" s="70"/>
      <c r="S32" s="71"/>
      <c r="T32" s="61"/>
      <c r="U32" s="61"/>
      <c r="V32" s="68">
        <f t="shared" si="0"/>
        <v>0</v>
      </c>
      <c r="W32" s="72"/>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row>
    <row r="33" spans="1:54" s="1" customFormat="1" ht="40.049999999999997" customHeight="1" x14ac:dyDescent="0.35">
      <c r="A33" s="62"/>
      <c r="B33" s="63">
        <v>1</v>
      </c>
      <c r="C33" s="64">
        <v>1</v>
      </c>
      <c r="D33" s="62">
        <v>1</v>
      </c>
      <c r="E33" s="62">
        <v>1</v>
      </c>
      <c r="F33" s="65">
        <v>2023</v>
      </c>
      <c r="G33" s="65">
        <v>5</v>
      </c>
      <c r="H33" s="66">
        <v>0.01</v>
      </c>
      <c r="I33" s="66"/>
      <c r="J33" s="67">
        <v>4.0199999999999996</v>
      </c>
      <c r="K33" s="68">
        <v>16000</v>
      </c>
      <c r="L33" s="73">
        <v>16000</v>
      </c>
      <c r="M33" s="61" t="s">
        <v>49</v>
      </c>
      <c r="N33" s="61" t="s">
        <v>82</v>
      </c>
      <c r="O33" s="62">
        <v>2023</v>
      </c>
      <c r="P33" s="65" t="s">
        <v>83</v>
      </c>
      <c r="Q33" s="62" t="s">
        <v>84</v>
      </c>
      <c r="R33" s="70">
        <v>0.75</v>
      </c>
      <c r="S33" s="71">
        <v>1</v>
      </c>
      <c r="T33" s="73">
        <v>12000</v>
      </c>
      <c r="U33" s="73">
        <v>12000</v>
      </c>
      <c r="V33" s="68">
        <f t="shared" si="0"/>
        <v>137201</v>
      </c>
      <c r="W33" s="72">
        <v>5.8527164365731604E-3</v>
      </c>
      <c r="X33" s="74"/>
      <c r="Y33" s="74" t="s">
        <v>42</v>
      </c>
      <c r="Z33" s="74" t="s">
        <v>42</v>
      </c>
      <c r="AA33" s="74" t="s">
        <v>42</v>
      </c>
      <c r="AB33" s="74" t="s">
        <v>42</v>
      </c>
      <c r="AC33" s="74">
        <v>14252</v>
      </c>
      <c r="AD33" s="74" t="s">
        <v>42</v>
      </c>
      <c r="AE33" s="74" t="s">
        <v>42</v>
      </c>
      <c r="AF33" s="74" t="s">
        <v>42</v>
      </c>
      <c r="AG33" s="74" t="s">
        <v>42</v>
      </c>
      <c r="AH33" s="74">
        <v>16927</v>
      </c>
      <c r="AI33" s="74" t="s">
        <v>42</v>
      </c>
      <c r="AJ33" s="74" t="s">
        <v>42</v>
      </c>
      <c r="AK33" s="74" t="s">
        <v>42</v>
      </c>
      <c r="AL33" s="74" t="s">
        <v>42</v>
      </c>
      <c r="AM33" s="74">
        <v>20104</v>
      </c>
      <c r="AN33" s="74" t="s">
        <v>42</v>
      </c>
      <c r="AO33" s="74" t="s">
        <v>42</v>
      </c>
      <c r="AP33" s="74" t="s">
        <v>42</v>
      </c>
      <c r="AQ33" s="74" t="s">
        <v>42</v>
      </c>
      <c r="AR33" s="74">
        <v>23877</v>
      </c>
      <c r="AS33" s="74" t="s">
        <v>42</v>
      </c>
      <c r="AT33" s="74" t="s">
        <v>42</v>
      </c>
      <c r="AU33" s="74" t="s">
        <v>42</v>
      </c>
      <c r="AV33" s="74" t="s">
        <v>42</v>
      </c>
      <c r="AW33" s="74">
        <v>28359</v>
      </c>
      <c r="AX33" s="74" t="s">
        <v>42</v>
      </c>
      <c r="AY33" s="74" t="s">
        <v>42</v>
      </c>
      <c r="AZ33" s="74" t="s">
        <v>42</v>
      </c>
      <c r="BA33" s="74" t="s">
        <v>42</v>
      </c>
      <c r="BB33" s="74">
        <v>33682</v>
      </c>
    </row>
    <row r="34" spans="1:54" s="1" customFormat="1" ht="40.049999999999997" customHeight="1" x14ac:dyDescent="0.35">
      <c r="A34" s="62"/>
      <c r="B34" s="63">
        <v>1</v>
      </c>
      <c r="C34" s="64">
        <v>1</v>
      </c>
      <c r="D34" s="62">
        <v>1</v>
      </c>
      <c r="E34" s="62">
        <v>1</v>
      </c>
      <c r="F34" s="65">
        <v>2027</v>
      </c>
      <c r="G34" s="65">
        <v>20</v>
      </c>
      <c r="H34" s="66">
        <v>0.01</v>
      </c>
      <c r="I34" s="66"/>
      <c r="J34" s="67">
        <v>4.04</v>
      </c>
      <c r="K34" s="68">
        <v>16000</v>
      </c>
      <c r="L34" s="73">
        <v>16000</v>
      </c>
      <c r="M34" s="61" t="s">
        <v>49</v>
      </c>
      <c r="N34" s="61" t="s">
        <v>85</v>
      </c>
      <c r="O34" s="62">
        <v>2027</v>
      </c>
      <c r="P34" s="65" t="s">
        <v>54</v>
      </c>
      <c r="Q34" s="62" t="s">
        <v>86</v>
      </c>
      <c r="R34" s="70">
        <v>16</v>
      </c>
      <c r="S34" s="71">
        <v>1</v>
      </c>
      <c r="T34" s="73">
        <v>256000</v>
      </c>
      <c r="U34" s="73">
        <v>256000</v>
      </c>
      <c r="V34" s="68">
        <f t="shared" si="0"/>
        <v>878532</v>
      </c>
      <c r="W34" s="72">
        <v>3.4453047505106089E-2</v>
      </c>
      <c r="X34" s="74" t="s">
        <v>42</v>
      </c>
      <c r="Y34" s="74" t="s">
        <v>42</v>
      </c>
      <c r="Z34" s="74" t="s">
        <v>42</v>
      </c>
      <c r="AA34" s="74" t="s">
        <v>42</v>
      </c>
      <c r="AB34" s="74"/>
      <c r="AC34" s="74" t="s">
        <v>42</v>
      </c>
      <c r="AD34" s="74">
        <v>294000</v>
      </c>
      <c r="AE34" s="74" t="s">
        <v>42</v>
      </c>
      <c r="AF34" s="74" t="s">
        <v>42</v>
      </c>
      <c r="AG34" s="74" t="s">
        <v>42</v>
      </c>
      <c r="AH34" s="74" t="s">
        <v>42</v>
      </c>
      <c r="AI34" s="74" t="s">
        <v>42</v>
      </c>
      <c r="AJ34" s="74" t="s">
        <v>42</v>
      </c>
      <c r="AK34" s="74" t="s">
        <v>42</v>
      </c>
      <c r="AL34" s="74" t="s">
        <v>42</v>
      </c>
      <c r="AM34" s="74" t="s">
        <v>42</v>
      </c>
      <c r="AN34" s="74" t="s">
        <v>42</v>
      </c>
      <c r="AO34" s="74" t="s">
        <v>42</v>
      </c>
      <c r="AP34" s="74" t="s">
        <v>42</v>
      </c>
      <c r="AQ34" s="74" t="s">
        <v>42</v>
      </c>
      <c r="AR34" s="74" t="s">
        <v>42</v>
      </c>
      <c r="AS34" s="74" t="s">
        <v>42</v>
      </c>
      <c r="AT34" s="74" t="s">
        <v>42</v>
      </c>
      <c r="AU34" s="74" t="s">
        <v>42</v>
      </c>
      <c r="AV34" s="74">
        <v>584532</v>
      </c>
      <c r="AW34" s="74" t="s">
        <v>42</v>
      </c>
      <c r="AX34" s="74" t="s">
        <v>42</v>
      </c>
      <c r="AY34" s="74" t="s">
        <v>42</v>
      </c>
      <c r="AZ34" s="74" t="s">
        <v>42</v>
      </c>
      <c r="BA34" s="74" t="s">
        <v>42</v>
      </c>
      <c r="BB34" s="74" t="s">
        <v>42</v>
      </c>
    </row>
    <row r="35" spans="1:54" s="1" customFormat="1" ht="40.049999999999997" customHeight="1" x14ac:dyDescent="0.35">
      <c r="A35" s="62"/>
      <c r="B35" s="63">
        <v>1</v>
      </c>
      <c r="C35" s="64">
        <v>1</v>
      </c>
      <c r="D35" s="62">
        <v>1</v>
      </c>
      <c r="E35" s="62">
        <v>1</v>
      </c>
      <c r="F35" s="65">
        <v>2043</v>
      </c>
      <c r="G35" s="65">
        <v>10</v>
      </c>
      <c r="H35" s="66">
        <v>0.01</v>
      </c>
      <c r="I35" s="66"/>
      <c r="J35" s="67">
        <v>4.09</v>
      </c>
      <c r="K35" s="68">
        <v>1</v>
      </c>
      <c r="L35" s="73">
        <v>1</v>
      </c>
      <c r="M35" s="61" t="s">
        <v>72</v>
      </c>
      <c r="N35" s="61" t="s">
        <v>87</v>
      </c>
      <c r="O35" s="62">
        <v>2043</v>
      </c>
      <c r="P35" s="65" t="s">
        <v>51</v>
      </c>
      <c r="Q35" s="62" t="s">
        <v>88</v>
      </c>
      <c r="R35" s="70">
        <v>25000</v>
      </c>
      <c r="S35" s="71">
        <v>1</v>
      </c>
      <c r="T35" s="73">
        <v>25000</v>
      </c>
      <c r="U35" s="73">
        <v>25000</v>
      </c>
      <c r="V35" s="68">
        <f t="shared" si="0"/>
        <v>119915</v>
      </c>
      <c r="W35" s="72">
        <v>4.703912785381268E-3</v>
      </c>
      <c r="X35" s="74" t="s">
        <v>42</v>
      </c>
      <c r="Y35" s="74" t="s">
        <v>42</v>
      </c>
      <c r="Z35" s="74" t="s">
        <v>42</v>
      </c>
      <c r="AA35" s="74" t="s">
        <v>42</v>
      </c>
      <c r="AB35" s="74" t="s">
        <v>42</v>
      </c>
      <c r="AC35" s="74" t="s">
        <v>42</v>
      </c>
      <c r="AD35" s="74" t="s">
        <v>42</v>
      </c>
      <c r="AE35" s="74" t="s">
        <v>42</v>
      </c>
      <c r="AF35" s="74" t="s">
        <v>42</v>
      </c>
      <c r="AG35" s="74" t="s">
        <v>42</v>
      </c>
      <c r="AH35" s="74" t="s">
        <v>42</v>
      </c>
      <c r="AI35" s="74" t="s">
        <v>42</v>
      </c>
      <c r="AJ35" s="74" t="s">
        <v>42</v>
      </c>
      <c r="AK35" s="74" t="s">
        <v>42</v>
      </c>
      <c r="AL35" s="74" t="s">
        <v>42</v>
      </c>
      <c r="AM35" s="74" t="s">
        <v>42</v>
      </c>
      <c r="AN35" s="74" t="s">
        <v>42</v>
      </c>
      <c r="AO35" s="74" t="s">
        <v>42</v>
      </c>
      <c r="AP35" s="74" t="s">
        <v>42</v>
      </c>
      <c r="AQ35" s="74" t="s">
        <v>42</v>
      </c>
      <c r="AR35" s="74">
        <v>49745</v>
      </c>
      <c r="AS35" s="74" t="s">
        <v>42</v>
      </c>
      <c r="AT35" s="74" t="s">
        <v>42</v>
      </c>
      <c r="AU35" s="74" t="s">
        <v>42</v>
      </c>
      <c r="AV35" s="74" t="s">
        <v>42</v>
      </c>
      <c r="AW35" s="74" t="s">
        <v>42</v>
      </c>
      <c r="AX35" s="74" t="s">
        <v>42</v>
      </c>
      <c r="AY35" s="74" t="s">
        <v>42</v>
      </c>
      <c r="AZ35" s="74" t="s">
        <v>42</v>
      </c>
      <c r="BA35" s="74" t="s">
        <v>42</v>
      </c>
      <c r="BB35" s="74">
        <v>70170</v>
      </c>
    </row>
    <row r="36" spans="1:54" s="1" customFormat="1" ht="40.049999999999997" customHeight="1" x14ac:dyDescent="0.35">
      <c r="A36" s="62"/>
      <c r="B36" s="63">
        <v>1</v>
      </c>
      <c r="C36" s="64">
        <v>1</v>
      </c>
      <c r="D36" s="62">
        <v>1</v>
      </c>
      <c r="E36" s="62">
        <v>1</v>
      </c>
      <c r="F36" s="65">
        <v>2028</v>
      </c>
      <c r="G36" s="65">
        <v>10</v>
      </c>
      <c r="H36" s="66">
        <v>10</v>
      </c>
      <c r="I36" s="66"/>
      <c r="J36" s="67">
        <v>4.1109999999999998</v>
      </c>
      <c r="K36" s="68">
        <v>580</v>
      </c>
      <c r="L36" s="73">
        <v>580</v>
      </c>
      <c r="M36" s="61" t="s">
        <v>47</v>
      </c>
      <c r="N36" s="61" t="s">
        <v>89</v>
      </c>
      <c r="O36" s="62">
        <v>2028</v>
      </c>
      <c r="P36" s="65" t="s">
        <v>90</v>
      </c>
      <c r="Q36" s="62" t="s">
        <v>46</v>
      </c>
      <c r="R36" s="70">
        <v>100</v>
      </c>
      <c r="S36" s="71">
        <v>1</v>
      </c>
      <c r="T36" s="73">
        <v>58000</v>
      </c>
      <c r="U36" s="73">
        <v>58000</v>
      </c>
      <c r="V36" s="68">
        <f t="shared" si="0"/>
        <v>274238</v>
      </c>
      <c r="W36" s="72">
        <v>1.1890663045956814E-2</v>
      </c>
      <c r="X36" s="74" t="s">
        <v>42</v>
      </c>
      <c r="Y36" s="74" t="s">
        <v>42</v>
      </c>
      <c r="Z36" s="74" t="s">
        <v>42</v>
      </c>
      <c r="AA36" s="74" t="s">
        <v>42</v>
      </c>
      <c r="AB36" s="74" t="s">
        <v>42</v>
      </c>
      <c r="AC36" s="74">
        <v>40000</v>
      </c>
      <c r="AD36" s="74" t="s">
        <v>42</v>
      </c>
      <c r="AE36" s="74" t="s">
        <v>42</v>
      </c>
      <c r="AF36" s="74" t="s">
        <v>42</v>
      </c>
      <c r="AG36" s="74" t="s">
        <v>42</v>
      </c>
      <c r="AH36" s="74" t="s">
        <v>42</v>
      </c>
      <c r="AI36" s="74" t="s">
        <v>42</v>
      </c>
      <c r="AJ36" s="74" t="s">
        <v>42</v>
      </c>
      <c r="AK36" s="74" t="s">
        <v>42</v>
      </c>
      <c r="AL36" s="74" t="s">
        <v>42</v>
      </c>
      <c r="AM36" s="74">
        <v>97170</v>
      </c>
      <c r="AN36" s="74" t="s">
        <v>42</v>
      </c>
      <c r="AO36" s="74" t="s">
        <v>42</v>
      </c>
      <c r="AP36" s="74" t="s">
        <v>42</v>
      </c>
      <c r="AQ36" s="74" t="s">
        <v>42</v>
      </c>
      <c r="AR36" s="74" t="s">
        <v>42</v>
      </c>
      <c r="AS36" s="74" t="s">
        <v>42</v>
      </c>
      <c r="AT36" s="74" t="s">
        <v>42</v>
      </c>
      <c r="AU36" s="74" t="s">
        <v>42</v>
      </c>
      <c r="AV36" s="74" t="s">
        <v>42</v>
      </c>
      <c r="AW36" s="74">
        <v>137068</v>
      </c>
      <c r="AX36" s="74" t="s">
        <v>42</v>
      </c>
      <c r="AY36" s="74" t="s">
        <v>42</v>
      </c>
      <c r="AZ36" s="74" t="s">
        <v>42</v>
      </c>
      <c r="BA36" s="74" t="s">
        <v>42</v>
      </c>
      <c r="BB36" s="74" t="s">
        <v>42</v>
      </c>
    </row>
    <row r="37" spans="1:54" s="1" customFormat="1" ht="40.049999999999997" customHeight="1" x14ac:dyDescent="0.35">
      <c r="A37" s="62"/>
      <c r="B37" s="63">
        <v>1</v>
      </c>
      <c r="C37" s="64">
        <v>1</v>
      </c>
      <c r="D37" s="62">
        <v>1</v>
      </c>
      <c r="E37" s="62">
        <v>1</v>
      </c>
      <c r="F37" s="65">
        <v>2029</v>
      </c>
      <c r="G37" s="65">
        <v>10</v>
      </c>
      <c r="H37" s="66">
        <v>10</v>
      </c>
      <c r="I37" s="66"/>
      <c r="J37" s="67">
        <v>4.1120000000000001</v>
      </c>
      <c r="K37" s="68">
        <v>1100</v>
      </c>
      <c r="L37" s="73">
        <v>1100</v>
      </c>
      <c r="M37" s="61" t="s">
        <v>47</v>
      </c>
      <c r="N37" s="61" t="s">
        <v>91</v>
      </c>
      <c r="O37" s="62">
        <v>2029</v>
      </c>
      <c r="P37" s="65" t="s">
        <v>90</v>
      </c>
      <c r="Q37" s="62" t="s">
        <v>70</v>
      </c>
      <c r="R37" s="70">
        <v>90</v>
      </c>
      <c r="S37" s="71">
        <v>1</v>
      </c>
      <c r="T37" s="73">
        <v>99000</v>
      </c>
      <c r="U37" s="73">
        <v>99000</v>
      </c>
      <c r="V37" s="68">
        <f t="shared" si="0"/>
        <v>503815</v>
      </c>
      <c r="W37" s="72">
        <v>2.1006521616247407E-2</v>
      </c>
      <c r="X37" s="74" t="s">
        <v>42</v>
      </c>
      <c r="Y37" s="74" t="s">
        <v>42</v>
      </c>
      <c r="Z37" s="74">
        <v>40000</v>
      </c>
      <c r="AA37" s="74" t="s">
        <v>42</v>
      </c>
      <c r="AB37" s="74" t="s">
        <v>42</v>
      </c>
      <c r="AC37" s="74" t="s">
        <v>42</v>
      </c>
      <c r="AD37" s="74"/>
      <c r="AE37" s="74" t="s">
        <v>42</v>
      </c>
      <c r="AF37" s="74">
        <v>50000</v>
      </c>
      <c r="AG37" s="74" t="s">
        <v>42</v>
      </c>
      <c r="AH37" s="74" t="s">
        <v>42</v>
      </c>
      <c r="AI37" s="74" t="s">
        <v>42</v>
      </c>
      <c r="AJ37" s="74" t="s">
        <v>42</v>
      </c>
      <c r="AK37" s="74" t="s">
        <v>42</v>
      </c>
      <c r="AL37" s="74" t="s">
        <v>42</v>
      </c>
      <c r="AM37" s="74" t="s">
        <v>42</v>
      </c>
      <c r="AN37" s="74">
        <v>171665</v>
      </c>
      <c r="AO37" s="74" t="s">
        <v>42</v>
      </c>
      <c r="AP37" s="74" t="s">
        <v>42</v>
      </c>
      <c r="AQ37" s="74" t="s">
        <v>42</v>
      </c>
      <c r="AR37" s="74" t="s">
        <v>42</v>
      </c>
      <c r="AS37" s="74" t="s">
        <v>42</v>
      </c>
      <c r="AT37" s="74" t="s">
        <v>42</v>
      </c>
      <c r="AU37" s="74" t="s">
        <v>42</v>
      </c>
      <c r="AV37" s="74" t="s">
        <v>42</v>
      </c>
      <c r="AW37" s="74" t="s">
        <v>42</v>
      </c>
      <c r="AX37" s="74">
        <v>242150</v>
      </c>
      <c r="AY37" s="74" t="s">
        <v>42</v>
      </c>
      <c r="AZ37" s="74" t="s">
        <v>42</v>
      </c>
      <c r="BA37" s="74" t="s">
        <v>42</v>
      </c>
      <c r="BB37" s="74" t="s">
        <v>42</v>
      </c>
    </row>
    <row r="38" spans="1:54" s="1" customFormat="1" ht="40.049999999999997" customHeight="1" x14ac:dyDescent="0.35">
      <c r="A38" s="62"/>
      <c r="B38" s="63">
        <v>1</v>
      </c>
      <c r="C38" s="64">
        <v>1</v>
      </c>
      <c r="D38" s="62">
        <v>1</v>
      </c>
      <c r="E38" s="62">
        <v>1</v>
      </c>
      <c r="F38" s="65">
        <v>2034</v>
      </c>
      <c r="G38" s="65">
        <v>15</v>
      </c>
      <c r="H38" s="66">
        <v>0.01</v>
      </c>
      <c r="I38" s="66"/>
      <c r="J38" s="67">
        <v>4.1219999999999999</v>
      </c>
      <c r="K38" s="68">
        <v>4</v>
      </c>
      <c r="L38" s="73">
        <v>4</v>
      </c>
      <c r="M38" s="61" t="s">
        <v>38</v>
      </c>
      <c r="N38" s="61" t="s">
        <v>92</v>
      </c>
      <c r="O38" s="62">
        <v>2034</v>
      </c>
      <c r="P38" s="65" t="s">
        <v>51</v>
      </c>
      <c r="Q38" s="62" t="s">
        <v>93</v>
      </c>
      <c r="R38" s="70">
        <v>5000</v>
      </c>
      <c r="S38" s="71">
        <v>1</v>
      </c>
      <c r="T38" s="73">
        <v>20000</v>
      </c>
      <c r="U38" s="73">
        <v>20000</v>
      </c>
      <c r="V38" s="68">
        <f t="shared" si="0"/>
        <v>78118</v>
      </c>
      <c r="W38" s="72">
        <v>3.0643393984773701E-3</v>
      </c>
      <c r="X38" s="74" t="s">
        <v>42</v>
      </c>
      <c r="Y38" s="74" t="s">
        <v>42</v>
      </c>
      <c r="Z38" s="74" t="s">
        <v>42</v>
      </c>
      <c r="AA38" s="74" t="s">
        <v>42</v>
      </c>
      <c r="AB38" s="74" t="s">
        <v>42</v>
      </c>
      <c r="AC38" s="74" t="s">
        <v>42</v>
      </c>
      <c r="AD38" s="74" t="s">
        <v>42</v>
      </c>
      <c r="AE38" s="74" t="s">
        <v>42</v>
      </c>
      <c r="AF38" s="74" t="s">
        <v>42</v>
      </c>
      <c r="AG38" s="74" t="s">
        <v>42</v>
      </c>
      <c r="AH38" s="74" t="s">
        <v>42</v>
      </c>
      <c r="AI38" s="74">
        <v>29199</v>
      </c>
      <c r="AJ38" s="74" t="s">
        <v>42</v>
      </c>
      <c r="AK38" s="74" t="s">
        <v>42</v>
      </c>
      <c r="AL38" s="74" t="s">
        <v>42</v>
      </c>
      <c r="AM38" s="74" t="s">
        <v>42</v>
      </c>
      <c r="AN38" s="74" t="s">
        <v>42</v>
      </c>
      <c r="AO38" s="74" t="s">
        <v>42</v>
      </c>
      <c r="AP38" s="74" t="s">
        <v>42</v>
      </c>
      <c r="AQ38" s="74" t="s">
        <v>42</v>
      </c>
      <c r="AR38" s="74" t="s">
        <v>42</v>
      </c>
      <c r="AS38" s="74" t="s">
        <v>42</v>
      </c>
      <c r="AT38" s="74" t="s">
        <v>42</v>
      </c>
      <c r="AU38" s="74" t="s">
        <v>42</v>
      </c>
      <c r="AV38" s="74" t="s">
        <v>42</v>
      </c>
      <c r="AW38" s="74" t="s">
        <v>42</v>
      </c>
      <c r="AX38" s="74">
        <v>48919</v>
      </c>
      <c r="AY38" s="74" t="s">
        <v>42</v>
      </c>
      <c r="AZ38" s="74" t="s">
        <v>42</v>
      </c>
      <c r="BA38" s="74" t="s">
        <v>42</v>
      </c>
      <c r="BB38" s="74" t="s">
        <v>42</v>
      </c>
    </row>
    <row r="39" spans="1:54" s="1" customFormat="1" ht="40.049999999999997" customHeight="1" x14ac:dyDescent="0.35">
      <c r="A39" s="62"/>
      <c r="B39" s="63">
        <v>1</v>
      </c>
      <c r="C39" s="64">
        <v>1</v>
      </c>
      <c r="D39" s="62">
        <v>1</v>
      </c>
      <c r="E39" s="62">
        <v>1</v>
      </c>
      <c r="F39" s="65">
        <v>2038</v>
      </c>
      <c r="G39" s="65">
        <v>25</v>
      </c>
      <c r="H39" s="66">
        <v>0.01</v>
      </c>
      <c r="I39" s="66"/>
      <c r="J39" s="67">
        <v>4.1230000000000002</v>
      </c>
      <c r="K39" s="68">
        <v>1850</v>
      </c>
      <c r="L39" s="73">
        <v>1850</v>
      </c>
      <c r="M39" s="61" t="s">
        <v>43</v>
      </c>
      <c r="N39" s="61" t="s">
        <v>94</v>
      </c>
      <c r="O39" s="62">
        <v>2038</v>
      </c>
      <c r="P39" s="65" t="s">
        <v>51</v>
      </c>
      <c r="Q39" s="62" t="s">
        <v>95</v>
      </c>
      <c r="R39" s="70">
        <v>100</v>
      </c>
      <c r="S39" s="71">
        <v>1</v>
      </c>
      <c r="T39" s="73">
        <v>185000</v>
      </c>
      <c r="U39" s="73">
        <v>185000</v>
      </c>
      <c r="V39" s="68">
        <f t="shared" si="0"/>
        <v>309940</v>
      </c>
      <c r="W39" s="72">
        <v>1.2158034680407539E-2</v>
      </c>
      <c r="X39" s="74" t="s">
        <v>42</v>
      </c>
      <c r="Y39" s="74" t="s">
        <v>42</v>
      </c>
      <c r="Z39" s="74" t="s">
        <v>42</v>
      </c>
      <c r="AA39" s="74" t="s">
        <v>42</v>
      </c>
      <c r="AB39" s="74" t="s">
        <v>42</v>
      </c>
      <c r="AC39" s="74" t="s">
        <v>42</v>
      </c>
      <c r="AD39" s="74" t="s">
        <v>42</v>
      </c>
      <c r="AE39" s="74" t="s">
        <v>42</v>
      </c>
      <c r="AF39" s="74" t="s">
        <v>42</v>
      </c>
      <c r="AG39" s="74" t="s">
        <v>42</v>
      </c>
      <c r="AH39" s="74" t="s">
        <v>42</v>
      </c>
      <c r="AI39" s="74" t="s">
        <v>42</v>
      </c>
      <c r="AJ39" s="74" t="s">
        <v>42</v>
      </c>
      <c r="AK39" s="74" t="s">
        <v>42</v>
      </c>
      <c r="AL39" s="74" t="s">
        <v>42</v>
      </c>
      <c r="AM39" s="74">
        <v>309940</v>
      </c>
      <c r="AN39" s="74" t="s">
        <v>42</v>
      </c>
      <c r="AO39" s="74" t="s">
        <v>42</v>
      </c>
      <c r="AP39" s="74" t="s">
        <v>42</v>
      </c>
      <c r="AQ39" s="74" t="s">
        <v>42</v>
      </c>
      <c r="AR39" s="74" t="s">
        <v>42</v>
      </c>
      <c r="AS39" s="74" t="s">
        <v>42</v>
      </c>
      <c r="AT39" s="74" t="s">
        <v>42</v>
      </c>
      <c r="AU39" s="74" t="s">
        <v>42</v>
      </c>
      <c r="AV39" s="74" t="s">
        <v>42</v>
      </c>
      <c r="AW39" s="74" t="s">
        <v>42</v>
      </c>
      <c r="AX39" s="74" t="s">
        <v>42</v>
      </c>
      <c r="AY39" s="74" t="s">
        <v>42</v>
      </c>
      <c r="AZ39" s="74" t="s">
        <v>42</v>
      </c>
      <c r="BA39" s="74" t="s">
        <v>42</v>
      </c>
      <c r="BB39" s="74" t="s">
        <v>42</v>
      </c>
    </row>
    <row r="40" spans="1:54" s="1" customFormat="1" ht="40.049999999999997" customHeight="1" x14ac:dyDescent="0.35">
      <c r="A40" s="62"/>
      <c r="B40" s="63">
        <v>1</v>
      </c>
      <c r="C40" s="64">
        <v>1</v>
      </c>
      <c r="D40" s="62">
        <v>1</v>
      </c>
      <c r="E40" s="62">
        <v>1</v>
      </c>
      <c r="F40" s="65">
        <v>2043</v>
      </c>
      <c r="G40" s="65">
        <v>20</v>
      </c>
      <c r="H40" s="66">
        <v>0.01</v>
      </c>
      <c r="I40" s="66"/>
      <c r="J40" s="67">
        <v>4.26</v>
      </c>
      <c r="K40" s="68">
        <v>385</v>
      </c>
      <c r="L40" s="73">
        <v>385</v>
      </c>
      <c r="M40" s="61" t="s">
        <v>47</v>
      </c>
      <c r="N40" s="61" t="s">
        <v>96</v>
      </c>
      <c r="O40" s="62">
        <v>2043</v>
      </c>
      <c r="P40" s="65" t="s">
        <v>54</v>
      </c>
      <c r="Q40" s="62" t="s">
        <v>88</v>
      </c>
      <c r="R40" s="70">
        <v>56</v>
      </c>
      <c r="S40" s="71">
        <v>1</v>
      </c>
      <c r="T40" s="73">
        <v>21560</v>
      </c>
      <c r="U40" s="73">
        <v>21560</v>
      </c>
      <c r="V40" s="68">
        <f t="shared" si="0"/>
        <v>42900</v>
      </c>
      <c r="W40" s="72">
        <v>1.6828408330305331E-3</v>
      </c>
      <c r="X40" s="74" t="s">
        <v>42</v>
      </c>
      <c r="Y40" s="74" t="s">
        <v>42</v>
      </c>
      <c r="Z40" s="74" t="s">
        <v>42</v>
      </c>
      <c r="AA40" s="74" t="s">
        <v>42</v>
      </c>
      <c r="AB40" s="74" t="s">
        <v>42</v>
      </c>
      <c r="AC40" s="74" t="s">
        <v>42</v>
      </c>
      <c r="AD40" s="74" t="s">
        <v>42</v>
      </c>
      <c r="AE40" s="74" t="s">
        <v>42</v>
      </c>
      <c r="AF40" s="74" t="s">
        <v>42</v>
      </c>
      <c r="AG40" s="74" t="s">
        <v>42</v>
      </c>
      <c r="AH40" s="74" t="s">
        <v>42</v>
      </c>
      <c r="AI40" s="74" t="s">
        <v>42</v>
      </c>
      <c r="AJ40" s="74" t="s">
        <v>42</v>
      </c>
      <c r="AK40" s="74" t="s">
        <v>42</v>
      </c>
      <c r="AL40" s="74" t="s">
        <v>42</v>
      </c>
      <c r="AM40" s="74" t="s">
        <v>42</v>
      </c>
      <c r="AN40" s="74" t="s">
        <v>42</v>
      </c>
      <c r="AO40" s="74" t="s">
        <v>42</v>
      </c>
      <c r="AP40" s="74" t="s">
        <v>42</v>
      </c>
      <c r="AQ40" s="74" t="s">
        <v>42</v>
      </c>
      <c r="AR40" s="74">
        <v>42900</v>
      </c>
      <c r="AS40" s="74" t="s">
        <v>42</v>
      </c>
      <c r="AT40" s="74" t="s">
        <v>42</v>
      </c>
      <c r="AU40" s="74" t="s">
        <v>42</v>
      </c>
      <c r="AV40" s="74" t="s">
        <v>42</v>
      </c>
      <c r="AW40" s="74" t="s">
        <v>42</v>
      </c>
      <c r="AX40" s="74" t="s">
        <v>42</v>
      </c>
      <c r="AY40" s="74" t="s">
        <v>42</v>
      </c>
      <c r="AZ40" s="74" t="s">
        <v>42</v>
      </c>
      <c r="BA40" s="74" t="s">
        <v>42</v>
      </c>
      <c r="BB40" s="74" t="s">
        <v>42</v>
      </c>
    </row>
    <row r="41" spans="1:54" s="1" customFormat="1" ht="40.049999999999997" customHeight="1" x14ac:dyDescent="0.35">
      <c r="A41" s="62"/>
      <c r="B41" s="63">
        <v>1</v>
      </c>
      <c r="C41" s="64">
        <v>1</v>
      </c>
      <c r="D41" s="62">
        <v>4</v>
      </c>
      <c r="E41" s="62">
        <v>4</v>
      </c>
      <c r="F41" s="65">
        <v>2025</v>
      </c>
      <c r="G41" s="65">
        <v>6</v>
      </c>
      <c r="H41" s="66">
        <v>0.01</v>
      </c>
      <c r="I41" s="66"/>
      <c r="J41" s="67">
        <v>4.3</v>
      </c>
      <c r="K41" s="68">
        <v>4</v>
      </c>
      <c r="L41" s="73">
        <v>1</v>
      </c>
      <c r="M41" s="61" t="s">
        <v>38</v>
      </c>
      <c r="N41" s="61" t="s">
        <v>97</v>
      </c>
      <c r="O41" s="62">
        <v>2025</v>
      </c>
      <c r="P41" s="65" t="s">
        <v>98</v>
      </c>
      <c r="Q41" s="62" t="s">
        <v>99</v>
      </c>
      <c r="R41" s="70">
        <v>14000</v>
      </c>
      <c r="S41" s="71">
        <v>1</v>
      </c>
      <c r="T41" s="73">
        <v>14000</v>
      </c>
      <c r="U41" s="73">
        <v>56000</v>
      </c>
      <c r="V41" s="68">
        <f t="shared" si="0"/>
        <v>498183</v>
      </c>
      <c r="W41" s="72">
        <v>1.954225395621562E-2</v>
      </c>
      <c r="X41" s="74" t="s">
        <v>42</v>
      </c>
      <c r="Y41" s="74" t="s">
        <v>42</v>
      </c>
      <c r="Z41" s="74">
        <v>14997</v>
      </c>
      <c r="AA41" s="74">
        <v>15522</v>
      </c>
      <c r="AB41" s="74">
        <v>16065</v>
      </c>
      <c r="AC41" s="74">
        <v>16628</v>
      </c>
      <c r="AD41" s="74" t="s">
        <v>42</v>
      </c>
      <c r="AE41" s="74" t="s">
        <v>42</v>
      </c>
      <c r="AF41" s="74">
        <v>18435</v>
      </c>
      <c r="AG41" s="74">
        <v>19081</v>
      </c>
      <c r="AH41" s="74">
        <v>19748</v>
      </c>
      <c r="AI41" s="74">
        <v>20440</v>
      </c>
      <c r="AJ41" s="74" t="s">
        <v>42</v>
      </c>
      <c r="AK41" s="74" t="s">
        <v>42</v>
      </c>
      <c r="AL41" s="74">
        <v>22662</v>
      </c>
      <c r="AM41" s="74">
        <v>23455</v>
      </c>
      <c r="AN41" s="74">
        <v>24276</v>
      </c>
      <c r="AO41" s="74">
        <v>25125</v>
      </c>
      <c r="AP41" s="74" t="s">
        <v>42</v>
      </c>
      <c r="AQ41" s="74" t="s">
        <v>42</v>
      </c>
      <c r="AR41" s="74">
        <v>27857</v>
      </c>
      <c r="AS41" s="74">
        <v>28832</v>
      </c>
      <c r="AT41" s="74">
        <v>29841</v>
      </c>
      <c r="AU41" s="74">
        <v>30886</v>
      </c>
      <c r="AV41" s="74" t="s">
        <v>42</v>
      </c>
      <c r="AW41" s="74" t="s">
        <v>42</v>
      </c>
      <c r="AX41" s="74">
        <v>34243</v>
      </c>
      <c r="AY41" s="74">
        <v>35442</v>
      </c>
      <c r="AZ41" s="74">
        <v>36682</v>
      </c>
      <c r="BA41" s="74">
        <v>37966</v>
      </c>
      <c r="BB41" s="74" t="s">
        <v>42</v>
      </c>
    </row>
    <row r="42" spans="1:54" s="1" customFormat="1" ht="40.049999999999997" customHeight="1" x14ac:dyDescent="0.35">
      <c r="A42" s="62"/>
      <c r="B42" s="63">
        <v>1</v>
      </c>
      <c r="C42" s="64">
        <v>1</v>
      </c>
      <c r="D42" s="62">
        <v>1</v>
      </c>
      <c r="E42" s="62">
        <v>1</v>
      </c>
      <c r="F42" s="65">
        <v>2047</v>
      </c>
      <c r="G42" s="65">
        <v>40</v>
      </c>
      <c r="H42" s="66">
        <v>0.01</v>
      </c>
      <c r="I42" s="66"/>
      <c r="J42" s="67">
        <v>4.42</v>
      </c>
      <c r="K42" s="68">
        <v>1</v>
      </c>
      <c r="L42" s="73">
        <v>1</v>
      </c>
      <c r="M42" s="61" t="s">
        <v>72</v>
      </c>
      <c r="N42" s="61" t="s">
        <v>100</v>
      </c>
      <c r="O42" s="62">
        <v>2047</v>
      </c>
      <c r="P42" s="65" t="s">
        <v>101</v>
      </c>
      <c r="Q42" s="62" t="s">
        <v>102</v>
      </c>
      <c r="R42" s="70">
        <v>70000</v>
      </c>
      <c r="S42" s="71">
        <v>1</v>
      </c>
      <c r="T42" s="73">
        <v>70000</v>
      </c>
      <c r="U42" s="73">
        <v>70000</v>
      </c>
      <c r="V42" s="68">
        <f t="shared" si="0"/>
        <v>159833</v>
      </c>
      <c r="W42" s="72">
        <v>6.2697785283396083E-3</v>
      </c>
      <c r="X42" s="74" t="s">
        <v>42</v>
      </c>
      <c r="Y42" s="74" t="s">
        <v>42</v>
      </c>
      <c r="Z42" s="74" t="s">
        <v>42</v>
      </c>
      <c r="AA42" s="74" t="s">
        <v>42</v>
      </c>
      <c r="AB42" s="74" t="s">
        <v>42</v>
      </c>
      <c r="AC42" s="74" t="s">
        <v>42</v>
      </c>
      <c r="AD42" s="74" t="s">
        <v>42</v>
      </c>
      <c r="AE42" s="74" t="s">
        <v>42</v>
      </c>
      <c r="AF42" s="74" t="s">
        <v>42</v>
      </c>
      <c r="AG42" s="74" t="s">
        <v>42</v>
      </c>
      <c r="AH42" s="74" t="s">
        <v>42</v>
      </c>
      <c r="AI42" s="74" t="s">
        <v>42</v>
      </c>
      <c r="AJ42" s="74" t="s">
        <v>42</v>
      </c>
      <c r="AK42" s="74" t="s">
        <v>42</v>
      </c>
      <c r="AL42" s="74" t="s">
        <v>42</v>
      </c>
      <c r="AM42" s="74" t="s">
        <v>42</v>
      </c>
      <c r="AN42" s="74" t="s">
        <v>42</v>
      </c>
      <c r="AO42" s="74" t="s">
        <v>42</v>
      </c>
      <c r="AP42" s="74" t="s">
        <v>42</v>
      </c>
      <c r="AQ42" s="74" t="s">
        <v>42</v>
      </c>
      <c r="AR42" s="74" t="s">
        <v>42</v>
      </c>
      <c r="AS42" s="74" t="s">
        <v>42</v>
      </c>
      <c r="AT42" s="74" t="s">
        <v>42</v>
      </c>
      <c r="AU42" s="74" t="s">
        <v>42</v>
      </c>
      <c r="AV42" s="74">
        <v>159833</v>
      </c>
      <c r="AW42" s="74" t="s">
        <v>42</v>
      </c>
      <c r="AX42" s="74" t="s">
        <v>42</v>
      </c>
      <c r="AY42" s="74" t="s">
        <v>42</v>
      </c>
      <c r="AZ42" s="74" t="s">
        <v>42</v>
      </c>
      <c r="BA42" s="74" t="s">
        <v>42</v>
      </c>
      <c r="BB42" s="74" t="s">
        <v>42</v>
      </c>
    </row>
    <row r="43" spans="1:54" s="1" customFormat="1" ht="40.049999999999997" customHeight="1" x14ac:dyDescent="0.35">
      <c r="A43" s="62"/>
      <c r="B43" s="63">
        <v>1</v>
      </c>
      <c r="C43" s="64">
        <v>2</v>
      </c>
      <c r="D43" s="62">
        <v>7</v>
      </c>
      <c r="E43" s="62">
        <v>4</v>
      </c>
      <c r="F43" s="65">
        <v>2037</v>
      </c>
      <c r="G43" s="65">
        <v>25</v>
      </c>
      <c r="H43" s="66">
        <v>0.01</v>
      </c>
      <c r="I43" s="66"/>
      <c r="J43" s="67">
        <v>4.62</v>
      </c>
      <c r="K43" s="68">
        <v>27000</v>
      </c>
      <c r="L43" s="73">
        <v>6750</v>
      </c>
      <c r="M43" s="61" t="s">
        <v>43</v>
      </c>
      <c r="N43" s="61" t="s">
        <v>104</v>
      </c>
      <c r="O43" s="62">
        <v>2037</v>
      </c>
      <c r="P43" s="65" t="s">
        <v>51</v>
      </c>
      <c r="Q43" s="62" t="s">
        <v>105</v>
      </c>
      <c r="R43" s="70">
        <v>9</v>
      </c>
      <c r="S43" s="71">
        <v>1</v>
      </c>
      <c r="T43" s="73">
        <v>60750</v>
      </c>
      <c r="U43" s="73">
        <v>243000</v>
      </c>
      <c r="V43" s="68">
        <f t="shared" si="0"/>
        <v>437398</v>
      </c>
      <c r="W43" s="72">
        <v>1.7157837172165246E-2</v>
      </c>
      <c r="X43" s="74" t="s">
        <v>42</v>
      </c>
      <c r="Y43" s="74" t="s">
        <v>42</v>
      </c>
      <c r="Z43" s="74" t="s">
        <v>42</v>
      </c>
      <c r="AA43" s="74" t="s">
        <v>42</v>
      </c>
      <c r="AB43" s="74" t="s">
        <v>42</v>
      </c>
      <c r="AC43" s="74" t="s">
        <v>42</v>
      </c>
      <c r="AD43" s="74" t="s">
        <v>42</v>
      </c>
      <c r="AE43" s="74" t="s">
        <v>42</v>
      </c>
      <c r="AF43" s="74" t="s">
        <v>42</v>
      </c>
      <c r="AG43" s="74" t="s">
        <v>42</v>
      </c>
      <c r="AH43" s="74" t="s">
        <v>42</v>
      </c>
      <c r="AI43" s="74" t="s">
        <v>42</v>
      </c>
      <c r="AJ43" s="74" t="s">
        <v>42</v>
      </c>
      <c r="AK43" s="74" t="s">
        <v>42</v>
      </c>
      <c r="AL43" s="74">
        <v>98336</v>
      </c>
      <c r="AM43" s="74" t="s">
        <v>42</v>
      </c>
      <c r="AN43" s="74">
        <v>105340</v>
      </c>
      <c r="AO43" s="74" t="s">
        <v>42</v>
      </c>
      <c r="AP43" s="74">
        <v>112842</v>
      </c>
      <c r="AQ43" s="74" t="s">
        <v>42</v>
      </c>
      <c r="AR43" s="74">
        <v>120880</v>
      </c>
      <c r="AS43" s="74" t="s">
        <v>42</v>
      </c>
      <c r="AT43" s="74" t="s">
        <v>42</v>
      </c>
      <c r="AU43" s="74" t="s">
        <v>42</v>
      </c>
      <c r="AV43" s="74" t="s">
        <v>42</v>
      </c>
      <c r="AW43" s="74" t="s">
        <v>42</v>
      </c>
      <c r="AX43" s="74" t="s">
        <v>42</v>
      </c>
      <c r="AY43" s="74" t="s">
        <v>42</v>
      </c>
      <c r="AZ43" s="74" t="s">
        <v>42</v>
      </c>
      <c r="BA43" s="74" t="s">
        <v>42</v>
      </c>
      <c r="BB43" s="74" t="s">
        <v>42</v>
      </c>
    </row>
    <row r="44" spans="1:54" s="1" customFormat="1" ht="40.049999999999997" customHeight="1" x14ac:dyDescent="0.35">
      <c r="A44" s="62"/>
      <c r="B44" s="63">
        <v>1</v>
      </c>
      <c r="C44" s="64">
        <v>1</v>
      </c>
      <c r="D44" s="62">
        <v>1</v>
      </c>
      <c r="E44" s="62">
        <v>1</v>
      </c>
      <c r="F44" s="65">
        <v>2046</v>
      </c>
      <c r="G44" s="65">
        <v>25</v>
      </c>
      <c r="H44" s="66">
        <v>0.01</v>
      </c>
      <c r="I44" s="66"/>
      <c r="J44" s="67">
        <v>4.6210000000000004</v>
      </c>
      <c r="K44" s="68">
        <v>1300</v>
      </c>
      <c r="L44" s="73">
        <v>1300</v>
      </c>
      <c r="M44" s="61" t="s">
        <v>43</v>
      </c>
      <c r="N44" s="61" t="s">
        <v>106</v>
      </c>
      <c r="O44" s="62">
        <v>2046</v>
      </c>
      <c r="P44" s="65" t="s">
        <v>51</v>
      </c>
      <c r="Q44" s="62" t="s">
        <v>107</v>
      </c>
      <c r="R44" s="70">
        <v>9</v>
      </c>
      <c r="S44" s="71">
        <v>1</v>
      </c>
      <c r="T44" s="73">
        <v>11700</v>
      </c>
      <c r="U44" s="73">
        <v>11700</v>
      </c>
      <c r="V44" s="68">
        <f t="shared" si="0"/>
        <v>25812</v>
      </c>
      <c r="W44" s="72">
        <v>1.0125288480695598E-3</v>
      </c>
      <c r="X44" s="74" t="s">
        <v>42</v>
      </c>
      <c r="Y44" s="74" t="s">
        <v>42</v>
      </c>
      <c r="Z44" s="74" t="s">
        <v>42</v>
      </c>
      <c r="AA44" s="74" t="s">
        <v>42</v>
      </c>
      <c r="AB44" s="74" t="s">
        <v>42</v>
      </c>
      <c r="AC44" s="74" t="s">
        <v>42</v>
      </c>
      <c r="AD44" s="74" t="s">
        <v>42</v>
      </c>
      <c r="AE44" s="74" t="s">
        <v>42</v>
      </c>
      <c r="AF44" s="74" t="s">
        <v>42</v>
      </c>
      <c r="AG44" s="74" t="s">
        <v>42</v>
      </c>
      <c r="AH44" s="74" t="s">
        <v>42</v>
      </c>
      <c r="AI44" s="74" t="s">
        <v>42</v>
      </c>
      <c r="AJ44" s="74" t="s">
        <v>42</v>
      </c>
      <c r="AK44" s="74" t="s">
        <v>42</v>
      </c>
      <c r="AL44" s="74" t="s">
        <v>42</v>
      </c>
      <c r="AM44" s="74" t="s">
        <v>42</v>
      </c>
      <c r="AN44" s="74" t="s">
        <v>42</v>
      </c>
      <c r="AO44" s="74" t="s">
        <v>42</v>
      </c>
      <c r="AP44" s="74" t="s">
        <v>42</v>
      </c>
      <c r="AQ44" s="74" t="s">
        <v>42</v>
      </c>
      <c r="AR44" s="74" t="s">
        <v>42</v>
      </c>
      <c r="AS44" s="74" t="s">
        <v>42</v>
      </c>
      <c r="AT44" s="74" t="s">
        <v>42</v>
      </c>
      <c r="AU44" s="74">
        <v>25812</v>
      </c>
      <c r="AV44" s="74" t="s">
        <v>42</v>
      </c>
      <c r="AW44" s="74" t="s">
        <v>42</v>
      </c>
      <c r="AX44" s="74" t="s">
        <v>42</v>
      </c>
      <c r="AY44" s="74" t="s">
        <v>42</v>
      </c>
      <c r="AZ44" s="74" t="s">
        <v>42</v>
      </c>
      <c r="BA44" s="74" t="s">
        <v>42</v>
      </c>
      <c r="BB44" s="74" t="s">
        <v>42</v>
      </c>
    </row>
    <row r="45" spans="1:54" s="1" customFormat="1" ht="40.049999999999997" customHeight="1" x14ac:dyDescent="0.35">
      <c r="A45" s="62"/>
      <c r="B45" s="63">
        <v>1</v>
      </c>
      <c r="C45" s="64">
        <v>1</v>
      </c>
      <c r="D45" s="62">
        <v>1</v>
      </c>
      <c r="E45" s="62">
        <v>1</v>
      </c>
      <c r="F45" s="65">
        <v>2041</v>
      </c>
      <c r="G45" s="65">
        <v>25</v>
      </c>
      <c r="H45" s="66">
        <v>0.01</v>
      </c>
      <c r="I45" s="66"/>
      <c r="J45" s="67">
        <v>4.6219999999999999</v>
      </c>
      <c r="K45" s="68">
        <v>1800</v>
      </c>
      <c r="L45" s="73">
        <v>1800</v>
      </c>
      <c r="M45" s="61" t="s">
        <v>43</v>
      </c>
      <c r="N45" s="61" t="s">
        <v>108</v>
      </c>
      <c r="O45" s="62">
        <v>2041</v>
      </c>
      <c r="P45" s="65" t="s">
        <v>51</v>
      </c>
      <c r="Q45" s="62" t="s">
        <v>41</v>
      </c>
      <c r="R45" s="70">
        <v>9</v>
      </c>
      <c r="S45" s="71">
        <v>1</v>
      </c>
      <c r="T45" s="73">
        <v>16200</v>
      </c>
      <c r="U45" s="73">
        <v>16200</v>
      </c>
      <c r="V45" s="68">
        <f t="shared" si="0"/>
        <v>30091</v>
      </c>
      <c r="W45" s="72">
        <v>1.1803814337231183E-3</v>
      </c>
      <c r="X45" s="74" t="s">
        <v>42</v>
      </c>
      <c r="Y45" s="74" t="s">
        <v>42</v>
      </c>
      <c r="Z45" s="74" t="s">
        <v>42</v>
      </c>
      <c r="AA45" s="74" t="s">
        <v>42</v>
      </c>
      <c r="AB45" s="74" t="s">
        <v>42</v>
      </c>
      <c r="AC45" s="74" t="s">
        <v>42</v>
      </c>
      <c r="AD45" s="74" t="s">
        <v>42</v>
      </c>
      <c r="AE45" s="74" t="s">
        <v>42</v>
      </c>
      <c r="AF45" s="74" t="s">
        <v>42</v>
      </c>
      <c r="AG45" s="74" t="s">
        <v>42</v>
      </c>
      <c r="AH45" s="74" t="s">
        <v>42</v>
      </c>
      <c r="AI45" s="74" t="s">
        <v>42</v>
      </c>
      <c r="AJ45" s="74" t="s">
        <v>42</v>
      </c>
      <c r="AK45" s="74" t="s">
        <v>42</v>
      </c>
      <c r="AL45" s="74" t="s">
        <v>42</v>
      </c>
      <c r="AM45" s="74" t="s">
        <v>42</v>
      </c>
      <c r="AN45" s="74" t="s">
        <v>42</v>
      </c>
      <c r="AO45" s="74" t="s">
        <v>42</v>
      </c>
      <c r="AP45" s="74">
        <v>30091</v>
      </c>
      <c r="AQ45" s="74" t="s">
        <v>42</v>
      </c>
      <c r="AR45" s="74" t="s">
        <v>42</v>
      </c>
      <c r="AS45" s="74" t="s">
        <v>42</v>
      </c>
      <c r="AT45" s="74" t="s">
        <v>42</v>
      </c>
      <c r="AU45" s="74" t="s">
        <v>42</v>
      </c>
      <c r="AV45" s="74" t="s">
        <v>42</v>
      </c>
      <c r="AW45" s="74" t="s">
        <v>42</v>
      </c>
      <c r="AX45" s="74" t="s">
        <v>42</v>
      </c>
      <c r="AY45" s="74" t="s">
        <v>42</v>
      </c>
      <c r="AZ45" s="74" t="s">
        <v>42</v>
      </c>
      <c r="BA45" s="74" t="s">
        <v>42</v>
      </c>
      <c r="BB45" s="74" t="s">
        <v>42</v>
      </c>
    </row>
    <row r="46" spans="1:54" s="1" customFormat="1" ht="40.049999999999997" customHeight="1" x14ac:dyDescent="0.35">
      <c r="A46" s="62"/>
      <c r="B46" s="63">
        <v>1</v>
      </c>
      <c r="C46" s="64">
        <v>1</v>
      </c>
      <c r="D46" s="62">
        <v>1</v>
      </c>
      <c r="E46" s="62">
        <v>1</v>
      </c>
      <c r="F46" s="65">
        <v>2037</v>
      </c>
      <c r="G46" s="65">
        <v>20</v>
      </c>
      <c r="H46" s="66">
        <v>0.01</v>
      </c>
      <c r="I46" s="66"/>
      <c r="J46" s="67">
        <v>4.6230000000000002</v>
      </c>
      <c r="K46" s="68">
        <v>3850</v>
      </c>
      <c r="L46" s="73">
        <v>3850</v>
      </c>
      <c r="M46" s="61" t="s">
        <v>43</v>
      </c>
      <c r="N46" s="61" t="s">
        <v>109</v>
      </c>
      <c r="O46" s="62">
        <v>2037</v>
      </c>
      <c r="P46" s="65" t="s">
        <v>54</v>
      </c>
      <c r="Q46" s="62" t="s">
        <v>110</v>
      </c>
      <c r="R46" s="70">
        <v>9</v>
      </c>
      <c r="S46" s="71">
        <v>1</v>
      </c>
      <c r="T46" s="73">
        <v>34650</v>
      </c>
      <c r="U46" s="73">
        <v>34650</v>
      </c>
      <c r="V46" s="68">
        <f t="shared" si="0"/>
        <v>56088</v>
      </c>
      <c r="W46" s="72">
        <v>2.2001672877160032E-3</v>
      </c>
      <c r="X46" s="74" t="s">
        <v>42</v>
      </c>
      <c r="Y46" s="74" t="s">
        <v>42</v>
      </c>
      <c r="Z46" s="74" t="s">
        <v>42</v>
      </c>
      <c r="AA46" s="74" t="s">
        <v>42</v>
      </c>
      <c r="AB46" s="74" t="s">
        <v>42</v>
      </c>
      <c r="AC46" s="74" t="s">
        <v>42</v>
      </c>
      <c r="AD46" s="74" t="s">
        <v>42</v>
      </c>
      <c r="AE46" s="74" t="s">
        <v>42</v>
      </c>
      <c r="AF46" s="74" t="s">
        <v>42</v>
      </c>
      <c r="AG46" s="74" t="s">
        <v>42</v>
      </c>
      <c r="AH46" s="74" t="s">
        <v>42</v>
      </c>
      <c r="AI46" s="74" t="s">
        <v>42</v>
      </c>
      <c r="AJ46" s="74" t="s">
        <v>42</v>
      </c>
      <c r="AK46" s="74" t="s">
        <v>42</v>
      </c>
      <c r="AL46" s="74">
        <v>56088</v>
      </c>
      <c r="AM46" s="74" t="s">
        <v>42</v>
      </c>
      <c r="AN46" s="74" t="s">
        <v>42</v>
      </c>
      <c r="AO46" s="74" t="s">
        <v>42</v>
      </c>
      <c r="AP46" s="74" t="s">
        <v>42</v>
      </c>
      <c r="AQ46" s="74" t="s">
        <v>42</v>
      </c>
      <c r="AR46" s="74" t="s">
        <v>42</v>
      </c>
      <c r="AS46" s="74" t="s">
        <v>42</v>
      </c>
      <c r="AT46" s="74" t="s">
        <v>42</v>
      </c>
      <c r="AU46" s="74" t="s">
        <v>42</v>
      </c>
      <c r="AV46" s="74" t="s">
        <v>42</v>
      </c>
      <c r="AW46" s="74" t="s">
        <v>42</v>
      </c>
      <c r="AX46" s="74" t="s">
        <v>42</v>
      </c>
      <c r="AY46" s="74" t="s">
        <v>42</v>
      </c>
      <c r="AZ46" s="74" t="s">
        <v>42</v>
      </c>
      <c r="BA46" s="74" t="s">
        <v>42</v>
      </c>
      <c r="BB46" s="74" t="s">
        <v>42</v>
      </c>
    </row>
    <row r="47" spans="1:54" s="1" customFormat="1" ht="40.049999999999997" customHeight="1" x14ac:dyDescent="0.35">
      <c r="A47" s="62"/>
      <c r="B47" s="63">
        <v>1</v>
      </c>
      <c r="C47" s="64">
        <v>1</v>
      </c>
      <c r="D47" s="62">
        <v>1</v>
      </c>
      <c r="E47" s="62">
        <v>1</v>
      </c>
      <c r="F47" s="65">
        <v>2029</v>
      </c>
      <c r="G47" s="65">
        <v>4</v>
      </c>
      <c r="H47" s="66">
        <v>0.01</v>
      </c>
      <c r="I47" s="66"/>
      <c r="J47" s="67">
        <v>4.6500000000000004</v>
      </c>
      <c r="K47" s="68">
        <v>1</v>
      </c>
      <c r="L47" s="73">
        <v>1</v>
      </c>
      <c r="M47" s="61" t="s">
        <v>72</v>
      </c>
      <c r="N47" s="61" t="s">
        <v>111</v>
      </c>
      <c r="O47" s="62">
        <v>2029</v>
      </c>
      <c r="P47" s="65" t="s">
        <v>112</v>
      </c>
      <c r="Q47" s="62" t="s">
        <v>70</v>
      </c>
      <c r="R47" s="70">
        <v>17000</v>
      </c>
      <c r="S47" s="71">
        <v>1</v>
      </c>
      <c r="T47" s="73">
        <v>17000</v>
      </c>
      <c r="U47" s="73">
        <v>17000</v>
      </c>
      <c r="V47" s="68">
        <f t="shared" si="0"/>
        <v>229504</v>
      </c>
      <c r="W47" s="72">
        <v>9.0027669590638567E-3</v>
      </c>
      <c r="X47" s="74" t="s">
        <v>42</v>
      </c>
      <c r="Y47" s="74" t="s">
        <v>42</v>
      </c>
      <c r="Z47" s="74" t="s">
        <v>42</v>
      </c>
      <c r="AA47" s="74" t="s">
        <v>42</v>
      </c>
      <c r="AB47" s="74" t="s">
        <v>42</v>
      </c>
      <c r="AC47" s="74" t="s">
        <v>42</v>
      </c>
      <c r="AD47" s="74">
        <v>20897</v>
      </c>
      <c r="AE47" s="74" t="s">
        <v>42</v>
      </c>
      <c r="AF47" s="74" t="s">
        <v>42</v>
      </c>
      <c r="AG47" s="74" t="s">
        <v>42</v>
      </c>
      <c r="AH47" s="74">
        <v>23980</v>
      </c>
      <c r="AI47" s="74" t="s">
        <v>42</v>
      </c>
      <c r="AJ47" s="74" t="s">
        <v>42</v>
      </c>
      <c r="AK47" s="74" t="s">
        <v>42</v>
      </c>
      <c r="AL47" s="74">
        <v>27518</v>
      </c>
      <c r="AM47" s="74" t="s">
        <v>42</v>
      </c>
      <c r="AN47" s="74" t="s">
        <v>42</v>
      </c>
      <c r="AO47" s="74" t="s">
        <v>42</v>
      </c>
      <c r="AP47" s="74">
        <v>31577</v>
      </c>
      <c r="AQ47" s="74" t="s">
        <v>42</v>
      </c>
      <c r="AR47" s="74" t="s">
        <v>42</v>
      </c>
      <c r="AS47" s="74" t="s">
        <v>42</v>
      </c>
      <c r="AT47" s="74">
        <v>36236</v>
      </c>
      <c r="AU47" s="74" t="s">
        <v>42</v>
      </c>
      <c r="AV47" s="74" t="s">
        <v>42</v>
      </c>
      <c r="AW47" s="74" t="s">
        <v>42</v>
      </c>
      <c r="AX47" s="74">
        <v>41581</v>
      </c>
      <c r="AY47" s="74" t="s">
        <v>42</v>
      </c>
      <c r="AZ47" s="74" t="s">
        <v>42</v>
      </c>
      <c r="BA47" s="74" t="s">
        <v>42</v>
      </c>
      <c r="BB47" s="74">
        <v>47715</v>
      </c>
    </row>
    <row r="48" spans="1:54" s="1" customFormat="1" ht="40.049999999999997" customHeight="1" x14ac:dyDescent="0.35">
      <c r="A48" s="62"/>
      <c r="B48" s="63">
        <v>1</v>
      </c>
      <c r="C48" s="64">
        <v>1</v>
      </c>
      <c r="D48" s="62">
        <v>1</v>
      </c>
      <c r="E48" s="62">
        <v>1</v>
      </c>
      <c r="F48" s="65">
        <v>2038</v>
      </c>
      <c r="G48" s="65">
        <v>25</v>
      </c>
      <c r="H48" s="66">
        <v>0.01</v>
      </c>
      <c r="I48" s="66"/>
      <c r="J48" s="67">
        <v>4.8</v>
      </c>
      <c r="K48" s="68">
        <v>9</v>
      </c>
      <c r="L48" s="73">
        <v>9</v>
      </c>
      <c r="M48" s="61" t="s">
        <v>38</v>
      </c>
      <c r="N48" s="61" t="s">
        <v>113</v>
      </c>
      <c r="O48" s="62">
        <v>2038</v>
      </c>
      <c r="P48" s="65" t="s">
        <v>51</v>
      </c>
      <c r="Q48" s="62" t="s">
        <v>95</v>
      </c>
      <c r="R48" s="70">
        <v>2500</v>
      </c>
      <c r="S48" s="71">
        <v>1</v>
      </c>
      <c r="T48" s="73">
        <v>22500</v>
      </c>
      <c r="U48" s="73">
        <v>22500</v>
      </c>
      <c r="V48" s="68">
        <f t="shared" si="0"/>
        <v>37695</v>
      </c>
      <c r="W48" s="72">
        <v>1.478663990701304E-3</v>
      </c>
      <c r="X48" s="74" t="s">
        <v>42</v>
      </c>
      <c r="Y48" s="74" t="s">
        <v>42</v>
      </c>
      <c r="Z48" s="74" t="s">
        <v>42</v>
      </c>
      <c r="AA48" s="74" t="s">
        <v>42</v>
      </c>
      <c r="AB48" s="74" t="s">
        <v>42</v>
      </c>
      <c r="AC48" s="74" t="s">
        <v>42</v>
      </c>
      <c r="AD48" s="74" t="s">
        <v>42</v>
      </c>
      <c r="AE48" s="74" t="s">
        <v>42</v>
      </c>
      <c r="AF48" s="74" t="s">
        <v>42</v>
      </c>
      <c r="AG48" s="74" t="s">
        <v>42</v>
      </c>
      <c r="AH48" s="74" t="s">
        <v>42</v>
      </c>
      <c r="AI48" s="74" t="s">
        <v>42</v>
      </c>
      <c r="AJ48" s="74" t="s">
        <v>42</v>
      </c>
      <c r="AK48" s="74" t="s">
        <v>42</v>
      </c>
      <c r="AL48" s="74" t="s">
        <v>42</v>
      </c>
      <c r="AM48" s="74">
        <v>37695</v>
      </c>
      <c r="AN48" s="74" t="s">
        <v>42</v>
      </c>
      <c r="AO48" s="74" t="s">
        <v>42</v>
      </c>
      <c r="AP48" s="74" t="s">
        <v>42</v>
      </c>
      <c r="AQ48" s="74" t="s">
        <v>42</v>
      </c>
      <c r="AR48" s="74" t="s">
        <v>42</v>
      </c>
      <c r="AS48" s="74" t="s">
        <v>42</v>
      </c>
      <c r="AT48" s="74" t="s">
        <v>42</v>
      </c>
      <c r="AU48" s="74" t="s">
        <v>42</v>
      </c>
      <c r="AV48" s="74" t="s">
        <v>42</v>
      </c>
      <c r="AW48" s="74" t="s">
        <v>42</v>
      </c>
      <c r="AX48" s="74" t="s">
        <v>42</v>
      </c>
      <c r="AY48" s="74" t="s">
        <v>42</v>
      </c>
      <c r="AZ48" s="74" t="s">
        <v>42</v>
      </c>
      <c r="BA48" s="74" t="s">
        <v>42</v>
      </c>
      <c r="BB48" s="74" t="s">
        <v>42</v>
      </c>
    </row>
    <row r="49" spans="1:54" s="1" customFormat="1" ht="40.049999999999997" customHeight="1" x14ac:dyDescent="0.35">
      <c r="A49" s="62"/>
      <c r="B49" s="63"/>
      <c r="C49" s="64"/>
      <c r="D49" s="62"/>
      <c r="E49" s="62"/>
      <c r="F49" s="65"/>
      <c r="G49" s="65"/>
      <c r="H49" s="66"/>
      <c r="I49" s="66"/>
      <c r="J49" s="67"/>
      <c r="K49" s="68"/>
      <c r="L49" s="61"/>
      <c r="M49" s="61"/>
      <c r="N49" s="61"/>
      <c r="O49" s="62"/>
      <c r="P49" s="65"/>
      <c r="Q49" s="62"/>
      <c r="R49" s="70"/>
      <c r="S49" s="71"/>
      <c r="T49" s="61"/>
      <c r="U49" s="61"/>
      <c r="V49" s="68">
        <f t="shared" si="0"/>
        <v>0</v>
      </c>
      <c r="W49" s="72"/>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row>
    <row r="50" spans="1:54" s="1" customFormat="1" ht="40.049999999999997" customHeight="1" x14ac:dyDescent="0.35">
      <c r="A50" s="62"/>
      <c r="B50" s="63"/>
      <c r="C50" s="64"/>
      <c r="D50" s="62"/>
      <c r="E50" s="62"/>
      <c r="F50" s="65"/>
      <c r="G50" s="65"/>
      <c r="H50" s="66"/>
      <c r="I50" s="66"/>
      <c r="J50" s="67"/>
      <c r="K50" s="68"/>
      <c r="L50" s="61"/>
      <c r="M50" s="61"/>
      <c r="N50" s="69" t="s">
        <v>114</v>
      </c>
      <c r="O50" s="62"/>
      <c r="P50" s="65"/>
      <c r="Q50" s="62"/>
      <c r="R50" s="70"/>
      <c r="S50" s="71"/>
      <c r="T50" s="61"/>
      <c r="U50" s="61"/>
      <c r="V50" s="68">
        <f t="shared" si="0"/>
        <v>0</v>
      </c>
      <c r="W50" s="72"/>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row>
    <row r="51" spans="1:54" s="1" customFormat="1" ht="40.049999999999997" customHeight="1" x14ac:dyDescent="0.35">
      <c r="A51" s="62"/>
      <c r="B51" s="63">
        <v>1</v>
      </c>
      <c r="C51" s="64">
        <v>1</v>
      </c>
      <c r="D51" s="62">
        <v>1</v>
      </c>
      <c r="E51" s="62">
        <v>1</v>
      </c>
      <c r="F51" s="65">
        <v>2031</v>
      </c>
      <c r="G51" s="65">
        <v>12</v>
      </c>
      <c r="H51" s="66">
        <v>0.01</v>
      </c>
      <c r="I51" s="66"/>
      <c r="J51" s="67">
        <v>5.0999999999999996</v>
      </c>
      <c r="K51" s="68">
        <v>2</v>
      </c>
      <c r="L51" s="73">
        <v>2</v>
      </c>
      <c r="M51" s="61" t="s">
        <v>38</v>
      </c>
      <c r="N51" s="61" t="s">
        <v>115</v>
      </c>
      <c r="O51" s="62">
        <v>2031</v>
      </c>
      <c r="P51" s="65" t="s">
        <v>60</v>
      </c>
      <c r="Q51" s="62" t="s">
        <v>116</v>
      </c>
      <c r="R51" s="70">
        <v>10900</v>
      </c>
      <c r="S51" s="71">
        <v>1</v>
      </c>
      <c r="T51" s="73">
        <v>21800</v>
      </c>
      <c r="U51" s="73">
        <v>21800</v>
      </c>
      <c r="V51" s="68">
        <f t="shared" si="0"/>
        <v>72083</v>
      </c>
      <c r="W51" s="72">
        <v>2.8276040971407907E-3</v>
      </c>
      <c r="X51" s="74" t="s">
        <v>42</v>
      </c>
      <c r="Y51" s="74" t="s">
        <v>42</v>
      </c>
      <c r="Z51" s="74" t="s">
        <v>42</v>
      </c>
      <c r="AA51" s="74" t="s">
        <v>42</v>
      </c>
      <c r="AB51" s="74" t="s">
        <v>42</v>
      </c>
      <c r="AC51" s="74" t="s">
        <v>42</v>
      </c>
      <c r="AD51" s="74" t="s">
        <v>42</v>
      </c>
      <c r="AE51" s="74" t="s">
        <v>42</v>
      </c>
      <c r="AF51" s="74">
        <v>28706</v>
      </c>
      <c r="AG51" s="74" t="s">
        <v>42</v>
      </c>
      <c r="AH51" s="74" t="s">
        <v>42</v>
      </c>
      <c r="AI51" s="74" t="s">
        <v>42</v>
      </c>
      <c r="AJ51" s="74" t="s">
        <v>42</v>
      </c>
      <c r="AK51" s="74" t="s">
        <v>42</v>
      </c>
      <c r="AL51" s="74" t="s">
        <v>42</v>
      </c>
      <c r="AM51" s="74" t="s">
        <v>42</v>
      </c>
      <c r="AN51" s="74" t="s">
        <v>42</v>
      </c>
      <c r="AO51" s="74" t="s">
        <v>42</v>
      </c>
      <c r="AP51" s="74" t="s">
        <v>42</v>
      </c>
      <c r="AQ51" s="74" t="s">
        <v>42</v>
      </c>
      <c r="AR51" s="74">
        <v>43377</v>
      </c>
      <c r="AS51" s="74" t="s">
        <v>42</v>
      </c>
      <c r="AT51" s="74" t="s">
        <v>42</v>
      </c>
      <c r="AU51" s="74" t="s">
        <v>42</v>
      </c>
      <c r="AV51" s="74" t="s">
        <v>42</v>
      </c>
      <c r="AW51" s="74" t="s">
        <v>42</v>
      </c>
      <c r="AX51" s="74" t="s">
        <v>42</v>
      </c>
      <c r="AY51" s="74" t="s">
        <v>42</v>
      </c>
      <c r="AZ51" s="74" t="s">
        <v>42</v>
      </c>
      <c r="BA51" s="74" t="s">
        <v>42</v>
      </c>
      <c r="BB51" s="74" t="s">
        <v>42</v>
      </c>
    </row>
    <row r="52" spans="1:54" s="1" customFormat="1" ht="40.049999999999997" customHeight="1" x14ac:dyDescent="0.35">
      <c r="A52" s="62"/>
      <c r="B52" s="63">
        <v>1</v>
      </c>
      <c r="C52" s="64">
        <v>5</v>
      </c>
      <c r="D52" s="62">
        <v>6</v>
      </c>
      <c r="E52" s="62">
        <v>2</v>
      </c>
      <c r="F52" s="65">
        <v>2026</v>
      </c>
      <c r="G52" s="65">
        <v>10</v>
      </c>
      <c r="H52" s="66">
        <v>0.01</v>
      </c>
      <c r="I52" s="66"/>
      <c r="J52" s="67">
        <v>5.2009999999999996</v>
      </c>
      <c r="K52" s="68">
        <v>2</v>
      </c>
      <c r="L52" s="73">
        <v>1</v>
      </c>
      <c r="M52" s="61" t="s">
        <v>72</v>
      </c>
      <c r="N52" s="61" t="s">
        <v>117</v>
      </c>
      <c r="O52" s="62">
        <v>2026</v>
      </c>
      <c r="P52" s="65" t="s">
        <v>118</v>
      </c>
      <c r="Q52" s="62" t="s">
        <v>119</v>
      </c>
      <c r="R52" s="70">
        <v>10300</v>
      </c>
      <c r="S52" s="71">
        <v>1</v>
      </c>
      <c r="T52" s="73">
        <v>10300</v>
      </c>
      <c r="U52" s="73">
        <v>20600</v>
      </c>
      <c r="V52" s="68">
        <f t="shared" si="0"/>
        <v>109935</v>
      </c>
      <c r="W52" s="72">
        <v>4.3124267361121602E-3</v>
      </c>
      <c r="X52" s="74" t="s">
        <v>42</v>
      </c>
      <c r="Y52" s="74" t="s">
        <v>42</v>
      </c>
      <c r="Z52" s="74" t="s">
        <v>42</v>
      </c>
      <c r="AA52" s="74">
        <v>11420</v>
      </c>
      <c r="AB52" s="74" t="s">
        <v>42</v>
      </c>
      <c r="AC52" s="74" t="s">
        <v>42</v>
      </c>
      <c r="AD52" s="74" t="s">
        <v>42</v>
      </c>
      <c r="AE52" s="74" t="s">
        <v>42</v>
      </c>
      <c r="AF52" s="74">
        <v>13563</v>
      </c>
      <c r="AG52" s="74" t="s">
        <v>42</v>
      </c>
      <c r="AH52" s="74" t="s">
        <v>42</v>
      </c>
      <c r="AI52" s="74" t="s">
        <v>42</v>
      </c>
      <c r="AJ52" s="74" t="s">
        <v>42</v>
      </c>
      <c r="AK52" s="74">
        <v>16109</v>
      </c>
      <c r="AL52" s="74" t="s">
        <v>42</v>
      </c>
      <c r="AM52" s="74" t="s">
        <v>42</v>
      </c>
      <c r="AN52" s="74" t="s">
        <v>42</v>
      </c>
      <c r="AO52" s="74" t="s">
        <v>42</v>
      </c>
      <c r="AP52" s="74">
        <v>19132</v>
      </c>
      <c r="AQ52" s="74" t="s">
        <v>42</v>
      </c>
      <c r="AR52" s="74" t="s">
        <v>42</v>
      </c>
      <c r="AS52" s="74" t="s">
        <v>42</v>
      </c>
      <c r="AT52" s="74" t="s">
        <v>42</v>
      </c>
      <c r="AU52" s="74">
        <v>22723</v>
      </c>
      <c r="AV52" s="74" t="s">
        <v>42</v>
      </c>
      <c r="AW52" s="74" t="s">
        <v>42</v>
      </c>
      <c r="AX52" s="74" t="s">
        <v>42</v>
      </c>
      <c r="AY52" s="74" t="s">
        <v>42</v>
      </c>
      <c r="AZ52" s="74">
        <v>26988</v>
      </c>
      <c r="BA52" s="74" t="s">
        <v>42</v>
      </c>
      <c r="BB52" s="74" t="s">
        <v>42</v>
      </c>
    </row>
    <row r="53" spans="1:54" s="1" customFormat="1" ht="40.049999999999997" customHeight="1" x14ac:dyDescent="0.35">
      <c r="A53" s="62"/>
      <c r="B53" s="63">
        <v>1</v>
      </c>
      <c r="C53" s="64">
        <v>1</v>
      </c>
      <c r="D53" s="62">
        <v>1</v>
      </c>
      <c r="E53" s="62">
        <v>1</v>
      </c>
      <c r="F53" s="65">
        <v>2042</v>
      </c>
      <c r="G53" s="65">
        <v>25</v>
      </c>
      <c r="H53" s="66">
        <v>0.01</v>
      </c>
      <c r="I53" s="66"/>
      <c r="J53" s="67">
        <v>5.24</v>
      </c>
      <c r="K53" s="68">
        <v>240</v>
      </c>
      <c r="L53" s="73">
        <v>240</v>
      </c>
      <c r="M53" s="61" t="s">
        <v>49</v>
      </c>
      <c r="N53" s="61" t="s">
        <v>120</v>
      </c>
      <c r="O53" s="62">
        <v>2042</v>
      </c>
      <c r="P53" s="65" t="s">
        <v>40</v>
      </c>
      <c r="Q53" s="62" t="s">
        <v>121</v>
      </c>
      <c r="R53" s="70">
        <v>100</v>
      </c>
      <c r="S53" s="71">
        <v>1</v>
      </c>
      <c r="T53" s="73">
        <v>24000</v>
      </c>
      <c r="U53" s="73">
        <v>24000</v>
      </c>
      <c r="V53" s="68">
        <f t="shared" si="0"/>
        <v>46140</v>
      </c>
      <c r="W53" s="72">
        <v>1.8099365043363356E-3</v>
      </c>
      <c r="X53" s="74" t="s">
        <v>42</v>
      </c>
      <c r="Y53" s="74" t="s">
        <v>42</v>
      </c>
      <c r="Z53" s="74" t="s">
        <v>42</v>
      </c>
      <c r="AA53" s="74" t="s">
        <v>42</v>
      </c>
      <c r="AB53" s="74" t="s">
        <v>42</v>
      </c>
      <c r="AC53" s="74" t="s">
        <v>42</v>
      </c>
      <c r="AD53" s="74" t="s">
        <v>42</v>
      </c>
      <c r="AE53" s="74" t="s">
        <v>42</v>
      </c>
      <c r="AF53" s="74" t="s">
        <v>42</v>
      </c>
      <c r="AG53" s="74" t="s">
        <v>42</v>
      </c>
      <c r="AH53" s="74" t="s">
        <v>42</v>
      </c>
      <c r="AI53" s="74" t="s">
        <v>42</v>
      </c>
      <c r="AJ53" s="74" t="s">
        <v>42</v>
      </c>
      <c r="AK53" s="74" t="s">
        <v>42</v>
      </c>
      <c r="AL53" s="74" t="s">
        <v>42</v>
      </c>
      <c r="AM53" s="74" t="s">
        <v>42</v>
      </c>
      <c r="AN53" s="74" t="s">
        <v>42</v>
      </c>
      <c r="AO53" s="74" t="s">
        <v>42</v>
      </c>
      <c r="AP53" s="74" t="s">
        <v>42</v>
      </c>
      <c r="AQ53" s="74">
        <v>46140</v>
      </c>
      <c r="AR53" s="74" t="s">
        <v>42</v>
      </c>
      <c r="AS53" s="74" t="s">
        <v>42</v>
      </c>
      <c r="AT53" s="74" t="s">
        <v>42</v>
      </c>
      <c r="AU53" s="74" t="s">
        <v>42</v>
      </c>
      <c r="AV53" s="74" t="s">
        <v>42</v>
      </c>
      <c r="AW53" s="74" t="s">
        <v>42</v>
      </c>
      <c r="AX53" s="74" t="s">
        <v>42</v>
      </c>
      <c r="AY53" s="74" t="s">
        <v>42</v>
      </c>
      <c r="AZ53" s="74" t="s">
        <v>42</v>
      </c>
      <c r="BA53" s="74" t="s">
        <v>42</v>
      </c>
      <c r="BB53" s="74" t="s">
        <v>42</v>
      </c>
    </row>
    <row r="54" spans="1:54" s="1" customFormat="1" ht="40.049999999999997" customHeight="1" x14ac:dyDescent="0.35">
      <c r="A54" s="62"/>
      <c r="B54" s="63">
        <v>1</v>
      </c>
      <c r="C54" s="64">
        <v>9</v>
      </c>
      <c r="D54" s="62">
        <v>10</v>
      </c>
      <c r="E54" s="62">
        <v>2</v>
      </c>
      <c r="F54" s="65">
        <v>2028</v>
      </c>
      <c r="G54" s="65">
        <v>18</v>
      </c>
      <c r="H54" s="66">
        <v>0.01</v>
      </c>
      <c r="I54" s="66"/>
      <c r="J54" s="67">
        <v>5.45</v>
      </c>
      <c r="K54" s="68">
        <v>2</v>
      </c>
      <c r="L54" s="73">
        <v>1</v>
      </c>
      <c r="M54" s="61" t="s">
        <v>72</v>
      </c>
      <c r="N54" s="61" t="s">
        <v>122</v>
      </c>
      <c r="O54" s="62">
        <v>2028</v>
      </c>
      <c r="P54" s="65" t="s">
        <v>57</v>
      </c>
      <c r="Q54" s="62" t="s">
        <v>123</v>
      </c>
      <c r="R54" s="70">
        <v>16000</v>
      </c>
      <c r="S54" s="71">
        <v>1</v>
      </c>
      <c r="T54" s="73">
        <v>16000</v>
      </c>
      <c r="U54" s="73">
        <v>32000</v>
      </c>
      <c r="V54" s="68">
        <f t="shared" si="0"/>
        <v>80200</v>
      </c>
      <c r="W54" s="72">
        <v>3.1460101354090619E-3</v>
      </c>
      <c r="X54" s="74" t="s">
        <v>42</v>
      </c>
      <c r="Y54" s="74" t="s">
        <v>42</v>
      </c>
      <c r="Z54" s="74" t="s">
        <v>42</v>
      </c>
      <c r="AA54" s="74" t="s">
        <v>42</v>
      </c>
      <c r="AB54" s="74" t="s">
        <v>42</v>
      </c>
      <c r="AC54" s="74">
        <v>19003</v>
      </c>
      <c r="AD54" s="74" t="s">
        <v>42</v>
      </c>
      <c r="AE54" s="74" t="s">
        <v>42</v>
      </c>
      <c r="AF54" s="74" t="s">
        <v>42</v>
      </c>
      <c r="AG54" s="74" t="s">
        <v>42</v>
      </c>
      <c r="AH54" s="74" t="s">
        <v>42</v>
      </c>
      <c r="AI54" s="74" t="s">
        <v>42</v>
      </c>
      <c r="AJ54" s="74" t="s">
        <v>42</v>
      </c>
      <c r="AK54" s="74" t="s">
        <v>42</v>
      </c>
      <c r="AL54" s="74">
        <v>25899</v>
      </c>
      <c r="AM54" s="74" t="s">
        <v>42</v>
      </c>
      <c r="AN54" s="74" t="s">
        <v>42</v>
      </c>
      <c r="AO54" s="74" t="s">
        <v>42</v>
      </c>
      <c r="AP54" s="74" t="s">
        <v>42</v>
      </c>
      <c r="AQ54" s="74" t="s">
        <v>42</v>
      </c>
      <c r="AR54" s="74" t="s">
        <v>42</v>
      </c>
      <c r="AS54" s="74" t="s">
        <v>42</v>
      </c>
      <c r="AT54" s="74" t="s">
        <v>42</v>
      </c>
      <c r="AU54" s="74">
        <v>35298</v>
      </c>
      <c r="AV54" s="74" t="s">
        <v>42</v>
      </c>
      <c r="AW54" s="74" t="s">
        <v>42</v>
      </c>
      <c r="AX54" s="74" t="s">
        <v>42</v>
      </c>
      <c r="AY54" s="74" t="s">
        <v>42</v>
      </c>
      <c r="AZ54" s="74" t="s">
        <v>42</v>
      </c>
      <c r="BA54" s="74" t="s">
        <v>42</v>
      </c>
      <c r="BB54" s="74" t="s">
        <v>42</v>
      </c>
    </row>
    <row r="55" spans="1:54" s="1" customFormat="1" ht="40.049999999999997" customHeight="1" x14ac:dyDescent="0.35">
      <c r="A55" s="62"/>
      <c r="B55" s="63">
        <v>1</v>
      </c>
      <c r="C55" s="64">
        <v>1</v>
      </c>
      <c r="D55" s="62">
        <v>1</v>
      </c>
      <c r="E55" s="62">
        <v>1</v>
      </c>
      <c r="F55" s="65">
        <v>2030</v>
      </c>
      <c r="G55" s="65">
        <v>23</v>
      </c>
      <c r="H55" s="66">
        <v>0.01</v>
      </c>
      <c r="I55" s="66"/>
      <c r="J55" s="67">
        <v>5.52</v>
      </c>
      <c r="K55" s="68">
        <v>1</v>
      </c>
      <c r="L55" s="73">
        <v>1</v>
      </c>
      <c r="M55" s="61" t="s">
        <v>72</v>
      </c>
      <c r="N55" s="61" t="s">
        <v>124</v>
      </c>
      <c r="O55" s="62">
        <v>2030</v>
      </c>
      <c r="P55" s="65" t="s">
        <v>51</v>
      </c>
      <c r="Q55" s="62" t="s">
        <v>74</v>
      </c>
      <c r="R55" s="70">
        <v>21000</v>
      </c>
      <c r="S55" s="71">
        <v>1</v>
      </c>
      <c r="T55" s="73">
        <v>21000</v>
      </c>
      <c r="U55" s="73">
        <v>21000</v>
      </c>
      <c r="V55" s="68">
        <f t="shared" si="0"/>
        <v>85661</v>
      </c>
      <c r="W55" s="72">
        <v>3.3602291048538111E-3</v>
      </c>
      <c r="X55" s="74" t="s">
        <v>42</v>
      </c>
      <c r="Y55" s="74" t="s">
        <v>42</v>
      </c>
      <c r="Z55" s="74" t="s">
        <v>42</v>
      </c>
      <c r="AA55" s="74" t="s">
        <v>42</v>
      </c>
      <c r="AB55" s="74" t="s">
        <v>42</v>
      </c>
      <c r="AC55" s="74" t="s">
        <v>42</v>
      </c>
      <c r="AD55" s="74" t="s">
        <v>42</v>
      </c>
      <c r="AE55" s="74">
        <v>26718</v>
      </c>
      <c r="AF55" s="74" t="s">
        <v>42</v>
      </c>
      <c r="AG55" s="74" t="s">
        <v>42</v>
      </c>
      <c r="AH55" s="74" t="s">
        <v>42</v>
      </c>
      <c r="AI55" s="74" t="s">
        <v>42</v>
      </c>
      <c r="AJ55" s="74" t="s">
        <v>42</v>
      </c>
      <c r="AK55" s="74" t="s">
        <v>42</v>
      </c>
      <c r="AL55" s="74" t="s">
        <v>42</v>
      </c>
      <c r="AM55" s="74" t="s">
        <v>42</v>
      </c>
      <c r="AN55" s="74" t="s">
        <v>42</v>
      </c>
      <c r="AO55" s="74" t="s">
        <v>42</v>
      </c>
      <c r="AP55" s="74" t="s">
        <v>42</v>
      </c>
      <c r="AQ55" s="74" t="s">
        <v>42</v>
      </c>
      <c r="AR55" s="74" t="s">
        <v>42</v>
      </c>
      <c r="AS55" s="74" t="s">
        <v>42</v>
      </c>
      <c r="AT55" s="74" t="s">
        <v>42</v>
      </c>
      <c r="AU55" s="74" t="s">
        <v>42</v>
      </c>
      <c r="AV55" s="74" t="s">
        <v>42</v>
      </c>
      <c r="AW55" s="74" t="s">
        <v>42</v>
      </c>
      <c r="AX55" s="74" t="s">
        <v>42</v>
      </c>
      <c r="AY55" s="74" t="s">
        <v>42</v>
      </c>
      <c r="AZ55" s="74" t="s">
        <v>42</v>
      </c>
      <c r="BA55" s="74" t="s">
        <v>42</v>
      </c>
      <c r="BB55" s="74">
        <v>58943</v>
      </c>
    </row>
    <row r="56" spans="1:54" s="1" customFormat="1" ht="40.049999999999997" customHeight="1" x14ac:dyDescent="0.35">
      <c r="A56" s="62"/>
      <c r="B56" s="63">
        <v>1</v>
      </c>
      <c r="C56" s="64">
        <v>1</v>
      </c>
      <c r="D56" s="62">
        <v>1</v>
      </c>
      <c r="E56" s="62">
        <v>1</v>
      </c>
      <c r="F56" s="65">
        <v>2028</v>
      </c>
      <c r="G56" s="65">
        <v>23</v>
      </c>
      <c r="H56" s="66">
        <v>0.01</v>
      </c>
      <c r="I56" s="66"/>
      <c r="J56" s="67">
        <v>5.601</v>
      </c>
      <c r="K56" s="68">
        <v>2</v>
      </c>
      <c r="L56" s="73">
        <v>2</v>
      </c>
      <c r="M56" s="61" t="s">
        <v>38</v>
      </c>
      <c r="N56" s="61" t="s">
        <v>125</v>
      </c>
      <c r="O56" s="62">
        <v>2028</v>
      </c>
      <c r="P56" s="65" t="s">
        <v>51</v>
      </c>
      <c r="Q56" s="62" t="s">
        <v>46</v>
      </c>
      <c r="R56" s="70">
        <v>9800</v>
      </c>
      <c r="S56" s="71">
        <v>1</v>
      </c>
      <c r="T56" s="73">
        <v>19600</v>
      </c>
      <c r="U56" s="73">
        <v>19600</v>
      </c>
      <c r="V56" s="68">
        <f t="shared" si="0"/>
        <v>74634</v>
      </c>
      <c r="W56" s="72">
        <v>2.9276723247645877E-3</v>
      </c>
      <c r="X56" s="74" t="s">
        <v>42</v>
      </c>
      <c r="Y56" s="74" t="s">
        <v>42</v>
      </c>
      <c r="Z56" s="74" t="s">
        <v>42</v>
      </c>
      <c r="AA56" s="74" t="s">
        <v>42</v>
      </c>
      <c r="AB56" s="74" t="s">
        <v>42</v>
      </c>
      <c r="AC56" s="74">
        <v>23279</v>
      </c>
      <c r="AD56" s="74" t="s">
        <v>42</v>
      </c>
      <c r="AE56" s="74" t="s">
        <v>42</v>
      </c>
      <c r="AF56" s="74" t="s">
        <v>42</v>
      </c>
      <c r="AG56" s="74" t="s">
        <v>42</v>
      </c>
      <c r="AH56" s="74" t="s">
        <v>42</v>
      </c>
      <c r="AI56" s="74" t="s">
        <v>42</v>
      </c>
      <c r="AJ56" s="74" t="s">
        <v>42</v>
      </c>
      <c r="AK56" s="74" t="s">
        <v>42</v>
      </c>
      <c r="AL56" s="74" t="s">
        <v>42</v>
      </c>
      <c r="AM56" s="74" t="s">
        <v>42</v>
      </c>
      <c r="AN56" s="74" t="s">
        <v>42</v>
      </c>
      <c r="AO56" s="74" t="s">
        <v>42</v>
      </c>
      <c r="AP56" s="74" t="s">
        <v>42</v>
      </c>
      <c r="AQ56" s="74" t="s">
        <v>42</v>
      </c>
      <c r="AR56" s="74" t="s">
        <v>42</v>
      </c>
      <c r="AS56" s="74" t="s">
        <v>42</v>
      </c>
      <c r="AT56" s="74" t="s">
        <v>42</v>
      </c>
      <c r="AU56" s="74" t="s">
        <v>42</v>
      </c>
      <c r="AV56" s="74" t="s">
        <v>42</v>
      </c>
      <c r="AW56" s="74" t="s">
        <v>42</v>
      </c>
      <c r="AX56" s="74" t="s">
        <v>42</v>
      </c>
      <c r="AY56" s="74" t="s">
        <v>42</v>
      </c>
      <c r="AZ56" s="74">
        <v>51355</v>
      </c>
      <c r="BA56" s="74" t="s">
        <v>42</v>
      </c>
      <c r="BB56" s="74" t="s">
        <v>42</v>
      </c>
    </row>
    <row r="57" spans="1:54" s="1" customFormat="1" ht="40.049999999999997" customHeight="1" x14ac:dyDescent="0.35">
      <c r="A57" s="62"/>
      <c r="B57" s="63">
        <v>1</v>
      </c>
      <c r="C57" s="64">
        <v>1</v>
      </c>
      <c r="D57" s="62">
        <v>1</v>
      </c>
      <c r="E57" s="62">
        <v>1</v>
      </c>
      <c r="F57" s="65">
        <v>2039</v>
      </c>
      <c r="G57" s="65">
        <v>20</v>
      </c>
      <c r="H57" s="66">
        <v>0.01</v>
      </c>
      <c r="I57" s="66"/>
      <c r="J57" s="67">
        <v>5.7</v>
      </c>
      <c r="K57" s="68">
        <v>50</v>
      </c>
      <c r="L57" s="73">
        <v>50</v>
      </c>
      <c r="M57" s="61" t="s">
        <v>58</v>
      </c>
      <c r="N57" s="61" t="s">
        <v>126</v>
      </c>
      <c r="O57" s="62">
        <v>2039</v>
      </c>
      <c r="P57" s="65" t="s">
        <v>51</v>
      </c>
      <c r="Q57" s="62" t="s">
        <v>127</v>
      </c>
      <c r="R57" s="70">
        <v>2200</v>
      </c>
      <c r="S57" s="71">
        <v>1</v>
      </c>
      <c r="T57" s="73">
        <v>110000</v>
      </c>
      <c r="U57" s="73">
        <v>110000</v>
      </c>
      <c r="V57" s="68">
        <f t="shared" si="0"/>
        <v>190738</v>
      </c>
      <c r="W57" s="72">
        <v>7.4820907881253569E-3</v>
      </c>
      <c r="X57" s="74" t="s">
        <v>42</v>
      </c>
      <c r="Y57" s="74" t="s">
        <v>42</v>
      </c>
      <c r="Z57" s="74" t="s">
        <v>42</v>
      </c>
      <c r="AA57" s="74" t="s">
        <v>42</v>
      </c>
      <c r="AB57" s="74" t="s">
        <v>42</v>
      </c>
      <c r="AC57" s="74" t="s">
        <v>42</v>
      </c>
      <c r="AD57" s="74" t="s">
        <v>42</v>
      </c>
      <c r="AE57" s="74" t="s">
        <v>42</v>
      </c>
      <c r="AF57" s="74" t="s">
        <v>42</v>
      </c>
      <c r="AG57" s="74" t="s">
        <v>42</v>
      </c>
      <c r="AH57" s="74" t="s">
        <v>42</v>
      </c>
      <c r="AI57" s="74" t="s">
        <v>42</v>
      </c>
      <c r="AJ57" s="74" t="s">
        <v>42</v>
      </c>
      <c r="AK57" s="74" t="s">
        <v>42</v>
      </c>
      <c r="AL57" s="74" t="s">
        <v>42</v>
      </c>
      <c r="AM57" s="74" t="s">
        <v>42</v>
      </c>
      <c r="AN57" s="74">
        <v>190738</v>
      </c>
      <c r="AO57" s="74" t="s">
        <v>42</v>
      </c>
      <c r="AP57" s="74" t="s">
        <v>42</v>
      </c>
      <c r="AQ57" s="74" t="s">
        <v>42</v>
      </c>
      <c r="AR57" s="74" t="s">
        <v>42</v>
      </c>
      <c r="AS57" s="74" t="s">
        <v>42</v>
      </c>
      <c r="AT57" s="74" t="s">
        <v>42</v>
      </c>
      <c r="AU57" s="74" t="s">
        <v>42</v>
      </c>
      <c r="AV57" s="74" t="s">
        <v>42</v>
      </c>
      <c r="AW57" s="74" t="s">
        <v>42</v>
      </c>
      <c r="AX57" s="74" t="s">
        <v>42</v>
      </c>
      <c r="AY57" s="74" t="s">
        <v>42</v>
      </c>
      <c r="AZ57" s="74" t="s">
        <v>42</v>
      </c>
      <c r="BA57" s="74" t="s">
        <v>42</v>
      </c>
      <c r="BB57" s="74" t="s">
        <v>42</v>
      </c>
    </row>
    <row r="58" spans="1:54" s="1" customFormat="1" ht="40.049999999999997" customHeight="1" x14ac:dyDescent="0.35">
      <c r="A58" s="62"/>
      <c r="B58" s="63"/>
      <c r="C58" s="64"/>
      <c r="D58" s="62"/>
      <c r="E58" s="62"/>
      <c r="F58" s="65"/>
      <c r="G58" s="65"/>
      <c r="H58" s="66"/>
      <c r="I58" s="66"/>
      <c r="J58" s="67"/>
      <c r="K58" s="68"/>
      <c r="L58" s="61"/>
      <c r="M58" s="61"/>
      <c r="N58" s="61"/>
      <c r="O58" s="62"/>
      <c r="P58" s="65"/>
      <c r="Q58" s="62"/>
      <c r="R58" s="70"/>
      <c r="S58" s="71"/>
      <c r="T58" s="61"/>
      <c r="U58" s="61"/>
      <c r="V58" s="68">
        <f t="shared" si="0"/>
        <v>0</v>
      </c>
      <c r="W58" s="72"/>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row>
    <row r="59" spans="1:54" s="1" customFormat="1" ht="40.049999999999997" customHeight="1" x14ac:dyDescent="0.35">
      <c r="A59" s="62"/>
      <c r="B59" s="63"/>
      <c r="C59" s="64"/>
      <c r="D59" s="62"/>
      <c r="E59" s="62"/>
      <c r="F59" s="65"/>
      <c r="G59" s="65"/>
      <c r="H59" s="66"/>
      <c r="I59" s="66"/>
      <c r="J59" s="67"/>
      <c r="K59" s="68"/>
      <c r="L59" s="61"/>
      <c r="M59" s="61"/>
      <c r="N59" s="69" t="s">
        <v>128</v>
      </c>
      <c r="O59" s="62"/>
      <c r="P59" s="65"/>
      <c r="Q59" s="62"/>
      <c r="R59" s="70"/>
      <c r="S59" s="71"/>
      <c r="T59" s="61"/>
      <c r="U59" s="61"/>
      <c r="V59" s="68">
        <f t="shared" si="0"/>
        <v>0</v>
      </c>
      <c r="W59" s="72"/>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row>
    <row r="60" spans="1:54" s="1" customFormat="1" ht="40.049999999999997" customHeight="1" x14ac:dyDescent="0.35">
      <c r="A60" s="62"/>
      <c r="B60" s="63">
        <v>1</v>
      </c>
      <c r="C60" s="64">
        <v>1</v>
      </c>
      <c r="D60" s="62">
        <v>1</v>
      </c>
      <c r="E60" s="62">
        <v>1</v>
      </c>
      <c r="F60" s="65">
        <v>2033</v>
      </c>
      <c r="G60" s="65">
        <v>25</v>
      </c>
      <c r="H60" s="66">
        <v>0.01</v>
      </c>
      <c r="I60" s="66"/>
      <c r="J60" s="67">
        <v>6.2</v>
      </c>
      <c r="K60" s="68">
        <v>4000</v>
      </c>
      <c r="L60" s="73">
        <v>4000</v>
      </c>
      <c r="M60" s="61" t="s">
        <v>43</v>
      </c>
      <c r="N60" s="61" t="s">
        <v>129</v>
      </c>
      <c r="O60" s="62">
        <v>2033</v>
      </c>
      <c r="P60" s="65" t="s">
        <v>51</v>
      </c>
      <c r="Q60" s="62" t="s">
        <v>130</v>
      </c>
      <c r="R60" s="70">
        <v>9</v>
      </c>
      <c r="S60" s="71">
        <v>1</v>
      </c>
      <c r="T60" s="73">
        <v>36000</v>
      </c>
      <c r="U60" s="73">
        <v>36000</v>
      </c>
      <c r="V60" s="68">
        <f t="shared" si="0"/>
        <v>50782</v>
      </c>
      <c r="W60" s="72">
        <v>1.9920285124232291E-3</v>
      </c>
      <c r="X60" s="74" t="s">
        <v>42</v>
      </c>
      <c r="Y60" s="74" t="s">
        <v>42</v>
      </c>
      <c r="Z60" s="74" t="s">
        <v>42</v>
      </c>
      <c r="AA60" s="74" t="s">
        <v>42</v>
      </c>
      <c r="AB60" s="74" t="s">
        <v>42</v>
      </c>
      <c r="AC60" s="74" t="s">
        <v>42</v>
      </c>
      <c r="AD60" s="74" t="s">
        <v>42</v>
      </c>
      <c r="AE60" s="74" t="s">
        <v>42</v>
      </c>
      <c r="AF60" s="74" t="s">
        <v>42</v>
      </c>
      <c r="AG60" s="74" t="s">
        <v>42</v>
      </c>
      <c r="AH60" s="74">
        <v>50782</v>
      </c>
      <c r="AI60" s="74" t="s">
        <v>42</v>
      </c>
      <c r="AJ60" s="74" t="s">
        <v>42</v>
      </c>
      <c r="AK60" s="74" t="s">
        <v>42</v>
      </c>
      <c r="AL60" s="74" t="s">
        <v>42</v>
      </c>
      <c r="AM60" s="74" t="s">
        <v>42</v>
      </c>
      <c r="AN60" s="74" t="s">
        <v>42</v>
      </c>
      <c r="AO60" s="74" t="s">
        <v>42</v>
      </c>
      <c r="AP60" s="74" t="s">
        <v>42</v>
      </c>
      <c r="AQ60" s="74" t="s">
        <v>42</v>
      </c>
      <c r="AR60" s="74" t="s">
        <v>42</v>
      </c>
      <c r="AS60" s="74" t="s">
        <v>42</v>
      </c>
      <c r="AT60" s="74" t="s">
        <v>42</v>
      </c>
      <c r="AU60" s="74" t="s">
        <v>42</v>
      </c>
      <c r="AV60" s="74" t="s">
        <v>42</v>
      </c>
      <c r="AW60" s="74" t="s">
        <v>42</v>
      </c>
      <c r="AX60" s="74" t="s">
        <v>42</v>
      </c>
      <c r="AY60" s="74" t="s">
        <v>42</v>
      </c>
      <c r="AZ60" s="74" t="s">
        <v>42</v>
      </c>
      <c r="BA60" s="74" t="s">
        <v>42</v>
      </c>
      <c r="BB60" s="74" t="s">
        <v>42</v>
      </c>
    </row>
    <row r="61" spans="1:54" s="1" customFormat="1" ht="40.049999999999997" customHeight="1" x14ac:dyDescent="0.35">
      <c r="A61" s="62"/>
      <c r="B61" s="63">
        <v>1</v>
      </c>
      <c r="C61" s="64">
        <v>1</v>
      </c>
      <c r="D61" s="62">
        <v>1</v>
      </c>
      <c r="E61" s="62">
        <v>1</v>
      </c>
      <c r="F61" s="65">
        <v>2044</v>
      </c>
      <c r="G61" s="65">
        <v>25</v>
      </c>
      <c r="H61" s="66">
        <v>0.01</v>
      </c>
      <c r="I61" s="66"/>
      <c r="J61" s="67">
        <v>6.4</v>
      </c>
      <c r="K61" s="68">
        <v>220</v>
      </c>
      <c r="L61" s="73">
        <v>220</v>
      </c>
      <c r="M61" s="61" t="s">
        <v>47</v>
      </c>
      <c r="N61" s="61" t="s">
        <v>131</v>
      </c>
      <c r="O61" s="62">
        <v>2044</v>
      </c>
      <c r="P61" s="65" t="s">
        <v>51</v>
      </c>
      <c r="Q61" s="62" t="s">
        <v>132</v>
      </c>
      <c r="R61" s="70">
        <v>50</v>
      </c>
      <c r="S61" s="71">
        <v>1</v>
      </c>
      <c r="T61" s="73">
        <v>11000</v>
      </c>
      <c r="U61" s="73">
        <v>11000</v>
      </c>
      <c r="V61" s="68">
        <f t="shared" si="0"/>
        <v>22654</v>
      </c>
      <c r="W61" s="72">
        <v>8.8864979560544744E-4</v>
      </c>
      <c r="X61" s="74" t="s">
        <v>42</v>
      </c>
      <c r="Y61" s="74" t="s">
        <v>42</v>
      </c>
      <c r="Z61" s="74" t="s">
        <v>42</v>
      </c>
      <c r="AA61" s="74" t="s">
        <v>42</v>
      </c>
      <c r="AB61" s="74" t="s">
        <v>42</v>
      </c>
      <c r="AC61" s="74" t="s">
        <v>42</v>
      </c>
      <c r="AD61" s="74" t="s">
        <v>42</v>
      </c>
      <c r="AE61" s="74" t="s">
        <v>42</v>
      </c>
      <c r="AF61" s="74" t="s">
        <v>42</v>
      </c>
      <c r="AG61" s="74" t="s">
        <v>42</v>
      </c>
      <c r="AH61" s="74" t="s">
        <v>42</v>
      </c>
      <c r="AI61" s="74" t="s">
        <v>42</v>
      </c>
      <c r="AJ61" s="74" t="s">
        <v>42</v>
      </c>
      <c r="AK61" s="74" t="s">
        <v>42</v>
      </c>
      <c r="AL61" s="74" t="s">
        <v>42</v>
      </c>
      <c r="AM61" s="74" t="s">
        <v>42</v>
      </c>
      <c r="AN61" s="74" t="s">
        <v>42</v>
      </c>
      <c r="AO61" s="74" t="s">
        <v>42</v>
      </c>
      <c r="AP61" s="74" t="s">
        <v>42</v>
      </c>
      <c r="AQ61" s="74" t="s">
        <v>42</v>
      </c>
      <c r="AR61" s="74" t="s">
        <v>42</v>
      </c>
      <c r="AS61" s="74">
        <v>22654</v>
      </c>
      <c r="AT61" s="74" t="s">
        <v>42</v>
      </c>
      <c r="AU61" s="74" t="s">
        <v>42</v>
      </c>
      <c r="AV61" s="74" t="s">
        <v>42</v>
      </c>
      <c r="AW61" s="74" t="s">
        <v>42</v>
      </c>
      <c r="AX61" s="74" t="s">
        <v>42</v>
      </c>
      <c r="AY61" s="74" t="s">
        <v>42</v>
      </c>
      <c r="AZ61" s="74" t="s">
        <v>42</v>
      </c>
      <c r="BA61" s="74" t="s">
        <v>42</v>
      </c>
      <c r="BB61" s="74" t="s">
        <v>42</v>
      </c>
    </row>
    <row r="62" spans="1:54" s="1" customFormat="1" ht="40.049999999999997" customHeight="1" x14ac:dyDescent="0.35">
      <c r="A62" s="62"/>
      <c r="B62" s="63">
        <v>1</v>
      </c>
      <c r="C62" s="64">
        <v>5</v>
      </c>
      <c r="D62" s="62">
        <v>6</v>
      </c>
      <c r="E62" s="62">
        <v>2</v>
      </c>
      <c r="F62" s="65">
        <v>2026</v>
      </c>
      <c r="G62" s="65">
        <v>10</v>
      </c>
      <c r="H62" s="66">
        <v>0.01</v>
      </c>
      <c r="I62" s="66"/>
      <c r="J62" s="67">
        <v>6.6</v>
      </c>
      <c r="K62" s="68">
        <v>2</v>
      </c>
      <c r="L62" s="73">
        <v>1</v>
      </c>
      <c r="M62" s="61" t="s">
        <v>72</v>
      </c>
      <c r="N62" s="61" t="s">
        <v>133</v>
      </c>
      <c r="O62" s="62">
        <v>2026</v>
      </c>
      <c r="P62" s="65" t="s">
        <v>103</v>
      </c>
      <c r="Q62" s="62" t="s">
        <v>119</v>
      </c>
      <c r="R62" s="70">
        <v>10000</v>
      </c>
      <c r="S62" s="71">
        <v>1</v>
      </c>
      <c r="T62" s="73">
        <v>10000</v>
      </c>
      <c r="U62" s="73">
        <v>20000</v>
      </c>
      <c r="V62" s="68">
        <f t="shared" si="0"/>
        <v>106733</v>
      </c>
      <c r="W62" s="72">
        <v>4.1868216930500673E-3</v>
      </c>
      <c r="X62" s="74" t="s">
        <v>42</v>
      </c>
      <c r="Y62" s="74" t="s">
        <v>42</v>
      </c>
      <c r="Z62" s="74" t="s">
        <v>42</v>
      </c>
      <c r="AA62" s="74">
        <v>11087</v>
      </c>
      <c r="AB62" s="74" t="s">
        <v>42</v>
      </c>
      <c r="AC62" s="74" t="s">
        <v>42</v>
      </c>
      <c r="AD62" s="74" t="s">
        <v>42</v>
      </c>
      <c r="AE62" s="74" t="s">
        <v>42</v>
      </c>
      <c r="AF62" s="74">
        <v>13168</v>
      </c>
      <c r="AG62" s="74" t="s">
        <v>42</v>
      </c>
      <c r="AH62" s="74" t="s">
        <v>42</v>
      </c>
      <c r="AI62" s="74" t="s">
        <v>42</v>
      </c>
      <c r="AJ62" s="74" t="s">
        <v>42</v>
      </c>
      <c r="AK62" s="74">
        <v>15640</v>
      </c>
      <c r="AL62" s="74" t="s">
        <v>42</v>
      </c>
      <c r="AM62" s="74" t="s">
        <v>42</v>
      </c>
      <c r="AN62" s="74" t="s">
        <v>42</v>
      </c>
      <c r="AO62" s="74" t="s">
        <v>42</v>
      </c>
      <c r="AP62" s="74">
        <v>18575</v>
      </c>
      <c r="AQ62" s="74" t="s">
        <v>42</v>
      </c>
      <c r="AR62" s="74" t="s">
        <v>42</v>
      </c>
      <c r="AS62" s="74" t="s">
        <v>42</v>
      </c>
      <c r="AT62" s="74" t="s">
        <v>42</v>
      </c>
      <c r="AU62" s="74">
        <v>22061</v>
      </c>
      <c r="AV62" s="74" t="s">
        <v>42</v>
      </c>
      <c r="AW62" s="74" t="s">
        <v>42</v>
      </c>
      <c r="AX62" s="74" t="s">
        <v>42</v>
      </c>
      <c r="AY62" s="74" t="s">
        <v>42</v>
      </c>
      <c r="AZ62" s="74">
        <v>26202</v>
      </c>
      <c r="BA62" s="74" t="s">
        <v>42</v>
      </c>
      <c r="BB62" s="74" t="s">
        <v>42</v>
      </c>
    </row>
    <row r="63" spans="1:54" s="1" customFormat="1" ht="40.049999999999997" customHeight="1" x14ac:dyDescent="0.35">
      <c r="A63" s="62"/>
      <c r="B63" s="63">
        <v>1</v>
      </c>
      <c r="C63" s="64">
        <v>1</v>
      </c>
      <c r="D63" s="62">
        <v>1</v>
      </c>
      <c r="E63" s="62">
        <v>1</v>
      </c>
      <c r="F63" s="65">
        <v>2033</v>
      </c>
      <c r="G63" s="65">
        <v>10</v>
      </c>
      <c r="H63" s="66">
        <v>0.01</v>
      </c>
      <c r="I63" s="66"/>
      <c r="J63" s="67">
        <v>6.8</v>
      </c>
      <c r="K63" s="68">
        <v>1500</v>
      </c>
      <c r="L63" s="73">
        <v>1500</v>
      </c>
      <c r="M63" s="61" t="s">
        <v>43</v>
      </c>
      <c r="N63" s="61" t="s">
        <v>134</v>
      </c>
      <c r="O63" s="62">
        <v>2043</v>
      </c>
      <c r="P63" s="65" t="s">
        <v>135</v>
      </c>
      <c r="Q63" s="62" t="s">
        <v>88</v>
      </c>
      <c r="R63" s="70">
        <v>15</v>
      </c>
      <c r="S63" s="71">
        <v>1</v>
      </c>
      <c r="T63" s="73">
        <v>22500</v>
      </c>
      <c r="U63" s="73">
        <v>22500</v>
      </c>
      <c r="V63" s="68">
        <f t="shared" si="0"/>
        <v>107923</v>
      </c>
      <c r="W63" s="72">
        <v>4.2335018933136181E-3</v>
      </c>
      <c r="X63" s="74" t="s">
        <v>42</v>
      </c>
      <c r="Y63" s="74" t="s">
        <v>42</v>
      </c>
      <c r="Z63" s="74" t="s">
        <v>42</v>
      </c>
      <c r="AA63" s="74" t="s">
        <v>42</v>
      </c>
      <c r="AB63" s="74" t="s">
        <v>42</v>
      </c>
      <c r="AC63" s="74" t="s">
        <v>42</v>
      </c>
      <c r="AD63" s="74" t="s">
        <v>42</v>
      </c>
      <c r="AE63" s="74" t="s">
        <v>42</v>
      </c>
      <c r="AF63" s="74" t="s">
        <v>42</v>
      </c>
      <c r="AG63" s="74" t="s">
        <v>42</v>
      </c>
      <c r="AH63" s="74" t="s">
        <v>42</v>
      </c>
      <c r="AI63" s="74" t="s">
        <v>42</v>
      </c>
      <c r="AJ63" s="74" t="s">
        <v>42</v>
      </c>
      <c r="AK63" s="74" t="s">
        <v>42</v>
      </c>
      <c r="AL63" s="74" t="s">
        <v>42</v>
      </c>
      <c r="AM63" s="74" t="s">
        <v>42</v>
      </c>
      <c r="AN63" s="74" t="s">
        <v>42</v>
      </c>
      <c r="AO63" s="74" t="s">
        <v>42</v>
      </c>
      <c r="AP63" s="74" t="s">
        <v>42</v>
      </c>
      <c r="AQ63" s="74" t="s">
        <v>42</v>
      </c>
      <c r="AR63" s="74">
        <v>44770</v>
      </c>
      <c r="AS63" s="74" t="s">
        <v>42</v>
      </c>
      <c r="AT63" s="74" t="s">
        <v>42</v>
      </c>
      <c r="AU63" s="74" t="s">
        <v>42</v>
      </c>
      <c r="AV63" s="74" t="s">
        <v>42</v>
      </c>
      <c r="AW63" s="74" t="s">
        <v>42</v>
      </c>
      <c r="AX63" s="74" t="s">
        <v>42</v>
      </c>
      <c r="AY63" s="74" t="s">
        <v>42</v>
      </c>
      <c r="AZ63" s="74" t="s">
        <v>42</v>
      </c>
      <c r="BA63" s="74" t="s">
        <v>42</v>
      </c>
      <c r="BB63" s="74">
        <v>63153</v>
      </c>
    </row>
    <row r="64" spans="1:54" s="1" customFormat="1" ht="40.049999999999997" customHeight="1" x14ac:dyDescent="0.35">
      <c r="A64" s="62"/>
      <c r="B64" s="63">
        <v>1</v>
      </c>
      <c r="C64" s="64">
        <v>1</v>
      </c>
      <c r="D64" s="62">
        <v>1</v>
      </c>
      <c r="E64" s="62">
        <v>1</v>
      </c>
      <c r="F64" s="65">
        <v>2033</v>
      </c>
      <c r="G64" s="65">
        <v>20</v>
      </c>
      <c r="H64" s="66">
        <v>0.01</v>
      </c>
      <c r="I64" s="66"/>
      <c r="J64" s="67">
        <v>6.8010000000000002</v>
      </c>
      <c r="K64" s="68">
        <v>170</v>
      </c>
      <c r="L64" s="73">
        <v>170</v>
      </c>
      <c r="M64" s="61" t="s">
        <v>47</v>
      </c>
      <c r="N64" s="61" t="s">
        <v>136</v>
      </c>
      <c r="O64" s="62">
        <v>2053</v>
      </c>
      <c r="P64" s="65" t="s">
        <v>137</v>
      </c>
      <c r="Q64" s="62" t="s">
        <v>138</v>
      </c>
      <c r="R64" s="70">
        <v>38</v>
      </c>
      <c r="S64" s="71">
        <v>1</v>
      </c>
      <c r="T64" s="73">
        <v>6460</v>
      </c>
      <c r="U64" s="73">
        <v>6460</v>
      </c>
      <c r="V64" s="68">
        <f t="shared" si="0"/>
        <v>18132</v>
      </c>
      <c r="W64" s="72">
        <v>7.1126503460395402E-4</v>
      </c>
      <c r="X64" s="74" t="s">
        <v>42</v>
      </c>
      <c r="Y64" s="74" t="s">
        <v>42</v>
      </c>
      <c r="Z64" s="74" t="s">
        <v>42</v>
      </c>
      <c r="AA64" s="74" t="s">
        <v>42</v>
      </c>
      <c r="AB64" s="74" t="s">
        <v>42</v>
      </c>
      <c r="AC64" s="74" t="s">
        <v>42</v>
      </c>
      <c r="AD64" s="74" t="s">
        <v>42</v>
      </c>
      <c r="AE64" s="74" t="s">
        <v>42</v>
      </c>
      <c r="AF64" s="74" t="s">
        <v>42</v>
      </c>
      <c r="AG64" s="74" t="s">
        <v>42</v>
      </c>
      <c r="AH64" s="74" t="s">
        <v>42</v>
      </c>
      <c r="AI64" s="74" t="s">
        <v>42</v>
      </c>
      <c r="AJ64" s="74" t="s">
        <v>42</v>
      </c>
      <c r="AK64" s="74" t="s">
        <v>42</v>
      </c>
      <c r="AL64" s="74" t="s">
        <v>42</v>
      </c>
      <c r="AM64" s="74" t="s">
        <v>42</v>
      </c>
      <c r="AN64" s="74" t="s">
        <v>42</v>
      </c>
      <c r="AO64" s="74" t="s">
        <v>42</v>
      </c>
      <c r="AP64" s="74" t="s">
        <v>42</v>
      </c>
      <c r="AQ64" s="74" t="s">
        <v>42</v>
      </c>
      <c r="AR64" s="74" t="s">
        <v>42</v>
      </c>
      <c r="AS64" s="74" t="s">
        <v>42</v>
      </c>
      <c r="AT64" s="74" t="s">
        <v>42</v>
      </c>
      <c r="AU64" s="74" t="s">
        <v>42</v>
      </c>
      <c r="AV64" s="74" t="s">
        <v>42</v>
      </c>
      <c r="AW64" s="74" t="s">
        <v>42</v>
      </c>
      <c r="AX64" s="74" t="s">
        <v>42</v>
      </c>
      <c r="AY64" s="74" t="s">
        <v>42</v>
      </c>
      <c r="AZ64" s="74" t="s">
        <v>42</v>
      </c>
      <c r="BA64" s="74" t="s">
        <v>42</v>
      </c>
      <c r="BB64" s="74">
        <v>18132</v>
      </c>
    </row>
    <row r="65" spans="1:154" s="1" customFormat="1" ht="40.049999999999997" customHeight="1" x14ac:dyDescent="0.35">
      <c r="A65" s="62"/>
      <c r="B65" s="63">
        <v>1</v>
      </c>
      <c r="C65" s="64">
        <v>1</v>
      </c>
      <c r="D65" s="62">
        <v>1</v>
      </c>
      <c r="E65" s="62">
        <v>1</v>
      </c>
      <c r="F65" s="65">
        <v>2033</v>
      </c>
      <c r="G65" s="65">
        <v>60</v>
      </c>
      <c r="H65" s="66">
        <v>0.01</v>
      </c>
      <c r="I65" s="66"/>
      <c r="J65" s="67">
        <v>6.9</v>
      </c>
      <c r="K65" s="68">
        <v>1500</v>
      </c>
      <c r="L65" s="73">
        <v>1500</v>
      </c>
      <c r="M65" s="61" t="s">
        <v>43</v>
      </c>
      <c r="N65" s="61" t="s">
        <v>139</v>
      </c>
      <c r="O65" s="62">
        <v>2033</v>
      </c>
      <c r="P65" s="65" t="s">
        <v>140</v>
      </c>
      <c r="Q65" s="62" t="s">
        <v>130</v>
      </c>
      <c r="R65" s="70">
        <v>150</v>
      </c>
      <c r="S65" s="71">
        <v>1</v>
      </c>
      <c r="T65" s="73">
        <v>225000</v>
      </c>
      <c r="U65" s="73">
        <v>225000</v>
      </c>
      <c r="V65" s="68">
        <f t="shared" si="0"/>
        <v>317385</v>
      </c>
      <c r="W65" s="72">
        <v>1.2450080134997571E-2</v>
      </c>
      <c r="X65" s="74" t="s">
        <v>42</v>
      </c>
      <c r="Y65" s="74" t="s">
        <v>42</v>
      </c>
      <c r="Z65" s="74" t="s">
        <v>42</v>
      </c>
      <c r="AA65" s="74" t="s">
        <v>42</v>
      </c>
      <c r="AB65" s="74" t="s">
        <v>42</v>
      </c>
      <c r="AC65" s="74" t="s">
        <v>42</v>
      </c>
      <c r="AD65" s="74" t="s">
        <v>42</v>
      </c>
      <c r="AE65" s="74" t="s">
        <v>42</v>
      </c>
      <c r="AF65" s="74" t="s">
        <v>42</v>
      </c>
      <c r="AG65" s="74" t="s">
        <v>42</v>
      </c>
      <c r="AH65" s="74">
        <v>317385</v>
      </c>
      <c r="AI65" s="74" t="s">
        <v>42</v>
      </c>
      <c r="AJ65" s="74" t="s">
        <v>42</v>
      </c>
      <c r="AK65" s="74" t="s">
        <v>42</v>
      </c>
      <c r="AL65" s="74" t="s">
        <v>42</v>
      </c>
      <c r="AM65" s="74" t="s">
        <v>42</v>
      </c>
      <c r="AN65" s="74" t="s">
        <v>42</v>
      </c>
      <c r="AO65" s="74" t="s">
        <v>42</v>
      </c>
      <c r="AP65" s="74" t="s">
        <v>42</v>
      </c>
      <c r="AQ65" s="74" t="s">
        <v>42</v>
      </c>
      <c r="AR65" s="74" t="s">
        <v>42</v>
      </c>
      <c r="AS65" s="74" t="s">
        <v>42</v>
      </c>
      <c r="AT65" s="74" t="s">
        <v>42</v>
      </c>
      <c r="AU65" s="74" t="s">
        <v>42</v>
      </c>
      <c r="AV65" s="74" t="s">
        <v>42</v>
      </c>
      <c r="AW65" s="74" t="s">
        <v>42</v>
      </c>
      <c r="AX65" s="74" t="s">
        <v>42</v>
      </c>
      <c r="AY65" s="74" t="s">
        <v>42</v>
      </c>
      <c r="AZ65" s="74" t="s">
        <v>42</v>
      </c>
      <c r="BA65" s="74" t="s">
        <v>42</v>
      </c>
      <c r="BB65" s="74" t="s">
        <v>42</v>
      </c>
    </row>
    <row r="66" spans="1:154" s="1" customFormat="1" ht="40.049999999999997" customHeight="1" x14ac:dyDescent="0.35">
      <c r="A66" s="62"/>
      <c r="B66" s="63"/>
      <c r="C66" s="64"/>
      <c r="D66" s="62"/>
      <c r="E66" s="62"/>
      <c r="F66" s="65"/>
      <c r="G66" s="65"/>
      <c r="H66" s="66"/>
      <c r="I66" s="66"/>
      <c r="J66" s="67"/>
      <c r="K66" s="68"/>
      <c r="L66" s="61"/>
      <c r="M66" s="61"/>
      <c r="N66" s="61"/>
      <c r="O66" s="62"/>
      <c r="P66" s="65"/>
      <c r="Q66" s="62"/>
      <c r="R66" s="70"/>
      <c r="S66" s="71"/>
      <c r="T66" s="61"/>
      <c r="U66" s="61"/>
      <c r="V66" s="68">
        <f t="shared" si="0"/>
        <v>0</v>
      </c>
      <c r="W66" s="72"/>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row>
    <row r="67" spans="1:154" s="94" customFormat="1" ht="40.049999999999997" customHeight="1" x14ac:dyDescent="0.35">
      <c r="A67" s="81"/>
      <c r="B67" s="82"/>
      <c r="C67" s="83"/>
      <c r="D67" s="81"/>
      <c r="E67" s="81"/>
      <c r="F67" s="84"/>
      <c r="G67" s="84"/>
      <c r="H67" s="85"/>
      <c r="I67" s="85"/>
      <c r="J67" s="86" t="s">
        <v>141</v>
      </c>
      <c r="K67" s="87">
        <v>1</v>
      </c>
      <c r="L67" s="88">
        <v>1</v>
      </c>
      <c r="M67" s="89" t="s">
        <v>72</v>
      </c>
      <c r="N67" s="89" t="s">
        <v>142</v>
      </c>
      <c r="O67" s="81">
        <v>2025</v>
      </c>
      <c r="P67" s="84">
        <v>2</v>
      </c>
      <c r="Q67" s="81" t="s">
        <v>143</v>
      </c>
      <c r="R67" s="90">
        <v>6900</v>
      </c>
      <c r="S67" s="91">
        <v>1</v>
      </c>
      <c r="T67" s="88">
        <v>6900</v>
      </c>
      <c r="U67" s="88">
        <v>6900</v>
      </c>
      <c r="V67" s="87">
        <f t="shared" si="0"/>
        <v>69900</v>
      </c>
      <c r="W67" s="92">
        <v>2.7066670741050531E-4</v>
      </c>
      <c r="X67" s="93"/>
      <c r="Y67" s="93"/>
      <c r="Z67" s="93">
        <v>6900</v>
      </c>
      <c r="AA67" s="93"/>
      <c r="AB67" s="93"/>
      <c r="AC67" s="93">
        <v>7000</v>
      </c>
      <c r="AD67" s="93"/>
      <c r="AE67" s="93"/>
      <c r="AF67" s="93">
        <v>7000</v>
      </c>
      <c r="AG67" s="93"/>
      <c r="AH67" s="93"/>
      <c r="AI67" s="93">
        <v>7000</v>
      </c>
      <c r="AJ67" s="93"/>
      <c r="AK67" s="93"/>
      <c r="AL67" s="93">
        <v>7000</v>
      </c>
      <c r="AM67" s="93"/>
      <c r="AN67" s="93"/>
      <c r="AO67" s="93">
        <v>7000</v>
      </c>
      <c r="AP67" s="93"/>
      <c r="AQ67" s="93"/>
      <c r="AR67" s="93">
        <v>7000</v>
      </c>
      <c r="AS67" s="93"/>
      <c r="AT67" s="93"/>
      <c r="AU67" s="93">
        <v>7000</v>
      </c>
      <c r="AV67" s="93"/>
      <c r="AW67" s="93"/>
      <c r="AX67" s="93">
        <v>7000</v>
      </c>
      <c r="AY67" s="93"/>
      <c r="AZ67" s="93"/>
      <c r="BA67" s="93">
        <v>7000</v>
      </c>
      <c r="BB67" s="93"/>
    </row>
    <row r="68" spans="1:154" s="76" customFormat="1" ht="7.95" customHeight="1" x14ac:dyDescent="0.3">
      <c r="A68" s="95"/>
      <c r="B68" s="95"/>
      <c r="C68" s="95"/>
      <c r="D68" s="95"/>
      <c r="E68" s="95"/>
      <c r="F68" s="95"/>
      <c r="G68" s="95"/>
      <c r="H68" s="95"/>
      <c r="I68" s="95"/>
      <c r="J68" s="96" t="s">
        <v>144</v>
      </c>
      <c r="K68" s="95"/>
      <c r="L68" s="95"/>
      <c r="M68" s="95"/>
      <c r="N68" s="97" t="s">
        <v>36</v>
      </c>
      <c r="O68" s="98" t="s">
        <v>36</v>
      </c>
      <c r="P68" s="95"/>
      <c r="Q68" s="98" t="s">
        <v>36</v>
      </c>
      <c r="R68" s="99" t="s">
        <v>36</v>
      </c>
      <c r="S68" s="99" t="s">
        <v>36</v>
      </c>
      <c r="T68" s="99" t="s">
        <v>36</v>
      </c>
      <c r="U68" s="100"/>
      <c r="V68" s="95" t="s">
        <v>36</v>
      </c>
      <c r="W68" s="101" t="s">
        <v>36</v>
      </c>
      <c r="X68" s="98" t="s">
        <v>36</v>
      </c>
      <c r="Y68" s="98" t="s">
        <v>36</v>
      </c>
      <c r="Z68" s="98" t="s">
        <v>36</v>
      </c>
      <c r="AA68" s="98" t="s">
        <v>36</v>
      </c>
      <c r="AB68" s="98" t="s">
        <v>36</v>
      </c>
      <c r="AC68" s="98" t="s">
        <v>36</v>
      </c>
      <c r="AD68" s="98" t="s">
        <v>36</v>
      </c>
      <c r="AE68" s="98" t="s">
        <v>36</v>
      </c>
      <c r="AF68" s="98" t="s">
        <v>36</v>
      </c>
      <c r="AG68" s="98" t="s">
        <v>36</v>
      </c>
      <c r="AH68" s="98" t="s">
        <v>36</v>
      </c>
      <c r="AI68" s="98" t="s">
        <v>36</v>
      </c>
      <c r="AJ68" s="98" t="s">
        <v>36</v>
      </c>
      <c r="AK68" s="98" t="s">
        <v>36</v>
      </c>
      <c r="AL68" s="98" t="s">
        <v>36</v>
      </c>
      <c r="AM68" s="98" t="s">
        <v>36</v>
      </c>
      <c r="AN68" s="98" t="s">
        <v>36</v>
      </c>
      <c r="AO68" s="98" t="s">
        <v>36</v>
      </c>
      <c r="AP68" s="98" t="s">
        <v>36</v>
      </c>
      <c r="AQ68" s="98" t="s">
        <v>36</v>
      </c>
      <c r="AR68" s="98" t="s">
        <v>36</v>
      </c>
      <c r="AS68" s="98" t="s">
        <v>36</v>
      </c>
      <c r="AT68" s="98" t="s">
        <v>36</v>
      </c>
      <c r="AU68" s="98" t="s">
        <v>36</v>
      </c>
      <c r="AV68" s="98" t="s">
        <v>36</v>
      </c>
      <c r="AW68" s="98" t="s">
        <v>36</v>
      </c>
      <c r="AX68" s="98" t="s">
        <v>36</v>
      </c>
      <c r="AY68" s="98" t="s">
        <v>36</v>
      </c>
      <c r="AZ68" s="98" t="s">
        <v>36</v>
      </c>
      <c r="BA68" s="98" t="s">
        <v>36</v>
      </c>
      <c r="BB68" s="98" t="s">
        <v>36</v>
      </c>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row>
    <row r="69" spans="1:154" s="61" customFormat="1" ht="40.049999999999997" customHeight="1" x14ac:dyDescent="0.35">
      <c r="A69" s="102"/>
      <c r="B69" s="102"/>
      <c r="C69" s="102"/>
      <c r="D69" s="102"/>
      <c r="E69" s="102"/>
      <c r="F69" s="102"/>
      <c r="G69" s="102"/>
      <c r="H69" s="102"/>
      <c r="I69" s="102"/>
      <c r="J69" s="102"/>
      <c r="K69" s="102"/>
      <c r="L69" s="102"/>
      <c r="M69" s="102"/>
      <c r="N69" s="103" t="s">
        <v>159</v>
      </c>
      <c r="O69" s="102"/>
      <c r="P69" s="102"/>
      <c r="Q69" s="102"/>
      <c r="R69" s="104">
        <f t="shared" ref="R69:BB69" si="1">SUM(R11:R67)</f>
        <v>287462.75</v>
      </c>
      <c r="S69" s="104">
        <f t="shared" si="1"/>
        <v>44</v>
      </c>
      <c r="T69" s="104">
        <f t="shared" si="1"/>
        <v>4484219</v>
      </c>
      <c r="U69" s="104">
        <f t="shared" si="1"/>
        <v>7090020</v>
      </c>
      <c r="V69" s="105" t="e">
        <f t="shared" si="1"/>
        <v>#REF!</v>
      </c>
      <c r="W69" s="105">
        <f t="shared" si="1"/>
        <v>0.98853283228349298</v>
      </c>
      <c r="X69" s="105">
        <f t="shared" si="1"/>
        <v>0</v>
      </c>
      <c r="Y69" s="105" t="e">
        <f t="shared" si="1"/>
        <v>#REF!</v>
      </c>
      <c r="Z69" s="105">
        <f t="shared" si="1"/>
        <v>1213167</v>
      </c>
      <c r="AA69" s="105">
        <f t="shared" si="1"/>
        <v>2162809</v>
      </c>
      <c r="AB69" s="105">
        <f t="shared" si="1"/>
        <v>485625</v>
      </c>
      <c r="AC69" s="105">
        <f t="shared" si="1"/>
        <v>554086</v>
      </c>
      <c r="AD69" s="105">
        <f t="shared" si="1"/>
        <v>439897</v>
      </c>
      <c r="AE69" s="105">
        <f t="shared" si="1"/>
        <v>271248</v>
      </c>
      <c r="AF69" s="105">
        <f t="shared" si="1"/>
        <v>291513</v>
      </c>
      <c r="AG69" s="105">
        <f t="shared" si="1"/>
        <v>140444</v>
      </c>
      <c r="AH69" s="105">
        <f t="shared" si="1"/>
        <v>528822</v>
      </c>
      <c r="AI69" s="105">
        <f t="shared" si="1"/>
        <v>156639</v>
      </c>
      <c r="AJ69" s="105">
        <f t="shared" si="1"/>
        <v>100000</v>
      </c>
      <c r="AK69" s="105">
        <f t="shared" si="1"/>
        <v>490892</v>
      </c>
      <c r="AL69" s="105">
        <f t="shared" si="1"/>
        <v>394157</v>
      </c>
      <c r="AM69" s="105">
        <f t="shared" si="1"/>
        <v>638364</v>
      </c>
      <c r="AN69" s="105">
        <f t="shared" si="1"/>
        <v>592019</v>
      </c>
      <c r="AO69" s="105">
        <f t="shared" si="1"/>
        <v>372125</v>
      </c>
      <c r="AP69" s="105">
        <f t="shared" si="1"/>
        <v>2438361</v>
      </c>
      <c r="AQ69" s="105">
        <f t="shared" si="1"/>
        <v>1706140</v>
      </c>
      <c r="AR69" s="105">
        <f t="shared" si="1"/>
        <v>460406</v>
      </c>
      <c r="AS69" s="105">
        <f t="shared" si="1"/>
        <v>490468</v>
      </c>
      <c r="AT69" s="105">
        <f t="shared" si="1"/>
        <v>166077</v>
      </c>
      <c r="AU69" s="105">
        <f t="shared" si="1"/>
        <v>323780</v>
      </c>
      <c r="AV69" s="105">
        <f t="shared" si="1"/>
        <v>844365</v>
      </c>
      <c r="AW69" s="105">
        <f t="shared" si="1"/>
        <v>385952</v>
      </c>
      <c r="AX69" s="105">
        <f t="shared" si="1"/>
        <v>473893</v>
      </c>
      <c r="AY69" s="105">
        <f t="shared" si="1"/>
        <v>135442</v>
      </c>
      <c r="AZ69" s="105">
        <f t="shared" si="1"/>
        <v>404004</v>
      </c>
      <c r="BA69" s="105">
        <f t="shared" si="1"/>
        <v>938934</v>
      </c>
      <c r="BB69" s="105">
        <f t="shared" si="1"/>
        <v>791795</v>
      </c>
      <c r="BC69" s="68" t="e">
        <f>SUM(X69:BB69)</f>
        <v>#REF!</v>
      </c>
    </row>
    <row r="70" spans="1:154" x14ac:dyDescent="0.3">
      <c r="A70" s="1"/>
      <c r="B70" s="1"/>
      <c r="C70" s="1"/>
      <c r="D70" s="1"/>
      <c r="E70" s="1"/>
      <c r="F70" s="1"/>
      <c r="G70" s="1"/>
      <c r="H70" s="1"/>
      <c r="I70" s="1"/>
      <c r="J70" s="1"/>
      <c r="K70" s="1"/>
      <c r="L70" s="1"/>
      <c r="M70" s="1"/>
      <c r="N70" s="1"/>
      <c r="O70" s="1"/>
      <c r="P70" s="1"/>
      <c r="Q70" s="1"/>
      <c r="R70" s="1"/>
      <c r="S70" s="1"/>
      <c r="T70" s="1"/>
      <c r="U70" s="1"/>
      <c r="V70" s="78" t="e">
        <f>+Total_Study_Expenditures-BC69</f>
        <v>#REF!</v>
      </c>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row>
    <row r="73" spans="1:154" s="109" customFormat="1" ht="40.049999999999997" customHeight="1" x14ac:dyDescent="0.35">
      <c r="A73" s="106"/>
      <c r="B73" s="107">
        <v>1</v>
      </c>
      <c r="C73" s="107"/>
      <c r="D73" s="106"/>
      <c r="E73" s="107"/>
      <c r="F73" s="107"/>
      <c r="G73" s="107"/>
      <c r="H73" s="106"/>
      <c r="I73" s="106"/>
      <c r="J73" s="108"/>
      <c r="K73" s="108"/>
      <c r="L73" s="108"/>
      <c r="M73" s="108"/>
      <c r="N73" s="108" t="s">
        <v>145</v>
      </c>
      <c r="O73" s="106">
        <v>2053</v>
      </c>
      <c r="P73" s="106" t="s">
        <v>137</v>
      </c>
      <c r="Q73" s="106" t="s">
        <v>138</v>
      </c>
      <c r="R73" s="108"/>
      <c r="S73" s="106"/>
      <c r="T73" s="108"/>
      <c r="U73" s="108"/>
      <c r="V73" s="108"/>
      <c r="W73" s="108">
        <v>7.1126503460395402E-4</v>
      </c>
      <c r="X73" s="106" t="s">
        <v>42</v>
      </c>
      <c r="Y73" s="106" t="s">
        <v>42</v>
      </c>
      <c r="Z73" s="106" t="e">
        <f>+'[4]Budget 2025'!M138</f>
        <v>#REF!</v>
      </c>
      <c r="AA73" s="106" t="e">
        <f>+Z78</f>
        <v>#REF!</v>
      </c>
      <c r="AB73" s="106" t="e">
        <f>+AA78</f>
        <v>#REF!</v>
      </c>
      <c r="AC73" s="106" t="e">
        <f t="shared" ref="AC73:BB73" si="2">+AB78</f>
        <v>#REF!</v>
      </c>
      <c r="AD73" s="106" t="e">
        <f t="shared" si="2"/>
        <v>#REF!</v>
      </c>
      <c r="AE73" s="106" t="e">
        <f t="shared" si="2"/>
        <v>#REF!</v>
      </c>
      <c r="AF73" s="106" t="e">
        <f t="shared" si="2"/>
        <v>#REF!</v>
      </c>
      <c r="AG73" s="106" t="e">
        <f t="shared" si="2"/>
        <v>#REF!</v>
      </c>
      <c r="AH73" s="106" t="e">
        <f t="shared" si="2"/>
        <v>#REF!</v>
      </c>
      <c r="AI73" s="106" t="e">
        <f t="shared" si="2"/>
        <v>#REF!</v>
      </c>
      <c r="AJ73" s="106" t="e">
        <f t="shared" si="2"/>
        <v>#REF!</v>
      </c>
      <c r="AK73" s="106" t="e">
        <f t="shared" si="2"/>
        <v>#REF!</v>
      </c>
      <c r="AL73" s="106" t="e">
        <f t="shared" si="2"/>
        <v>#REF!</v>
      </c>
      <c r="AM73" s="106" t="e">
        <f t="shared" si="2"/>
        <v>#REF!</v>
      </c>
      <c r="AN73" s="106" t="e">
        <f t="shared" si="2"/>
        <v>#REF!</v>
      </c>
      <c r="AO73" s="106" t="e">
        <f t="shared" si="2"/>
        <v>#REF!</v>
      </c>
      <c r="AP73" s="106" t="e">
        <f t="shared" si="2"/>
        <v>#REF!</v>
      </c>
      <c r="AQ73" s="106" t="e">
        <f t="shared" si="2"/>
        <v>#REF!</v>
      </c>
      <c r="AR73" s="106" t="e">
        <f t="shared" si="2"/>
        <v>#REF!</v>
      </c>
      <c r="AS73" s="106" t="e">
        <f t="shared" si="2"/>
        <v>#REF!</v>
      </c>
      <c r="AT73" s="106" t="e">
        <f t="shared" si="2"/>
        <v>#REF!</v>
      </c>
      <c r="AU73" s="106" t="e">
        <f t="shared" si="2"/>
        <v>#REF!</v>
      </c>
      <c r="AV73" s="106" t="e">
        <f t="shared" si="2"/>
        <v>#REF!</v>
      </c>
      <c r="AW73" s="106" t="e">
        <f t="shared" si="2"/>
        <v>#REF!</v>
      </c>
      <c r="AX73" s="106" t="e">
        <f t="shared" si="2"/>
        <v>#REF!</v>
      </c>
      <c r="AY73" s="106" t="e">
        <f t="shared" si="2"/>
        <v>#REF!</v>
      </c>
      <c r="AZ73" s="106" t="e">
        <f t="shared" si="2"/>
        <v>#REF!</v>
      </c>
      <c r="BA73" s="106" t="e">
        <f t="shared" si="2"/>
        <v>#REF!</v>
      </c>
      <c r="BB73" s="106" t="e">
        <f t="shared" si="2"/>
        <v>#REF!</v>
      </c>
    </row>
    <row r="74" spans="1:154" s="109" customFormat="1" ht="40.049999999999997" customHeight="1" x14ac:dyDescent="0.35">
      <c r="A74" s="106"/>
      <c r="B74" s="107">
        <v>1</v>
      </c>
      <c r="C74" s="107"/>
      <c r="D74" s="106"/>
      <c r="E74" s="107"/>
      <c r="F74" s="107"/>
      <c r="G74" s="107"/>
      <c r="H74" s="106"/>
      <c r="I74" s="106"/>
      <c r="J74" s="108"/>
      <c r="K74" s="108"/>
      <c r="L74" s="108"/>
      <c r="M74" s="108"/>
      <c r="N74" s="108" t="s">
        <v>146</v>
      </c>
      <c r="O74" s="106"/>
      <c r="P74" s="106"/>
      <c r="Q74" s="106"/>
      <c r="R74" s="108"/>
      <c r="S74" s="106"/>
      <c r="T74" s="108"/>
      <c r="U74" s="108"/>
      <c r="V74" s="108"/>
      <c r="W74" s="108">
        <v>7.1126503460395402E-4</v>
      </c>
      <c r="X74" s="106" t="s">
        <v>42</v>
      </c>
      <c r="Y74" s="106" t="s">
        <v>42</v>
      </c>
      <c r="Z74" s="106">
        <v>850000</v>
      </c>
      <c r="AA74" s="106">
        <f>1700000</f>
        <v>1700000</v>
      </c>
      <c r="AB74" s="165"/>
      <c r="AC74" s="165"/>
      <c r="AD74" s="165"/>
      <c r="AE74" s="165"/>
      <c r="AF74" s="165"/>
      <c r="AG74" s="165"/>
      <c r="AH74" s="165"/>
      <c r="AI74" s="165"/>
      <c r="AJ74" s="165"/>
      <c r="AK74" s="165"/>
      <c r="AL74" s="165"/>
      <c r="AM74" s="165"/>
      <c r="AN74" s="165"/>
      <c r="AO74" s="165"/>
      <c r="AP74" s="165"/>
      <c r="AQ74" s="165"/>
      <c r="AR74" s="166"/>
      <c r="AS74" s="166"/>
      <c r="AT74" s="166"/>
      <c r="AU74" s="166"/>
      <c r="AV74" s="166"/>
      <c r="AW74" s="166"/>
      <c r="AX74" s="166"/>
      <c r="AY74" s="166"/>
      <c r="AZ74" s="166"/>
      <c r="BA74" s="166"/>
      <c r="BB74" s="166"/>
    </row>
    <row r="75" spans="1:154" s="109" customFormat="1" ht="40.049999999999997" customHeight="1" x14ac:dyDescent="0.35">
      <c r="A75" s="106"/>
      <c r="B75" s="107"/>
      <c r="C75" s="107"/>
      <c r="D75" s="106"/>
      <c r="E75" s="107"/>
      <c r="F75" s="107"/>
      <c r="G75" s="107"/>
      <c r="H75" s="106"/>
      <c r="I75" s="106"/>
      <c r="J75" s="108"/>
      <c r="K75" s="108"/>
      <c r="L75" s="108"/>
      <c r="M75" s="108"/>
      <c r="N75" s="108" t="s">
        <v>160</v>
      </c>
      <c r="O75" s="106"/>
      <c r="P75" s="106"/>
      <c r="Q75" s="106"/>
      <c r="R75" s="108"/>
      <c r="S75" s="106"/>
      <c r="T75" s="108"/>
      <c r="U75" s="108"/>
      <c r="V75" s="108"/>
      <c r="W75" s="108"/>
      <c r="X75" s="106"/>
      <c r="Y75" s="106"/>
      <c r="Z75" s="110">
        <v>400000</v>
      </c>
      <c r="AA75" s="110">
        <f>475000-75000</f>
        <v>400000</v>
      </c>
      <c r="AB75" s="111">
        <f>+AB97</f>
        <v>650000</v>
      </c>
      <c r="AC75" s="111">
        <f t="shared" ref="AC75:BB75" si="3">+AC97</f>
        <v>700000</v>
      </c>
      <c r="AD75" s="111">
        <f t="shared" si="3"/>
        <v>700000</v>
      </c>
      <c r="AE75" s="111">
        <f t="shared" si="3"/>
        <v>550000</v>
      </c>
      <c r="AF75" s="111">
        <f t="shared" si="3"/>
        <v>550000</v>
      </c>
      <c r="AG75" s="111">
        <f t="shared" si="3"/>
        <v>550000</v>
      </c>
      <c r="AH75" s="111">
        <f t="shared" si="3"/>
        <v>550000</v>
      </c>
      <c r="AI75" s="111">
        <f t="shared" si="3"/>
        <v>550000</v>
      </c>
      <c r="AJ75" s="111">
        <f t="shared" si="3"/>
        <v>550000</v>
      </c>
      <c r="AK75" s="111">
        <f t="shared" si="3"/>
        <v>600000</v>
      </c>
      <c r="AL75" s="111">
        <f t="shared" si="3"/>
        <v>600000</v>
      </c>
      <c r="AM75" s="111">
        <f t="shared" si="3"/>
        <v>650000</v>
      </c>
      <c r="AN75" s="111">
        <f t="shared" si="3"/>
        <v>750000</v>
      </c>
      <c r="AO75" s="111">
        <f t="shared" si="3"/>
        <v>700000</v>
      </c>
      <c r="AP75" s="111">
        <f t="shared" si="3"/>
        <v>600000</v>
      </c>
      <c r="AQ75" s="111">
        <f t="shared" si="3"/>
        <v>600000</v>
      </c>
      <c r="AR75" s="111">
        <f t="shared" si="3"/>
        <v>1040000</v>
      </c>
      <c r="AS75" s="111">
        <f t="shared" si="3"/>
        <v>890000</v>
      </c>
      <c r="AT75" s="111">
        <f t="shared" si="3"/>
        <v>640000</v>
      </c>
      <c r="AU75" s="111">
        <f t="shared" si="3"/>
        <v>640000</v>
      </c>
      <c r="AV75" s="111">
        <f t="shared" si="3"/>
        <v>790000</v>
      </c>
      <c r="AW75" s="111">
        <f t="shared" si="3"/>
        <v>690000</v>
      </c>
      <c r="AX75" s="111">
        <f t="shared" si="3"/>
        <v>690000</v>
      </c>
      <c r="AY75" s="111">
        <f t="shared" si="3"/>
        <v>690000</v>
      </c>
      <c r="AZ75" s="111">
        <f t="shared" si="3"/>
        <v>690000</v>
      </c>
      <c r="BA75" s="111">
        <f t="shared" si="3"/>
        <v>690000</v>
      </c>
      <c r="BB75" s="111">
        <f t="shared" si="3"/>
        <v>890000</v>
      </c>
      <c r="BE75" s="112">
        <v>1000000</v>
      </c>
    </row>
    <row r="76" spans="1:154" s="109" customFormat="1" ht="40.049999999999997" customHeight="1" x14ac:dyDescent="0.35">
      <c r="A76" s="106"/>
      <c r="B76" s="107"/>
      <c r="C76" s="107"/>
      <c r="D76" s="106"/>
      <c r="E76" s="107"/>
      <c r="F76" s="107"/>
      <c r="G76" s="107"/>
      <c r="H76" s="106"/>
      <c r="I76" s="106"/>
      <c r="J76" s="108"/>
      <c r="K76" s="108"/>
      <c r="L76" s="108"/>
      <c r="M76" s="108"/>
      <c r="N76" s="108" t="s">
        <v>182</v>
      </c>
      <c r="O76" s="106"/>
      <c r="P76" s="106"/>
      <c r="Q76" s="106"/>
      <c r="R76" s="108"/>
      <c r="S76" s="106"/>
      <c r="T76" s="108"/>
      <c r="U76" s="108"/>
      <c r="V76" s="108"/>
      <c r="W76" s="108"/>
      <c r="X76" s="106"/>
      <c r="Y76" s="106"/>
      <c r="Z76" s="113">
        <f>SUM(Z74:Z75)</f>
        <v>1250000</v>
      </c>
      <c r="AA76" s="113">
        <f t="shared" ref="AA76:BB76" si="4">SUM(AA74:AA75)</f>
        <v>2100000</v>
      </c>
      <c r="AB76" s="113">
        <f t="shared" si="4"/>
        <v>650000</v>
      </c>
      <c r="AC76" s="113">
        <f t="shared" si="4"/>
        <v>700000</v>
      </c>
      <c r="AD76" s="113">
        <f t="shared" si="4"/>
        <v>700000</v>
      </c>
      <c r="AE76" s="113">
        <f t="shared" si="4"/>
        <v>550000</v>
      </c>
      <c r="AF76" s="113">
        <f t="shared" si="4"/>
        <v>550000</v>
      </c>
      <c r="AG76" s="113">
        <f t="shared" si="4"/>
        <v>550000</v>
      </c>
      <c r="AH76" s="113">
        <f t="shared" si="4"/>
        <v>550000</v>
      </c>
      <c r="AI76" s="113">
        <f t="shared" si="4"/>
        <v>550000</v>
      </c>
      <c r="AJ76" s="113">
        <f t="shared" si="4"/>
        <v>550000</v>
      </c>
      <c r="AK76" s="113">
        <f t="shared" si="4"/>
        <v>600000</v>
      </c>
      <c r="AL76" s="113">
        <f t="shared" si="4"/>
        <v>600000</v>
      </c>
      <c r="AM76" s="113">
        <f t="shared" si="4"/>
        <v>650000</v>
      </c>
      <c r="AN76" s="113">
        <f t="shared" si="4"/>
        <v>750000</v>
      </c>
      <c r="AO76" s="113">
        <f t="shared" si="4"/>
        <v>700000</v>
      </c>
      <c r="AP76" s="113">
        <f t="shared" si="4"/>
        <v>600000</v>
      </c>
      <c r="AQ76" s="113">
        <f t="shared" si="4"/>
        <v>600000</v>
      </c>
      <c r="AR76" s="113">
        <f t="shared" si="4"/>
        <v>1040000</v>
      </c>
      <c r="AS76" s="113">
        <f t="shared" si="4"/>
        <v>890000</v>
      </c>
      <c r="AT76" s="113">
        <f t="shared" si="4"/>
        <v>640000</v>
      </c>
      <c r="AU76" s="113">
        <f t="shared" si="4"/>
        <v>640000</v>
      </c>
      <c r="AV76" s="113">
        <f t="shared" si="4"/>
        <v>790000</v>
      </c>
      <c r="AW76" s="113">
        <f t="shared" si="4"/>
        <v>690000</v>
      </c>
      <c r="AX76" s="113">
        <f t="shared" si="4"/>
        <v>690000</v>
      </c>
      <c r="AY76" s="113">
        <f t="shared" si="4"/>
        <v>690000</v>
      </c>
      <c r="AZ76" s="113">
        <f t="shared" si="4"/>
        <v>690000</v>
      </c>
      <c r="BA76" s="113">
        <f t="shared" si="4"/>
        <v>690000</v>
      </c>
      <c r="BB76" s="113">
        <f t="shared" si="4"/>
        <v>890000</v>
      </c>
      <c r="BC76" s="109">
        <f>SUM(Z76:BB76)</f>
        <v>21540000</v>
      </c>
      <c r="BD76" s="114">
        <v>29000000</v>
      </c>
    </row>
    <row r="77" spans="1:154" s="109" customFormat="1" ht="40.049999999999997" customHeight="1" x14ac:dyDescent="0.35">
      <c r="A77" s="106"/>
      <c r="B77" s="107">
        <v>1</v>
      </c>
      <c r="C77" s="107"/>
      <c r="D77" s="106"/>
      <c r="E77" s="107"/>
      <c r="F77" s="107"/>
      <c r="G77" s="107"/>
      <c r="H77" s="106"/>
      <c r="I77" s="106"/>
      <c r="J77" s="108"/>
      <c r="K77" s="108"/>
      <c r="L77" s="108"/>
      <c r="M77" s="108"/>
      <c r="N77" s="108" t="s">
        <v>147</v>
      </c>
      <c r="O77" s="106"/>
      <c r="P77" s="106"/>
      <c r="Q77" s="106"/>
      <c r="R77" s="108"/>
      <c r="S77" s="106"/>
      <c r="T77" s="108"/>
      <c r="U77" s="108"/>
      <c r="V77" s="108"/>
      <c r="W77" s="108">
        <v>7.1126503460395402E-4</v>
      </c>
      <c r="X77" s="106" t="s">
        <v>42</v>
      </c>
      <c r="Y77" s="106" t="s">
        <v>42</v>
      </c>
      <c r="Z77" s="106">
        <f>-expenditures2</f>
        <v>-1213167</v>
      </c>
      <c r="AA77" s="106">
        <f>-expenditures3</f>
        <v>-2162809</v>
      </c>
      <c r="AB77" s="106">
        <f>-expenditures4</f>
        <v>-485625</v>
      </c>
      <c r="AC77" s="106">
        <f>-expenditures5</f>
        <v>-554086</v>
      </c>
      <c r="AD77" s="106">
        <f>-expenditures6</f>
        <v>-439897</v>
      </c>
      <c r="AE77" s="106">
        <f>-expenditures7</f>
        <v>-271248</v>
      </c>
      <c r="AF77" s="106">
        <f>-expenditures8</f>
        <v>-291513</v>
      </c>
      <c r="AG77" s="106">
        <f>-expenditures9</f>
        <v>-140444</v>
      </c>
      <c r="AH77" s="106">
        <f>-expenditures10</f>
        <v>-528822</v>
      </c>
      <c r="AI77" s="106">
        <f>-expenditures11</f>
        <v>-156639</v>
      </c>
      <c r="AJ77" s="106">
        <f>-expenditures12</f>
        <v>-100000</v>
      </c>
      <c r="AK77" s="106">
        <f>-expenditures13</f>
        <v>-490892</v>
      </c>
      <c r="AL77" s="106">
        <f>-expenditures14</f>
        <v>-394157</v>
      </c>
      <c r="AM77" s="106">
        <f>-expenditures15</f>
        <v>-638364</v>
      </c>
      <c r="AN77" s="106">
        <f>-expenditures16</f>
        <v>-592019</v>
      </c>
      <c r="AO77" s="106">
        <f>-expenditures17</f>
        <v>-372125</v>
      </c>
      <c r="AP77" s="106">
        <f>-expenditures18</f>
        <v>-2438361</v>
      </c>
      <c r="AQ77" s="106">
        <f>-expenditures19</f>
        <v>-1706140</v>
      </c>
      <c r="AR77" s="106">
        <f>-expenditures20</f>
        <v>-460406</v>
      </c>
      <c r="AS77" s="106">
        <f>-expenditures21</f>
        <v>-490468</v>
      </c>
      <c r="AT77" s="106">
        <f>-expenditures22</f>
        <v>-166077</v>
      </c>
      <c r="AU77" s="106">
        <f>-expenditures23</f>
        <v>-323780</v>
      </c>
      <c r="AV77" s="106">
        <f>-expenditures24</f>
        <v>-844365</v>
      </c>
      <c r="AW77" s="106">
        <f>-expenditures25</f>
        <v>-385952</v>
      </c>
      <c r="AX77" s="106">
        <f>-expenditures26</f>
        <v>-473893</v>
      </c>
      <c r="AY77" s="106">
        <f>-expenditures27</f>
        <v>-135442</v>
      </c>
      <c r="AZ77" s="106">
        <f>-expenditures28</f>
        <v>-404004</v>
      </c>
      <c r="BA77" s="106">
        <f>-expenditures29</f>
        <v>-938934</v>
      </c>
      <c r="BB77" s="106">
        <f>-expenditures30</f>
        <v>-791795</v>
      </c>
      <c r="BC77" s="109">
        <f>SUM(Z77:BB77)</f>
        <v>-18391424</v>
      </c>
    </row>
    <row r="78" spans="1:154" s="109" customFormat="1" ht="40.049999999999997" customHeight="1" thickBot="1" x14ac:dyDescent="0.4">
      <c r="A78" s="106"/>
      <c r="B78" s="107">
        <v>1</v>
      </c>
      <c r="C78" s="107"/>
      <c r="D78" s="106"/>
      <c r="E78" s="107"/>
      <c r="F78" s="107"/>
      <c r="G78" s="107"/>
      <c r="H78" s="106"/>
      <c r="I78" s="106"/>
      <c r="J78" s="108"/>
      <c r="K78" s="108"/>
      <c r="L78" s="108"/>
      <c r="M78" s="108"/>
      <c r="N78" s="108" t="s">
        <v>148</v>
      </c>
      <c r="O78" s="106"/>
      <c r="P78" s="106"/>
      <c r="Q78" s="106"/>
      <c r="R78" s="108"/>
      <c r="S78" s="106"/>
      <c r="T78" s="108"/>
      <c r="U78" s="108"/>
      <c r="V78" s="108"/>
      <c r="W78" s="108">
        <v>7.1126503460395402E-4</v>
      </c>
      <c r="X78" s="106" t="s">
        <v>42</v>
      </c>
      <c r="Y78" s="106" t="s">
        <v>42</v>
      </c>
      <c r="Z78" s="115" t="e">
        <f>+Z73+Z76+Z77</f>
        <v>#REF!</v>
      </c>
      <c r="AA78" s="115" t="e">
        <f t="shared" ref="AA78:BB78" si="5">+AA73+AA76+AA77</f>
        <v>#REF!</v>
      </c>
      <c r="AB78" s="115" t="e">
        <f t="shared" si="5"/>
        <v>#REF!</v>
      </c>
      <c r="AC78" s="115" t="e">
        <f t="shared" si="5"/>
        <v>#REF!</v>
      </c>
      <c r="AD78" s="115" t="e">
        <f t="shared" si="5"/>
        <v>#REF!</v>
      </c>
      <c r="AE78" s="115" t="e">
        <f t="shared" si="5"/>
        <v>#REF!</v>
      </c>
      <c r="AF78" s="115" t="e">
        <f t="shared" si="5"/>
        <v>#REF!</v>
      </c>
      <c r="AG78" s="115" t="e">
        <f t="shared" si="5"/>
        <v>#REF!</v>
      </c>
      <c r="AH78" s="115" t="e">
        <f t="shared" si="5"/>
        <v>#REF!</v>
      </c>
      <c r="AI78" s="115" t="e">
        <f t="shared" si="5"/>
        <v>#REF!</v>
      </c>
      <c r="AJ78" s="115" t="e">
        <f t="shared" si="5"/>
        <v>#REF!</v>
      </c>
      <c r="AK78" s="115" t="e">
        <f t="shared" si="5"/>
        <v>#REF!</v>
      </c>
      <c r="AL78" s="115" t="e">
        <f t="shared" si="5"/>
        <v>#REF!</v>
      </c>
      <c r="AM78" s="115" t="e">
        <f t="shared" si="5"/>
        <v>#REF!</v>
      </c>
      <c r="AN78" s="115" t="e">
        <f t="shared" si="5"/>
        <v>#REF!</v>
      </c>
      <c r="AO78" s="115" t="e">
        <f t="shared" si="5"/>
        <v>#REF!</v>
      </c>
      <c r="AP78" s="115" t="e">
        <f t="shared" si="5"/>
        <v>#REF!</v>
      </c>
      <c r="AQ78" s="115" t="e">
        <f t="shared" si="5"/>
        <v>#REF!</v>
      </c>
      <c r="AR78" s="115" t="e">
        <f t="shared" si="5"/>
        <v>#REF!</v>
      </c>
      <c r="AS78" s="115" t="e">
        <f t="shared" si="5"/>
        <v>#REF!</v>
      </c>
      <c r="AT78" s="115" t="e">
        <f t="shared" si="5"/>
        <v>#REF!</v>
      </c>
      <c r="AU78" s="115" t="e">
        <f t="shared" si="5"/>
        <v>#REF!</v>
      </c>
      <c r="AV78" s="115" t="e">
        <f t="shared" si="5"/>
        <v>#REF!</v>
      </c>
      <c r="AW78" s="115" t="e">
        <f t="shared" si="5"/>
        <v>#REF!</v>
      </c>
      <c r="AX78" s="115" t="e">
        <f t="shared" si="5"/>
        <v>#REF!</v>
      </c>
      <c r="AY78" s="115" t="e">
        <f t="shared" si="5"/>
        <v>#REF!</v>
      </c>
      <c r="AZ78" s="115" t="e">
        <f t="shared" si="5"/>
        <v>#REF!</v>
      </c>
      <c r="BA78" s="115" t="e">
        <f t="shared" si="5"/>
        <v>#REF!</v>
      </c>
      <c r="BB78" s="115" t="e">
        <f t="shared" si="5"/>
        <v>#REF!</v>
      </c>
      <c r="BE78" s="112">
        <v>1500000</v>
      </c>
    </row>
    <row r="79" spans="1:154" ht="40.049999999999997" customHeight="1" thickTop="1" x14ac:dyDescent="0.35">
      <c r="A79" s="116"/>
      <c r="B79" s="117">
        <v>1</v>
      </c>
      <c r="C79" s="118"/>
      <c r="D79" s="116"/>
      <c r="E79" s="119"/>
      <c r="F79" s="120"/>
      <c r="G79" s="120"/>
      <c r="H79" s="121"/>
      <c r="I79" s="121"/>
      <c r="J79" s="122"/>
      <c r="K79" s="123"/>
      <c r="L79" s="124"/>
      <c r="M79" s="102"/>
      <c r="N79" s="102"/>
      <c r="O79" s="116"/>
      <c r="P79" s="125"/>
      <c r="Q79" s="116"/>
      <c r="R79" s="126"/>
      <c r="S79" s="127"/>
      <c r="T79" s="124"/>
      <c r="U79" s="124"/>
      <c r="V79" s="123"/>
      <c r="W79" s="128">
        <v>7.1126503460395402E-4</v>
      </c>
      <c r="X79" s="105" t="s">
        <v>42</v>
      </c>
      <c r="Y79" s="105" t="s">
        <v>42</v>
      </c>
      <c r="Z79" s="105" t="s">
        <v>42</v>
      </c>
      <c r="AA79" s="105" t="s">
        <v>42</v>
      </c>
      <c r="AB79" s="105" t="s">
        <v>42</v>
      </c>
      <c r="AC79" s="105" t="s">
        <v>42</v>
      </c>
      <c r="AD79" s="105" t="s">
        <v>42</v>
      </c>
      <c r="AE79" s="105" t="s">
        <v>42</v>
      </c>
      <c r="AF79" s="105"/>
      <c r="AG79" s="105" t="s">
        <v>42</v>
      </c>
      <c r="AH79" s="105" t="s">
        <v>42</v>
      </c>
      <c r="AI79" s="105" t="s">
        <v>42</v>
      </c>
      <c r="AJ79" s="105" t="s">
        <v>42</v>
      </c>
      <c r="AK79" s="105" t="s">
        <v>42</v>
      </c>
      <c r="AL79" s="105" t="s">
        <v>42</v>
      </c>
      <c r="AM79" s="105" t="s">
        <v>42</v>
      </c>
      <c r="AN79" s="105" t="s">
        <v>42</v>
      </c>
      <c r="AO79" s="105" t="s">
        <v>42</v>
      </c>
      <c r="AP79" s="105" t="s">
        <v>42</v>
      </c>
      <c r="AQ79" s="105" t="s">
        <v>42</v>
      </c>
      <c r="AR79" s="105" t="s">
        <v>42</v>
      </c>
      <c r="AS79" s="105" t="s">
        <v>42</v>
      </c>
      <c r="AT79" s="105" t="s">
        <v>42</v>
      </c>
      <c r="AU79" s="105" t="s">
        <v>42</v>
      </c>
      <c r="AV79" s="105" t="s">
        <v>42</v>
      </c>
      <c r="AW79" s="105" t="s">
        <v>42</v>
      </c>
      <c r="AX79" s="105" t="s">
        <v>42</v>
      </c>
      <c r="AY79" s="105" t="s">
        <v>42</v>
      </c>
      <c r="AZ79" s="105" t="s">
        <v>42</v>
      </c>
      <c r="BA79" s="105" t="s">
        <v>42</v>
      </c>
      <c r="BB79" s="105"/>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row>
    <row r="80" spans="1:154" ht="40.049999999999997" hidden="1" customHeight="1" x14ac:dyDescent="0.35">
      <c r="A80" s="116"/>
      <c r="B80" s="117">
        <v>1</v>
      </c>
      <c r="C80" s="118"/>
      <c r="D80" s="116"/>
      <c r="E80" s="119"/>
      <c r="F80" s="120"/>
      <c r="G80" s="120"/>
      <c r="H80" s="121"/>
      <c r="I80" s="121"/>
      <c r="J80" s="122"/>
      <c r="K80" s="123"/>
      <c r="L80" s="124"/>
      <c r="M80" s="102"/>
      <c r="N80" s="129" t="s">
        <v>149</v>
      </c>
      <c r="O80" s="130"/>
      <c r="P80" s="131"/>
      <c r="Q80" s="130"/>
      <c r="R80" s="132"/>
      <c r="S80" s="133"/>
      <c r="T80" s="134"/>
      <c r="U80" s="134"/>
      <c r="V80" s="135"/>
      <c r="W80" s="136">
        <v>7.1126503460395402E-4</v>
      </c>
      <c r="X80" s="137" t="s">
        <v>42</v>
      </c>
      <c r="Y80" s="137">
        <v>818182</v>
      </c>
      <c r="Z80" s="137">
        <v>862459</v>
      </c>
      <c r="AA80" s="137">
        <v>80160</v>
      </c>
      <c r="AB80" s="137">
        <v>1210262</v>
      </c>
      <c r="AC80" s="137">
        <v>917429</v>
      </c>
      <c r="AD80" s="137">
        <v>1681527</v>
      </c>
      <c r="AE80" s="137">
        <v>71248</v>
      </c>
      <c r="AF80" s="137">
        <v>144552</v>
      </c>
      <c r="AG80" s="137">
        <v>40444</v>
      </c>
      <c r="AH80" s="137">
        <v>428822</v>
      </c>
      <c r="AI80" s="137">
        <v>49639</v>
      </c>
      <c r="AJ80" s="137">
        <v>0</v>
      </c>
      <c r="AK80" s="137">
        <v>1140828</v>
      </c>
      <c r="AL80" s="137">
        <v>902666</v>
      </c>
      <c r="AM80" s="137">
        <v>488364</v>
      </c>
      <c r="AN80" s="137">
        <v>492019</v>
      </c>
      <c r="AO80" s="137">
        <v>25125</v>
      </c>
      <c r="AP80" s="137">
        <v>1208946</v>
      </c>
      <c r="AQ80" s="137">
        <v>46140</v>
      </c>
      <c r="AR80" s="137">
        <v>536467</v>
      </c>
      <c r="AS80" s="137">
        <v>1173567</v>
      </c>
      <c r="AT80" s="137">
        <v>2549126</v>
      </c>
      <c r="AU80" s="137">
        <v>220612</v>
      </c>
      <c r="AV80" s="137">
        <v>2536033</v>
      </c>
      <c r="AW80" s="137">
        <v>285952</v>
      </c>
      <c r="AX80" s="137">
        <v>4338821</v>
      </c>
      <c r="AY80" s="137">
        <v>35442</v>
      </c>
      <c r="AZ80" s="137">
        <v>373571</v>
      </c>
      <c r="BA80" s="137">
        <v>1463126</v>
      </c>
      <c r="BB80" s="137">
        <v>1359078</v>
      </c>
      <c r="BC80" s="138">
        <f>SUM(Z80:BB80)</f>
        <v>24662425</v>
      </c>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row>
    <row r="81" spans="5:55" ht="18" hidden="1" x14ac:dyDescent="0.35">
      <c r="E81" s="1"/>
      <c r="F81" s="1"/>
      <c r="G81" s="1"/>
      <c r="H81" s="1"/>
      <c r="I81" s="1"/>
      <c r="J81" s="1"/>
      <c r="K81" s="1"/>
      <c r="L81" s="1"/>
      <c r="M81" s="1"/>
      <c r="N81" s="139"/>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40"/>
    </row>
    <row r="82" spans="5:55" ht="23.4" hidden="1" x14ac:dyDescent="0.45">
      <c r="E82" s="79"/>
      <c r="F82" s="1"/>
      <c r="G82" s="1"/>
      <c r="H82" s="1"/>
      <c r="I82" s="1"/>
      <c r="J82" s="1"/>
      <c r="K82" s="1"/>
      <c r="L82" s="1"/>
      <c r="M82" s="1"/>
      <c r="N82" s="139" t="s">
        <v>150</v>
      </c>
      <c r="O82" s="1"/>
      <c r="P82" s="1"/>
      <c r="Q82" s="1"/>
      <c r="R82" s="1"/>
      <c r="S82" s="1"/>
      <c r="T82" s="1"/>
      <c r="U82" s="1"/>
      <c r="V82" s="1"/>
      <c r="W82" s="1"/>
      <c r="X82" s="1"/>
      <c r="Y82" s="1"/>
      <c r="Z82" s="141">
        <f>+Z80+Z77</f>
        <v>-350708</v>
      </c>
      <c r="AA82" s="141">
        <f t="shared" ref="AA82:BC82" si="6">+AA80+AA77</f>
        <v>-2082649</v>
      </c>
      <c r="AB82" s="141">
        <f t="shared" si="6"/>
        <v>724637</v>
      </c>
      <c r="AC82" s="141">
        <f t="shared" si="6"/>
        <v>363343</v>
      </c>
      <c r="AD82" s="141">
        <f t="shared" si="6"/>
        <v>1241630</v>
      </c>
      <c r="AE82" s="141">
        <f t="shared" si="6"/>
        <v>-200000</v>
      </c>
      <c r="AF82" s="141">
        <f t="shared" si="6"/>
        <v>-146961</v>
      </c>
      <c r="AG82" s="141">
        <f t="shared" si="6"/>
        <v>-100000</v>
      </c>
      <c r="AH82" s="141">
        <f t="shared" si="6"/>
        <v>-100000</v>
      </c>
      <c r="AI82" s="141">
        <f t="shared" si="6"/>
        <v>-107000</v>
      </c>
      <c r="AJ82" s="141">
        <f t="shared" si="6"/>
        <v>-100000</v>
      </c>
      <c r="AK82" s="141">
        <f t="shared" si="6"/>
        <v>649936</v>
      </c>
      <c r="AL82" s="141">
        <f t="shared" si="6"/>
        <v>508509</v>
      </c>
      <c r="AM82" s="141">
        <f t="shared" si="6"/>
        <v>-150000</v>
      </c>
      <c r="AN82" s="141">
        <f t="shared" si="6"/>
        <v>-100000</v>
      </c>
      <c r="AO82" s="141">
        <f t="shared" si="6"/>
        <v>-347000</v>
      </c>
      <c r="AP82" s="141">
        <f t="shared" si="6"/>
        <v>-1229415</v>
      </c>
      <c r="AQ82" s="141">
        <f t="shared" si="6"/>
        <v>-1660000</v>
      </c>
      <c r="AR82" s="141">
        <f t="shared" si="6"/>
        <v>76061</v>
      </c>
      <c r="AS82" s="141">
        <f t="shared" si="6"/>
        <v>683099</v>
      </c>
      <c r="AT82" s="141">
        <f t="shared" si="6"/>
        <v>2383049</v>
      </c>
      <c r="AU82" s="141">
        <f t="shared" si="6"/>
        <v>-103168</v>
      </c>
      <c r="AV82" s="141">
        <f t="shared" si="6"/>
        <v>1691668</v>
      </c>
      <c r="AW82" s="141">
        <f t="shared" si="6"/>
        <v>-100000</v>
      </c>
      <c r="AX82" s="141">
        <f t="shared" si="6"/>
        <v>3864928</v>
      </c>
      <c r="AY82" s="141">
        <f t="shared" si="6"/>
        <v>-100000</v>
      </c>
      <c r="AZ82" s="141">
        <f t="shared" si="6"/>
        <v>-30433</v>
      </c>
      <c r="BA82" s="141">
        <f t="shared" si="6"/>
        <v>524192</v>
      </c>
      <c r="BB82" s="141">
        <f t="shared" si="6"/>
        <v>567283</v>
      </c>
      <c r="BC82" s="142">
        <f t="shared" si="6"/>
        <v>6271001</v>
      </c>
    </row>
    <row r="83" spans="5:55" hidden="1" x14ac:dyDescent="0.3">
      <c r="E83" s="1"/>
      <c r="F83" s="1"/>
      <c r="G83" s="1"/>
      <c r="H83" s="1"/>
      <c r="I83" s="1"/>
      <c r="J83" s="1"/>
      <c r="K83" s="1"/>
      <c r="L83" s="1"/>
      <c r="M83" s="1"/>
      <c r="N83" s="143"/>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40"/>
    </row>
    <row r="84" spans="5:55" hidden="1" x14ac:dyDescent="0.3">
      <c r="E84" s="1"/>
      <c r="F84" s="1"/>
      <c r="G84" s="1"/>
      <c r="H84" s="1"/>
      <c r="I84" s="1"/>
      <c r="J84" s="1"/>
      <c r="K84" s="1"/>
      <c r="L84" s="1"/>
      <c r="M84" s="1"/>
      <c r="N84" s="14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145"/>
    </row>
    <row r="85" spans="5:55" hidden="1" x14ac:dyDescent="0.3">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row>
    <row r="86" spans="5:55" s="146" customFormat="1" ht="17.399999999999999" hidden="1" x14ac:dyDescent="0.3">
      <c r="N86" s="147" t="s">
        <v>161</v>
      </c>
      <c r="O86" s="148"/>
      <c r="P86" s="148"/>
      <c r="Q86" s="148"/>
      <c r="R86" s="148"/>
      <c r="S86" s="148"/>
      <c r="T86" s="148"/>
      <c r="U86" s="148"/>
      <c r="V86" s="148"/>
      <c r="W86" s="148"/>
      <c r="X86" s="148"/>
      <c r="Y86" s="148"/>
      <c r="Z86" s="148">
        <v>1250000</v>
      </c>
      <c r="AA86" s="148">
        <v>2176200</v>
      </c>
      <c r="AB86" s="148">
        <v>803400</v>
      </c>
      <c r="AC86" s="148">
        <v>581500</v>
      </c>
      <c r="AD86" s="148">
        <v>360600</v>
      </c>
      <c r="AE86" s="148">
        <v>260000</v>
      </c>
      <c r="AF86" s="148">
        <v>279600</v>
      </c>
      <c r="AG86" s="148">
        <v>299900</v>
      </c>
      <c r="AH86" s="148">
        <v>320900</v>
      </c>
      <c r="AI86" s="148">
        <v>342600</v>
      </c>
      <c r="AJ86" s="148">
        <v>365100</v>
      </c>
      <c r="AK86" s="148">
        <v>388400</v>
      </c>
      <c r="AL86" s="148">
        <v>312500</v>
      </c>
      <c r="AM86" s="148">
        <v>437400</v>
      </c>
      <c r="AN86" s="148">
        <v>563200</v>
      </c>
      <c r="AO86" s="148">
        <v>389900</v>
      </c>
      <c r="AP86" s="148">
        <v>2017500</v>
      </c>
      <c r="AQ86" s="148">
        <v>2046100</v>
      </c>
      <c r="AR86" s="148">
        <v>775700</v>
      </c>
      <c r="AS86" s="148">
        <v>606300</v>
      </c>
      <c r="AT86" s="148">
        <v>338000</v>
      </c>
      <c r="AU86" s="148">
        <v>370800</v>
      </c>
      <c r="AV86" s="148">
        <v>604800</v>
      </c>
      <c r="AW86" s="148">
        <v>540000</v>
      </c>
      <c r="AX86" s="148">
        <v>476400</v>
      </c>
      <c r="AY86" s="148">
        <v>114100</v>
      </c>
      <c r="AZ86" s="148">
        <v>153100</v>
      </c>
      <c r="BA86" s="148">
        <v>893500</v>
      </c>
      <c r="BB86" s="149">
        <v>1035300</v>
      </c>
    </row>
    <row r="87" spans="5:55" s="146" customFormat="1" ht="17.399999999999999" hidden="1" x14ac:dyDescent="0.3">
      <c r="N87" s="150"/>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2"/>
    </row>
    <row r="88" spans="5:55" s="146" customFormat="1" ht="18" hidden="1" thickBot="1" x14ac:dyDescent="0.35">
      <c r="N88" s="153" t="s">
        <v>162</v>
      </c>
      <c r="O88" s="154"/>
      <c r="P88" s="154"/>
      <c r="Q88" s="154"/>
      <c r="R88" s="154"/>
      <c r="S88" s="154"/>
      <c r="T88" s="154"/>
      <c r="U88" s="154"/>
      <c r="V88" s="154"/>
      <c r="W88" s="154"/>
      <c r="X88" s="154"/>
      <c r="Y88" s="154"/>
      <c r="Z88" s="154">
        <f>+Z76-Z86</f>
        <v>0</v>
      </c>
      <c r="AA88" s="154">
        <f t="shared" ref="AA88:BB88" si="7">+AA76-AA86</f>
        <v>-76200</v>
      </c>
      <c r="AB88" s="154">
        <f t="shared" si="7"/>
        <v>-153400</v>
      </c>
      <c r="AC88" s="154">
        <f t="shared" si="7"/>
        <v>118500</v>
      </c>
      <c r="AD88" s="154">
        <f t="shared" si="7"/>
        <v>339400</v>
      </c>
      <c r="AE88" s="154">
        <f t="shared" si="7"/>
        <v>290000</v>
      </c>
      <c r="AF88" s="154">
        <f t="shared" si="7"/>
        <v>270400</v>
      </c>
      <c r="AG88" s="154">
        <f t="shared" si="7"/>
        <v>250100</v>
      </c>
      <c r="AH88" s="154">
        <f t="shared" si="7"/>
        <v>229100</v>
      </c>
      <c r="AI88" s="154">
        <f t="shared" si="7"/>
        <v>207400</v>
      </c>
      <c r="AJ88" s="154">
        <f t="shared" si="7"/>
        <v>184900</v>
      </c>
      <c r="AK88" s="154">
        <f t="shared" si="7"/>
        <v>211600</v>
      </c>
      <c r="AL88" s="154">
        <f t="shared" si="7"/>
        <v>287500</v>
      </c>
      <c r="AM88" s="154">
        <f t="shared" si="7"/>
        <v>212600</v>
      </c>
      <c r="AN88" s="154">
        <f t="shared" si="7"/>
        <v>186800</v>
      </c>
      <c r="AO88" s="154">
        <f t="shared" si="7"/>
        <v>310100</v>
      </c>
      <c r="AP88" s="154">
        <f t="shared" si="7"/>
        <v>-1417500</v>
      </c>
      <c r="AQ88" s="154">
        <f t="shared" si="7"/>
        <v>-1446100</v>
      </c>
      <c r="AR88" s="154">
        <f t="shared" si="7"/>
        <v>264300</v>
      </c>
      <c r="AS88" s="154">
        <f t="shared" si="7"/>
        <v>283700</v>
      </c>
      <c r="AT88" s="154">
        <f t="shared" si="7"/>
        <v>302000</v>
      </c>
      <c r="AU88" s="154">
        <f t="shared" si="7"/>
        <v>269200</v>
      </c>
      <c r="AV88" s="154">
        <f t="shared" si="7"/>
        <v>185200</v>
      </c>
      <c r="AW88" s="154">
        <f t="shared" si="7"/>
        <v>150000</v>
      </c>
      <c r="AX88" s="154">
        <f t="shared" si="7"/>
        <v>213600</v>
      </c>
      <c r="AY88" s="154">
        <f t="shared" si="7"/>
        <v>575900</v>
      </c>
      <c r="AZ88" s="154">
        <f t="shared" si="7"/>
        <v>536900</v>
      </c>
      <c r="BA88" s="154">
        <f t="shared" si="7"/>
        <v>-203500</v>
      </c>
      <c r="BB88" s="155">
        <f t="shared" si="7"/>
        <v>-145300</v>
      </c>
    </row>
    <row r="89" spans="5:55" s="146" customFormat="1" ht="17.399999999999999" hidden="1" x14ac:dyDescent="0.3">
      <c r="N89" s="147"/>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9"/>
    </row>
    <row r="90" spans="5:55" s="146" customFormat="1" ht="17.399999999999999" hidden="1" x14ac:dyDescent="0.3">
      <c r="N90" s="150" t="s">
        <v>163</v>
      </c>
      <c r="O90" s="151"/>
      <c r="P90" s="151"/>
      <c r="Q90" s="151"/>
      <c r="R90" s="151"/>
      <c r="S90" s="151"/>
      <c r="T90" s="151"/>
      <c r="U90" s="151"/>
      <c r="V90" s="151"/>
      <c r="W90" s="151"/>
      <c r="X90" s="151"/>
      <c r="Y90" s="151"/>
      <c r="Z90" s="156">
        <v>750000</v>
      </c>
      <c r="AA90" s="156">
        <v>776200</v>
      </c>
      <c r="AB90" s="156">
        <v>803400</v>
      </c>
      <c r="AC90" s="156">
        <v>831500</v>
      </c>
      <c r="AD90" s="156">
        <v>860600</v>
      </c>
      <c r="AE90" s="156">
        <v>560000</v>
      </c>
      <c r="AF90" s="156">
        <v>579600</v>
      </c>
      <c r="AG90" s="156">
        <v>599900</v>
      </c>
      <c r="AH90" s="156">
        <v>620900</v>
      </c>
      <c r="AI90" s="156">
        <v>642600</v>
      </c>
      <c r="AJ90" s="156">
        <v>665100</v>
      </c>
      <c r="AK90" s="156">
        <v>688400</v>
      </c>
      <c r="AL90" s="156">
        <v>712500</v>
      </c>
      <c r="AM90" s="156">
        <v>737400</v>
      </c>
      <c r="AN90" s="156">
        <v>763200</v>
      </c>
      <c r="AO90" s="156">
        <v>789900</v>
      </c>
      <c r="AP90" s="156">
        <v>817500</v>
      </c>
      <c r="AQ90" s="156">
        <v>846100</v>
      </c>
      <c r="AR90" s="156">
        <v>875700</v>
      </c>
      <c r="AS90" s="156">
        <v>906300</v>
      </c>
      <c r="AT90" s="156">
        <v>938000</v>
      </c>
      <c r="AU90" s="156">
        <v>970800</v>
      </c>
      <c r="AV90" s="156">
        <v>1004800</v>
      </c>
      <c r="AW90" s="156">
        <v>1040000</v>
      </c>
      <c r="AX90" s="156">
        <v>1076400</v>
      </c>
      <c r="AY90" s="156">
        <v>1114100</v>
      </c>
      <c r="AZ90" s="156">
        <v>1153100</v>
      </c>
      <c r="BA90" s="156">
        <v>1193500</v>
      </c>
      <c r="BB90" s="157">
        <v>1235300</v>
      </c>
    </row>
    <row r="91" spans="5:55" s="158" customFormat="1" ht="17.399999999999999" hidden="1" x14ac:dyDescent="0.3">
      <c r="N91" s="159"/>
      <c r="BB91" s="160"/>
    </row>
    <row r="92" spans="5:55" s="146" customFormat="1" ht="18" hidden="1" thickBot="1" x14ac:dyDescent="0.35">
      <c r="N92" s="153" t="s">
        <v>162</v>
      </c>
      <c r="O92" s="154"/>
      <c r="P92" s="154"/>
      <c r="Q92" s="154"/>
      <c r="R92" s="154"/>
      <c r="S92" s="154"/>
      <c r="T92" s="154"/>
      <c r="U92" s="154"/>
      <c r="V92" s="154"/>
      <c r="W92" s="154"/>
      <c r="X92" s="154"/>
      <c r="Y92" s="154"/>
      <c r="Z92" s="154">
        <f>-Z76+Z90</f>
        <v>-500000</v>
      </c>
      <c r="AA92" s="154">
        <f t="shared" ref="AA92:BB92" si="8">-AA76+AA90</f>
        <v>-1323800</v>
      </c>
      <c r="AB92" s="154">
        <f t="shared" si="8"/>
        <v>153400</v>
      </c>
      <c r="AC92" s="154">
        <f t="shared" si="8"/>
        <v>131500</v>
      </c>
      <c r="AD92" s="154">
        <f t="shared" si="8"/>
        <v>160600</v>
      </c>
      <c r="AE92" s="154">
        <f t="shared" si="8"/>
        <v>10000</v>
      </c>
      <c r="AF92" s="154">
        <f t="shared" si="8"/>
        <v>29600</v>
      </c>
      <c r="AG92" s="154">
        <f t="shared" si="8"/>
        <v>49900</v>
      </c>
      <c r="AH92" s="154">
        <f t="shared" si="8"/>
        <v>70900</v>
      </c>
      <c r="AI92" s="154">
        <f t="shared" si="8"/>
        <v>92600</v>
      </c>
      <c r="AJ92" s="154">
        <f t="shared" si="8"/>
        <v>115100</v>
      </c>
      <c r="AK92" s="154">
        <f t="shared" si="8"/>
        <v>88400</v>
      </c>
      <c r="AL92" s="154">
        <f t="shared" si="8"/>
        <v>112500</v>
      </c>
      <c r="AM92" s="154">
        <f t="shared" si="8"/>
        <v>87400</v>
      </c>
      <c r="AN92" s="154">
        <f t="shared" si="8"/>
        <v>13200</v>
      </c>
      <c r="AO92" s="154">
        <f t="shared" si="8"/>
        <v>89900</v>
      </c>
      <c r="AP92" s="154">
        <f t="shared" si="8"/>
        <v>217500</v>
      </c>
      <c r="AQ92" s="154">
        <f t="shared" si="8"/>
        <v>246100</v>
      </c>
      <c r="AR92" s="154">
        <f t="shared" si="8"/>
        <v>-164300</v>
      </c>
      <c r="AS92" s="154">
        <f t="shared" si="8"/>
        <v>16300</v>
      </c>
      <c r="AT92" s="154">
        <f t="shared" si="8"/>
        <v>298000</v>
      </c>
      <c r="AU92" s="154">
        <f t="shared" si="8"/>
        <v>330800</v>
      </c>
      <c r="AV92" s="154">
        <f t="shared" si="8"/>
        <v>214800</v>
      </c>
      <c r="AW92" s="154">
        <f t="shared" si="8"/>
        <v>350000</v>
      </c>
      <c r="AX92" s="154">
        <f t="shared" si="8"/>
        <v>386400</v>
      </c>
      <c r="AY92" s="154">
        <f t="shared" si="8"/>
        <v>424100</v>
      </c>
      <c r="AZ92" s="154">
        <f t="shared" si="8"/>
        <v>463100</v>
      </c>
      <c r="BA92" s="154">
        <f t="shared" si="8"/>
        <v>503500</v>
      </c>
      <c r="BB92" s="154">
        <f t="shared" si="8"/>
        <v>345300</v>
      </c>
    </row>
    <row r="93" spans="5:55" hidden="1" x14ac:dyDescent="0.3">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row>
    <row r="94" spans="5:55" x14ac:dyDescent="0.3">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row>
    <row r="95" spans="5:55" ht="18" x14ac:dyDescent="0.35">
      <c r="E95" s="1"/>
      <c r="F95" s="1"/>
      <c r="G95" s="1"/>
      <c r="H95" s="1"/>
      <c r="I95" s="1"/>
      <c r="J95" s="1"/>
      <c r="K95" s="1"/>
      <c r="L95" s="1"/>
      <c r="M95" s="1"/>
      <c r="N95" s="178" t="s">
        <v>179</v>
      </c>
      <c r="O95" s="179"/>
      <c r="P95" s="179"/>
      <c r="Q95" s="179"/>
      <c r="R95" s="179"/>
      <c r="S95" s="179"/>
      <c r="T95" s="179"/>
      <c r="U95" s="179"/>
      <c r="V95" s="179"/>
      <c r="W95" s="179"/>
      <c r="X95" s="179"/>
      <c r="Y95" s="179"/>
      <c r="Z95" s="179"/>
      <c r="AA95" s="179"/>
      <c r="AB95" s="184">
        <v>200000</v>
      </c>
      <c r="AC95" s="184">
        <v>200000</v>
      </c>
      <c r="AD95" s="184">
        <v>200000</v>
      </c>
      <c r="AE95" s="184">
        <v>200000</v>
      </c>
      <c r="AF95" s="184">
        <v>200000</v>
      </c>
      <c r="AG95" s="184">
        <v>200000</v>
      </c>
      <c r="AH95" s="184">
        <v>200000</v>
      </c>
      <c r="AI95" s="184">
        <v>200000</v>
      </c>
      <c r="AJ95" s="184">
        <v>200000</v>
      </c>
      <c r="AK95" s="184">
        <v>200000</v>
      </c>
      <c r="AL95" s="184">
        <v>200000</v>
      </c>
      <c r="AM95" s="184">
        <v>200000</v>
      </c>
      <c r="AN95" s="184">
        <v>200000</v>
      </c>
      <c r="AO95" s="184">
        <v>200000</v>
      </c>
      <c r="AP95" s="184">
        <v>200000</v>
      </c>
      <c r="AQ95" s="184">
        <v>200000</v>
      </c>
      <c r="AR95" s="184">
        <v>290000</v>
      </c>
      <c r="AS95" s="184">
        <v>290000</v>
      </c>
      <c r="AT95" s="184">
        <v>290000</v>
      </c>
      <c r="AU95" s="184">
        <v>290000</v>
      </c>
      <c r="AV95" s="184">
        <v>290000</v>
      </c>
      <c r="AW95" s="184">
        <v>290000</v>
      </c>
      <c r="AX95" s="184">
        <v>290000</v>
      </c>
      <c r="AY95" s="184">
        <v>290000</v>
      </c>
      <c r="AZ95" s="184">
        <v>290000</v>
      </c>
      <c r="BA95" s="184">
        <v>290000</v>
      </c>
      <c r="BB95" s="185">
        <v>290000</v>
      </c>
      <c r="BC95" s="1"/>
    </row>
    <row r="96" spans="5:55" ht="18" x14ac:dyDescent="0.35">
      <c r="E96" s="1"/>
      <c r="F96" s="1"/>
      <c r="G96" s="1"/>
      <c r="H96" s="1"/>
      <c r="I96" s="1"/>
      <c r="J96" s="1"/>
      <c r="K96" s="1"/>
      <c r="L96" s="1"/>
      <c r="M96" s="1"/>
      <c r="N96" s="180" t="s">
        <v>180</v>
      </c>
      <c r="O96" s="181"/>
      <c r="P96" s="181"/>
      <c r="Q96" s="181"/>
      <c r="R96" s="181"/>
      <c r="S96" s="181"/>
      <c r="T96" s="181"/>
      <c r="U96" s="181"/>
      <c r="V96" s="181"/>
      <c r="W96" s="181"/>
      <c r="X96" s="181"/>
      <c r="Y96" s="181"/>
      <c r="Z96" s="181"/>
      <c r="AA96" s="181"/>
      <c r="AB96" s="186">
        <v>450000</v>
      </c>
      <c r="AC96" s="186">
        <v>500000</v>
      </c>
      <c r="AD96" s="186">
        <v>500000</v>
      </c>
      <c r="AE96" s="186">
        <v>350000</v>
      </c>
      <c r="AF96" s="186">
        <v>350000</v>
      </c>
      <c r="AG96" s="186">
        <v>350000</v>
      </c>
      <c r="AH96" s="186">
        <v>350000</v>
      </c>
      <c r="AI96" s="186">
        <v>350000</v>
      </c>
      <c r="AJ96" s="186">
        <v>350000</v>
      </c>
      <c r="AK96" s="186">
        <v>400000</v>
      </c>
      <c r="AL96" s="186">
        <v>400000</v>
      </c>
      <c r="AM96" s="186">
        <v>450000</v>
      </c>
      <c r="AN96" s="186">
        <v>550000</v>
      </c>
      <c r="AO96" s="186">
        <v>500000</v>
      </c>
      <c r="AP96" s="186">
        <v>400000</v>
      </c>
      <c r="AQ96" s="186">
        <v>400000</v>
      </c>
      <c r="AR96" s="186">
        <v>750000</v>
      </c>
      <c r="AS96" s="186">
        <v>600000</v>
      </c>
      <c r="AT96" s="186">
        <v>350000</v>
      </c>
      <c r="AU96" s="186">
        <v>350000</v>
      </c>
      <c r="AV96" s="186">
        <v>500000</v>
      </c>
      <c r="AW96" s="186">
        <v>400000</v>
      </c>
      <c r="AX96" s="186">
        <v>400000</v>
      </c>
      <c r="AY96" s="186">
        <v>400000</v>
      </c>
      <c r="AZ96" s="186">
        <v>400000</v>
      </c>
      <c r="BA96" s="186">
        <v>400000</v>
      </c>
      <c r="BB96" s="187">
        <v>600000</v>
      </c>
      <c r="BC96" s="1"/>
    </row>
    <row r="97" spans="5:55" ht="18" x14ac:dyDescent="0.35">
      <c r="E97" s="1"/>
      <c r="F97" s="1"/>
      <c r="G97" s="1"/>
      <c r="H97" s="1"/>
      <c r="I97" s="1"/>
      <c r="J97" s="1"/>
      <c r="K97" s="1"/>
      <c r="L97" s="1"/>
      <c r="M97" s="1"/>
      <c r="N97" s="182" t="s">
        <v>181</v>
      </c>
      <c r="O97" s="183"/>
      <c r="P97" s="183"/>
      <c r="Q97" s="183"/>
      <c r="R97" s="183"/>
      <c r="S97" s="183"/>
      <c r="T97" s="183"/>
      <c r="U97" s="183"/>
      <c r="V97" s="183"/>
      <c r="W97" s="183"/>
      <c r="X97" s="183"/>
      <c r="Y97" s="183"/>
      <c r="Z97" s="183"/>
      <c r="AA97" s="183"/>
      <c r="AB97" s="186">
        <f>SUM(AB95:AB96)</f>
        <v>650000</v>
      </c>
      <c r="AC97" s="186">
        <f t="shared" ref="AC97:BB97" si="9">SUM(AC95:AC96)</f>
        <v>700000</v>
      </c>
      <c r="AD97" s="186">
        <f t="shared" si="9"/>
        <v>700000</v>
      </c>
      <c r="AE97" s="186">
        <f t="shared" si="9"/>
        <v>550000</v>
      </c>
      <c r="AF97" s="186">
        <f t="shared" si="9"/>
        <v>550000</v>
      </c>
      <c r="AG97" s="186">
        <f t="shared" si="9"/>
        <v>550000</v>
      </c>
      <c r="AH97" s="186">
        <f t="shared" si="9"/>
        <v>550000</v>
      </c>
      <c r="AI97" s="186">
        <f t="shared" si="9"/>
        <v>550000</v>
      </c>
      <c r="AJ97" s="186">
        <f t="shared" si="9"/>
        <v>550000</v>
      </c>
      <c r="AK97" s="186">
        <f t="shared" si="9"/>
        <v>600000</v>
      </c>
      <c r="AL97" s="186">
        <f t="shared" si="9"/>
        <v>600000</v>
      </c>
      <c r="AM97" s="186">
        <f t="shared" si="9"/>
        <v>650000</v>
      </c>
      <c r="AN97" s="186">
        <f t="shared" si="9"/>
        <v>750000</v>
      </c>
      <c r="AO97" s="186">
        <f t="shared" si="9"/>
        <v>700000</v>
      </c>
      <c r="AP97" s="186">
        <f t="shared" si="9"/>
        <v>600000</v>
      </c>
      <c r="AQ97" s="186">
        <f t="shared" si="9"/>
        <v>600000</v>
      </c>
      <c r="AR97" s="186">
        <f t="shared" si="9"/>
        <v>1040000</v>
      </c>
      <c r="AS97" s="186">
        <f t="shared" si="9"/>
        <v>890000</v>
      </c>
      <c r="AT97" s="186">
        <f t="shared" si="9"/>
        <v>640000</v>
      </c>
      <c r="AU97" s="186">
        <f t="shared" si="9"/>
        <v>640000</v>
      </c>
      <c r="AV97" s="186">
        <f t="shared" si="9"/>
        <v>790000</v>
      </c>
      <c r="AW97" s="186">
        <f t="shared" si="9"/>
        <v>690000</v>
      </c>
      <c r="AX97" s="186">
        <f t="shared" si="9"/>
        <v>690000</v>
      </c>
      <c r="AY97" s="186">
        <f t="shared" si="9"/>
        <v>690000</v>
      </c>
      <c r="AZ97" s="186">
        <f t="shared" si="9"/>
        <v>690000</v>
      </c>
      <c r="BA97" s="186">
        <f t="shared" si="9"/>
        <v>690000</v>
      </c>
      <c r="BB97" s="187">
        <f t="shared" si="9"/>
        <v>890000</v>
      </c>
      <c r="BC97" s="1"/>
    </row>
    <row r="98" spans="5:55" x14ac:dyDescent="0.3">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row>
    <row r="99" spans="5:55" ht="16.2" thickBot="1" x14ac:dyDescent="0.35">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row>
    <row r="100" spans="5:55" ht="18" thickBot="1" x14ac:dyDescent="0.5">
      <c r="N100" s="163" t="s">
        <v>164</v>
      </c>
      <c r="Y100" s="162" t="s">
        <v>174</v>
      </c>
      <c r="Z100" s="161"/>
      <c r="AA100" s="161"/>
      <c r="AB100" s="161"/>
      <c r="AC100" s="161"/>
      <c r="AD100" s="161"/>
      <c r="AE100" s="161"/>
      <c r="AF100" s="161"/>
      <c r="AG100" s="161"/>
      <c r="AH100" s="161"/>
      <c r="AI100" s="161"/>
      <c r="AJ100" s="161"/>
      <c r="AK100" s="161"/>
      <c r="AL100" s="161"/>
      <c r="AM100" s="161"/>
      <c r="AN100" s="167"/>
      <c r="AO100" s="168" t="s">
        <v>175</v>
      </c>
      <c r="AP100" s="169">
        <v>1600000</v>
      </c>
      <c r="AQ100" s="170">
        <v>1600000</v>
      </c>
      <c r="AR100" s="175"/>
      <c r="AS100" s="176" t="s">
        <v>177</v>
      </c>
      <c r="AT100" s="177">
        <f>+AR74*16</f>
        <v>0</v>
      </c>
      <c r="AU100" s="161"/>
      <c r="AV100" s="161"/>
      <c r="AW100" s="161"/>
      <c r="AX100" s="161"/>
      <c r="AY100" s="161"/>
      <c r="AZ100" s="161"/>
      <c r="BA100" s="161"/>
      <c r="BB100" s="161"/>
    </row>
    <row r="101" spans="5:55" ht="16.2" thickBot="1" x14ac:dyDescent="0.35">
      <c r="N101" t="s">
        <v>165</v>
      </c>
      <c r="Y101" s="161"/>
      <c r="Z101" s="161"/>
      <c r="AA101" s="161"/>
      <c r="AB101" s="161"/>
      <c r="AC101" s="161"/>
      <c r="AD101" s="161"/>
      <c r="AE101" s="161"/>
      <c r="AF101" s="161"/>
      <c r="AG101" s="161"/>
      <c r="AH101" s="161"/>
      <c r="AI101" s="161"/>
      <c r="AJ101" s="161"/>
      <c r="AK101" s="161"/>
      <c r="AL101" s="161"/>
      <c r="AM101" s="161"/>
      <c r="AN101" s="171"/>
      <c r="AO101" s="172" t="s">
        <v>176</v>
      </c>
      <c r="AP101" s="173">
        <v>568379</v>
      </c>
      <c r="AQ101" s="174">
        <v>862239</v>
      </c>
      <c r="AR101" s="161"/>
      <c r="AS101" s="161"/>
      <c r="AT101" s="161"/>
      <c r="AU101" s="161"/>
      <c r="AV101" s="161"/>
      <c r="AW101" s="161"/>
      <c r="AX101" s="161"/>
      <c r="AY101" s="161"/>
      <c r="AZ101" s="161"/>
      <c r="BA101" s="161"/>
      <c r="BB101" s="161"/>
    </row>
    <row r="102" spans="5:55" x14ac:dyDescent="0.3">
      <c r="N102" t="s">
        <v>166</v>
      </c>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row>
    <row r="103" spans="5:55" x14ac:dyDescent="0.3">
      <c r="N103" t="s">
        <v>167</v>
      </c>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row>
    <row r="104" spans="5:55" x14ac:dyDescent="0.3">
      <c r="N104" t="s">
        <v>168</v>
      </c>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row>
    <row r="105" spans="5:55" x14ac:dyDescent="0.3">
      <c r="N105" t="s">
        <v>173</v>
      </c>
      <c r="Y105" s="164">
        <f>SUM(Z105:BB105)</f>
        <v>4675518</v>
      </c>
      <c r="Z105" s="164">
        <f>SUM(Z12:Z31)</f>
        <v>1151270</v>
      </c>
      <c r="AA105" s="164">
        <f t="shared" ref="AA105:AE105" si="10">SUM(AA12:AA31)</f>
        <v>2124780</v>
      </c>
      <c r="AB105" s="164">
        <f t="shared" si="10"/>
        <v>469560</v>
      </c>
      <c r="AC105" s="164">
        <f t="shared" si="10"/>
        <v>433924</v>
      </c>
      <c r="AD105" s="164">
        <f t="shared" si="10"/>
        <v>125000</v>
      </c>
      <c r="AE105" s="164">
        <f t="shared" si="10"/>
        <v>244530</v>
      </c>
      <c r="AF105" s="164"/>
      <c r="AG105" s="164"/>
      <c r="AH105" s="164"/>
      <c r="AI105" s="164"/>
      <c r="AJ105" s="164"/>
      <c r="AK105" s="164">
        <f>+AK21+AK15</f>
        <v>126454</v>
      </c>
      <c r="AL105" s="164"/>
      <c r="AM105" s="164"/>
      <c r="AN105" s="164"/>
      <c r="AO105" s="164"/>
      <c r="AP105" s="164"/>
      <c r="AQ105" s="164"/>
      <c r="AR105" s="164"/>
      <c r="AS105" s="164"/>
      <c r="AT105" s="164"/>
      <c r="AU105" s="164"/>
      <c r="AV105" s="164"/>
      <c r="AW105" s="164"/>
      <c r="AX105" s="164"/>
      <c r="AY105" s="164"/>
      <c r="AZ105" s="164"/>
      <c r="BA105" s="164"/>
      <c r="BB105" s="164"/>
    </row>
    <row r="106" spans="5:55" x14ac:dyDescent="0.3">
      <c r="N106" t="s">
        <v>169</v>
      </c>
      <c r="Y106" s="164">
        <f t="shared" ref="Y106:Y109" si="11">SUM(Z106:BB106)</f>
        <v>1109267</v>
      </c>
      <c r="Z106" s="164">
        <f>SUM(Z33:Z48)</f>
        <v>54997</v>
      </c>
      <c r="AA106" s="164">
        <f t="shared" ref="AA106:AE106" si="12">SUM(AA33:AA48)</f>
        <v>15522</v>
      </c>
      <c r="AB106" s="164">
        <f t="shared" si="12"/>
        <v>16065</v>
      </c>
      <c r="AC106" s="164">
        <f t="shared" si="12"/>
        <v>70880</v>
      </c>
      <c r="AD106" s="164">
        <f t="shared" si="12"/>
        <v>314897</v>
      </c>
      <c r="AE106" s="164">
        <f t="shared" si="12"/>
        <v>0</v>
      </c>
      <c r="AF106" s="164"/>
      <c r="AG106" s="164"/>
      <c r="AH106" s="164"/>
      <c r="AI106" s="164">
        <f>+AI38</f>
        <v>29199</v>
      </c>
      <c r="AJ106" s="164"/>
      <c r="AK106" s="164"/>
      <c r="AL106" s="164">
        <f>+AL43+AL46</f>
        <v>154424</v>
      </c>
      <c r="AM106" s="164">
        <f>+AM39+AM48</f>
        <v>347635</v>
      </c>
      <c r="AN106" s="164"/>
      <c r="AO106" s="164"/>
      <c r="AP106" s="164">
        <f>+AP45</f>
        <v>30091</v>
      </c>
      <c r="AQ106" s="164"/>
      <c r="AR106" s="164">
        <f>+AR35</f>
        <v>49745</v>
      </c>
      <c r="AS106" s="164"/>
      <c r="AT106" s="164"/>
      <c r="AU106" s="164">
        <f>+AU44</f>
        <v>25812</v>
      </c>
      <c r="AV106" s="164"/>
      <c r="AW106" s="164"/>
      <c r="AX106" s="164"/>
      <c r="AY106" s="164"/>
      <c r="AZ106" s="164"/>
      <c r="BA106" s="164"/>
      <c r="BB106" s="164"/>
    </row>
    <row r="107" spans="5:55" x14ac:dyDescent="0.3">
      <c r="N107" t="s">
        <v>114</v>
      </c>
      <c r="Y107" s="164">
        <f t="shared" si="11"/>
        <v>388273</v>
      </c>
      <c r="Z107" s="164">
        <f>SUM(Z51:Z57)</f>
        <v>0</v>
      </c>
      <c r="AA107" s="164">
        <f t="shared" ref="AA107:AE107" si="13">SUM(AA51:AA57)</f>
        <v>11420</v>
      </c>
      <c r="AB107" s="164">
        <f t="shared" si="13"/>
        <v>0</v>
      </c>
      <c r="AC107" s="164">
        <f t="shared" si="13"/>
        <v>42282</v>
      </c>
      <c r="AD107" s="164">
        <f t="shared" si="13"/>
        <v>0</v>
      </c>
      <c r="AE107" s="164">
        <f t="shared" si="13"/>
        <v>26718</v>
      </c>
      <c r="AF107" s="164">
        <f>SUM(AF51:AF57)</f>
        <v>42269</v>
      </c>
      <c r="AG107" s="164">
        <f>+AF51</f>
        <v>28706</v>
      </c>
      <c r="AH107" s="164"/>
      <c r="AI107" s="164"/>
      <c r="AJ107" s="164"/>
      <c r="AK107" s="164"/>
      <c r="AL107" s="164"/>
      <c r="AM107" s="164"/>
      <c r="AN107" s="164">
        <f>+AN57</f>
        <v>190738</v>
      </c>
      <c r="AO107" s="164"/>
      <c r="AP107" s="164"/>
      <c r="AQ107" s="164">
        <f>+AQ53</f>
        <v>46140</v>
      </c>
      <c r="AR107" s="164"/>
      <c r="AS107" s="164"/>
      <c r="AT107" s="164"/>
      <c r="AU107" s="164"/>
      <c r="AV107" s="164"/>
      <c r="AW107" s="164"/>
      <c r="AX107" s="164"/>
      <c r="AY107" s="164"/>
      <c r="AZ107" s="164"/>
      <c r="BA107" s="164"/>
      <c r="BB107" s="164"/>
    </row>
    <row r="108" spans="5:55" x14ac:dyDescent="0.3">
      <c r="N108" t="s">
        <v>128</v>
      </c>
      <c r="Y108" s="164">
        <f t="shared" si="11"/>
        <v>477978</v>
      </c>
      <c r="Z108" s="164">
        <f>SUM(Z60:Z65)</f>
        <v>0</v>
      </c>
      <c r="AA108" s="164">
        <f t="shared" ref="AA108:AH108" si="14">SUM(AA60:AA65)</f>
        <v>11087</v>
      </c>
      <c r="AB108" s="164">
        <f t="shared" si="14"/>
        <v>0</v>
      </c>
      <c r="AC108" s="164">
        <f t="shared" si="14"/>
        <v>0</v>
      </c>
      <c r="AD108" s="164">
        <f t="shared" si="14"/>
        <v>0</v>
      </c>
      <c r="AE108" s="164">
        <f t="shared" si="14"/>
        <v>0</v>
      </c>
      <c r="AF108" s="164">
        <f t="shared" si="14"/>
        <v>13168</v>
      </c>
      <c r="AG108" s="164">
        <f t="shared" si="14"/>
        <v>0</v>
      </c>
      <c r="AH108" s="164">
        <f t="shared" si="14"/>
        <v>368167</v>
      </c>
      <c r="AI108" s="164"/>
      <c r="AJ108" s="164"/>
      <c r="AK108" s="164"/>
      <c r="AL108" s="164"/>
      <c r="AM108" s="164"/>
      <c r="AN108" s="164"/>
      <c r="AO108" s="164"/>
      <c r="AP108" s="164"/>
      <c r="AQ108" s="164"/>
      <c r="AR108" s="164">
        <f>+AR63</f>
        <v>44770</v>
      </c>
      <c r="AS108" s="164">
        <f>+AS61</f>
        <v>22654</v>
      </c>
      <c r="AT108" s="164"/>
      <c r="AU108" s="164"/>
      <c r="AV108" s="164"/>
      <c r="AW108" s="164"/>
      <c r="AX108" s="164"/>
      <c r="AY108" s="164"/>
      <c r="AZ108" s="164"/>
      <c r="BA108" s="164"/>
      <c r="BB108" s="164">
        <f>+BB64</f>
        <v>18132</v>
      </c>
    </row>
    <row r="109" spans="5:55" x14ac:dyDescent="0.3">
      <c r="N109" t="s">
        <v>170</v>
      </c>
      <c r="Y109" s="164">
        <f t="shared" si="11"/>
        <v>6900</v>
      </c>
      <c r="Z109" s="164">
        <f>+Z67</f>
        <v>6900</v>
      </c>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row>
    <row r="110" spans="5:55" x14ac:dyDescent="0.3">
      <c r="N110" t="s">
        <v>171</v>
      </c>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row>
    <row r="111" spans="5:55" x14ac:dyDescent="0.3">
      <c r="N111" t="s">
        <v>172</v>
      </c>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row>
    <row r="112" spans="5:55" x14ac:dyDescent="0.3">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row>
    <row r="113" spans="14:54" x14ac:dyDescent="0.3">
      <c r="N113" t="s">
        <v>15</v>
      </c>
      <c r="Y113" s="161">
        <f>SUM(Y101:Y112)</f>
        <v>6657936</v>
      </c>
      <c r="Z113" s="161">
        <f>SUM(Z101:Z112)</f>
        <v>1213167</v>
      </c>
      <c r="AA113" s="161">
        <f t="shared" ref="AA113:BB113" si="15">SUM(AA101:AA112)</f>
        <v>2162809</v>
      </c>
      <c r="AB113" s="161">
        <f t="shared" si="15"/>
        <v>485625</v>
      </c>
      <c r="AC113" s="161">
        <f t="shared" si="15"/>
        <v>547086</v>
      </c>
      <c r="AD113" s="161">
        <f t="shared" si="15"/>
        <v>439897</v>
      </c>
      <c r="AE113" s="161">
        <f t="shared" si="15"/>
        <v>271248</v>
      </c>
      <c r="AF113" s="161">
        <f t="shared" si="15"/>
        <v>55437</v>
      </c>
      <c r="AG113" s="161">
        <f t="shared" si="15"/>
        <v>28706</v>
      </c>
      <c r="AH113" s="161">
        <f t="shared" si="15"/>
        <v>368167</v>
      </c>
      <c r="AI113" s="161">
        <f t="shared" si="15"/>
        <v>29199</v>
      </c>
      <c r="AJ113" s="161">
        <f t="shared" si="15"/>
        <v>0</v>
      </c>
      <c r="AK113" s="161">
        <f t="shared" si="15"/>
        <v>126454</v>
      </c>
      <c r="AL113" s="161">
        <f t="shared" si="15"/>
        <v>154424</v>
      </c>
      <c r="AM113" s="161">
        <f t="shared" si="15"/>
        <v>347635</v>
      </c>
      <c r="AN113" s="161">
        <f t="shared" si="15"/>
        <v>190738</v>
      </c>
      <c r="AO113" s="161">
        <f t="shared" si="15"/>
        <v>0</v>
      </c>
      <c r="AP113" s="161">
        <f t="shared" si="15"/>
        <v>598470</v>
      </c>
      <c r="AQ113" s="161">
        <f t="shared" si="15"/>
        <v>908379</v>
      </c>
      <c r="AR113" s="161">
        <f t="shared" si="15"/>
        <v>94515</v>
      </c>
      <c r="AS113" s="161">
        <f t="shared" si="15"/>
        <v>22654</v>
      </c>
      <c r="AT113" s="161">
        <f t="shared" si="15"/>
        <v>0</v>
      </c>
      <c r="AU113" s="161">
        <f t="shared" si="15"/>
        <v>25812</v>
      </c>
      <c r="AV113" s="161">
        <f t="shared" si="15"/>
        <v>0</v>
      </c>
      <c r="AW113" s="161">
        <f t="shared" si="15"/>
        <v>0</v>
      </c>
      <c r="AX113" s="161">
        <f t="shared" si="15"/>
        <v>0</v>
      </c>
      <c r="AY113" s="161">
        <f t="shared" si="15"/>
        <v>0</v>
      </c>
      <c r="AZ113" s="161">
        <f t="shared" si="15"/>
        <v>0</v>
      </c>
      <c r="BA113" s="161">
        <f t="shared" si="15"/>
        <v>0</v>
      </c>
      <c r="BB113" s="161">
        <f t="shared" si="15"/>
        <v>18132</v>
      </c>
    </row>
    <row r="114" spans="14:54" x14ac:dyDescent="0.3">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row>
    <row r="115" spans="14:54" x14ac:dyDescent="0.3">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row>
    <row r="116" spans="14:54" x14ac:dyDescent="0.3">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c r="AX116" s="161"/>
      <c r="AY116" s="161"/>
      <c r="AZ116" s="161"/>
      <c r="BA116" s="161"/>
      <c r="BB116" s="161"/>
    </row>
    <row r="117" spans="14:54" x14ac:dyDescent="0.3">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row>
    <row r="118" spans="14:54" x14ac:dyDescent="0.3">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row>
    <row r="119" spans="14:54" x14ac:dyDescent="0.3">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row>
  </sheetData>
  <mergeCells count="3">
    <mergeCell ref="P7:Q7"/>
    <mergeCell ref="R7:U7"/>
    <mergeCell ref="P8:Q8"/>
  </mergeCells>
  <conditionalFormatting sqref="B8:B10">
    <cfRule type="expression" dxfId="19" priority="16" stopIfTrue="1">
      <formula>AND(NOT(ISBLANK(#REF!)))</formula>
    </cfRule>
  </conditionalFormatting>
  <conditionalFormatting sqref="C8:C10">
    <cfRule type="expression" dxfId="18" priority="15" stopIfTrue="1">
      <formula>AND(NOT(ISBLANK(XFD8)))</formula>
    </cfRule>
  </conditionalFormatting>
  <conditionalFormatting sqref="D8:D10">
    <cfRule type="expression" dxfId="17" priority="13" stopIfTrue="1">
      <formula>AND(NOT(ISBLANK(XFD8)))</formula>
    </cfRule>
  </conditionalFormatting>
  <conditionalFormatting sqref="D10">
    <cfRule type="expression" dxfId="16" priority="14" stopIfTrue="1">
      <formula>ISNA(D10)</formula>
    </cfRule>
  </conditionalFormatting>
  <conditionalFormatting sqref="E8:E10">
    <cfRule type="expression" dxfId="15" priority="12" stopIfTrue="1">
      <formula>AND(NOT(ISBLANK(XFD8)))</formula>
    </cfRule>
  </conditionalFormatting>
  <conditionalFormatting sqref="F8:F10">
    <cfRule type="expression" dxfId="14" priority="9" stopIfTrue="1">
      <formula>AND(NOT(ISBLANK(XFB8)))</formula>
    </cfRule>
  </conditionalFormatting>
  <conditionalFormatting sqref="G8:G10">
    <cfRule type="expression" dxfId="13" priority="6" stopIfTrue="1">
      <formula>AND(NOT(ISBLANK(XEY8)))</formula>
    </cfRule>
  </conditionalFormatting>
  <conditionalFormatting sqref="H8:I10">
    <cfRule type="expression" dxfId="12" priority="3" stopIfTrue="1">
      <formula>AND(NOT(ISBLANK(XET8)))</formula>
    </cfRule>
  </conditionalFormatting>
  <conditionalFormatting sqref="J10">
    <cfRule type="duplicateValues" dxfId="11" priority="2" stopIfTrue="1"/>
  </conditionalFormatting>
  <conditionalFormatting sqref="R7">
    <cfRule type="expression" dxfId="10" priority="1">
      <formula>CELL("width",Print_Hide_PercentDollars)=0</formula>
    </cfRule>
  </conditionalFormatting>
  <pageMargins left="0.45" right="0.45" top="0.5" bottom="0.5" header="0.3" footer="0.3"/>
  <pageSetup scale="30" fitToWidth="2" fitToHeight="2" orientation="landscape" horizontalDpi="0" verticalDpi="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D23A-8887-6D46-95DF-864ACF15560F}">
  <dimension ref="A1:EX70"/>
  <sheetViews>
    <sheetView zoomScaleNormal="70" workbookViewId="0">
      <pane xSplit="14" ySplit="10" topLeftCell="R62" activePane="bottomRight" state="frozen"/>
      <selection activeCell="J23" sqref="J23"/>
      <selection pane="topRight" activeCell="J23" sqref="J23"/>
      <selection pane="bottomLeft" activeCell="J23" sqref="J23"/>
      <selection pane="bottomRight" activeCell="A21" sqref="A21:XFD21"/>
    </sheetView>
  </sheetViews>
  <sheetFormatPr defaultColWidth="8.796875" defaultRowHeight="14.4" x14ac:dyDescent="0.3"/>
  <cols>
    <col min="1" max="1" width="2.69921875" style="1" customWidth="1"/>
    <col min="2" max="2" width="14.5" style="1" hidden="1" customWidth="1"/>
    <col min="3" max="3" width="11.296875" style="1" customWidth="1"/>
    <col min="4" max="4" width="10" style="1" hidden="1" customWidth="1"/>
    <col min="5" max="5" width="11.69921875" style="1" customWidth="1"/>
    <col min="6" max="6" width="10.69921875" style="1" customWidth="1"/>
    <col min="7" max="7" width="9.296875" style="1" customWidth="1"/>
    <col min="8" max="8" width="0.796875" style="1" hidden="1" customWidth="1"/>
    <col min="9" max="9" width="2.69921875" style="1" customWidth="1"/>
    <col min="10" max="10" width="9.5" style="1" customWidth="1"/>
    <col min="11" max="11" width="13.296875" style="1" customWidth="1"/>
    <col min="12" max="12" width="11.296875" style="1" customWidth="1"/>
    <col min="13" max="13" width="15.69921875" style="1" customWidth="1"/>
    <col min="14" max="14" width="100.69921875" style="1" customWidth="1"/>
    <col min="15" max="15" width="13" style="1" hidden="1" customWidth="1"/>
    <col min="16" max="16" width="10" style="1" hidden="1" customWidth="1"/>
    <col min="17" max="17" width="13.69921875" style="1" hidden="1" customWidth="1"/>
    <col min="18" max="18" width="15.5" style="1" customWidth="1"/>
    <col min="19" max="19" width="0" style="1" hidden="1" customWidth="1"/>
    <col min="20" max="20" width="15.5" style="1" customWidth="1"/>
    <col min="21" max="21" width="16.5" style="1" customWidth="1"/>
    <col min="22" max="22" width="17.69921875" style="1" customWidth="1"/>
    <col min="23" max="23" width="15.19921875" style="1" hidden="1" customWidth="1"/>
    <col min="24" max="54" width="13.796875" style="1" customWidth="1"/>
    <col min="55" max="55" width="12" style="1" bestFit="1" customWidth="1"/>
    <col min="56" max="16384" width="8.796875" style="1"/>
  </cols>
  <sheetData>
    <row r="1" spans="1:72" ht="30" customHeight="1" x14ac:dyDescent="0.3"/>
    <row r="2" spans="1:72" ht="25.95" customHeight="1" x14ac:dyDescent="0.5">
      <c r="B2" s="2"/>
      <c r="C2" s="2"/>
      <c r="D2" s="2"/>
      <c r="E2" s="2"/>
      <c r="F2" s="2"/>
      <c r="G2" s="2"/>
      <c r="H2" s="2"/>
      <c r="I2" s="2"/>
      <c r="J2" s="3"/>
      <c r="K2" s="3"/>
      <c r="L2" s="3"/>
      <c r="M2" s="3"/>
      <c r="N2" s="4" t="s">
        <v>206</v>
      </c>
      <c r="O2" s="5"/>
      <c r="P2" s="6"/>
      <c r="Q2" s="7"/>
      <c r="R2" s="7"/>
      <c r="S2" s="7"/>
      <c r="T2" s="7"/>
      <c r="U2" s="7"/>
      <c r="V2" s="7"/>
      <c r="W2" s="7"/>
      <c r="X2" s="8"/>
      <c r="Y2" s="9" t="s">
        <v>151</v>
      </c>
      <c r="Z2" s="7"/>
      <c r="AA2" s="7"/>
      <c r="AB2" s="7"/>
      <c r="AC2" s="7"/>
      <c r="AD2" s="7"/>
      <c r="AE2" s="7"/>
      <c r="AF2" s="7"/>
      <c r="AG2" s="7"/>
      <c r="AH2" s="7"/>
      <c r="AI2" s="7"/>
      <c r="AJ2" s="7"/>
      <c r="AK2" s="7"/>
      <c r="AL2" s="7"/>
      <c r="AM2" s="7"/>
      <c r="AN2" s="7"/>
      <c r="AO2" s="7"/>
      <c r="AP2" s="3"/>
      <c r="AQ2" s="3"/>
      <c r="AR2" s="3"/>
      <c r="AS2" s="3"/>
      <c r="AT2" s="3"/>
      <c r="AU2" s="3"/>
      <c r="AV2" s="3"/>
      <c r="AW2" s="10"/>
      <c r="AX2" s="3"/>
      <c r="AY2" s="3"/>
      <c r="AZ2" s="3"/>
      <c r="BA2" s="3"/>
      <c r="BB2" s="3"/>
    </row>
    <row r="3" spans="1:72" ht="19.05" customHeight="1" x14ac:dyDescent="0.35">
      <c r="B3" s="2"/>
      <c r="C3" s="2"/>
      <c r="D3" s="2"/>
      <c r="E3" s="2"/>
      <c r="F3" s="2"/>
      <c r="G3" s="2"/>
      <c r="H3" s="2"/>
      <c r="I3" s="2"/>
      <c r="J3" s="11"/>
      <c r="K3" s="12"/>
      <c r="L3" s="11"/>
      <c r="M3" s="13"/>
      <c r="N3" s="14"/>
      <c r="O3" s="15"/>
      <c r="P3" s="16"/>
      <c r="Q3" s="17"/>
      <c r="R3" s="18"/>
      <c r="S3" s="18"/>
      <c r="T3" s="18"/>
      <c r="U3" s="18"/>
      <c r="V3" s="18"/>
      <c r="W3" s="3"/>
      <c r="X3" s="19" t="s">
        <v>152</v>
      </c>
      <c r="Y3" s="20" t="e">
        <f>IF(Inflation=secondaryInflation,Inflation,secondaryInflation)</f>
        <v>#REF!</v>
      </c>
      <c r="Z3" s="21" t="e">
        <f>IF(Inflation=secondaryInflation,"is the estimated Inflation Rate for estimating Future Replacement Costs.","is the estimated Inflation Rate through "&amp;secondaryInflationYear&amp;".")</f>
        <v>#REF!</v>
      </c>
      <c r="AA3" s="8"/>
      <c r="AB3" s="2"/>
      <c r="AC3" s="22"/>
      <c r="AD3" s="22"/>
      <c r="AE3" s="2"/>
      <c r="AF3" s="2"/>
      <c r="AG3" s="2"/>
      <c r="AH3" s="2"/>
      <c r="AI3" s="2"/>
      <c r="AJ3" s="2"/>
      <c r="AK3" s="2"/>
      <c r="AL3" s="2"/>
      <c r="AM3" s="2"/>
      <c r="AN3" s="2"/>
      <c r="AO3" s="2"/>
      <c r="AP3" s="2"/>
      <c r="AQ3" s="2"/>
      <c r="AR3" s="2"/>
      <c r="AS3" s="23"/>
      <c r="AT3" s="24"/>
      <c r="AU3" s="24"/>
      <c r="AV3" s="24"/>
      <c r="AW3" s="24"/>
      <c r="AX3" s="24"/>
      <c r="AY3" s="24"/>
      <c r="AZ3" s="24"/>
      <c r="BA3" s="24"/>
      <c r="BB3" s="24"/>
    </row>
    <row r="4" spans="1:72" ht="22.05" customHeight="1" x14ac:dyDescent="0.35">
      <c r="B4" s="2"/>
      <c r="C4" s="2"/>
      <c r="D4" s="2"/>
      <c r="E4" s="2"/>
      <c r="F4" s="2"/>
      <c r="G4" s="2"/>
      <c r="H4" s="2"/>
      <c r="I4" s="2"/>
      <c r="J4" s="25"/>
      <c r="K4" s="12"/>
      <c r="L4" s="11"/>
      <c r="M4" s="11"/>
      <c r="N4" s="26" t="s">
        <v>207</v>
      </c>
      <c r="O4" s="27"/>
      <c r="P4" s="27"/>
      <c r="Q4" s="28"/>
      <c r="R4" s="29"/>
      <c r="S4" s="29"/>
      <c r="T4" s="29"/>
      <c r="U4" s="29"/>
      <c r="V4" s="29"/>
      <c r="W4" s="3"/>
      <c r="X4" s="19" t="s">
        <v>154</v>
      </c>
      <c r="Y4" s="30" t="s">
        <v>208</v>
      </c>
      <c r="Z4" s="2"/>
      <c r="AA4" s="8"/>
      <c r="AB4" s="2"/>
      <c r="AC4" s="2"/>
      <c r="AD4" s="2"/>
      <c r="AE4" s="2"/>
      <c r="AF4" s="2"/>
      <c r="AG4" s="3"/>
      <c r="AH4" s="2"/>
      <c r="AI4" s="2"/>
      <c r="AJ4" s="2"/>
      <c r="AK4" s="2"/>
      <c r="AL4" s="2"/>
      <c r="AM4" s="2"/>
      <c r="AN4" s="2"/>
      <c r="AO4" s="2"/>
      <c r="AP4" s="2"/>
      <c r="AQ4" s="2"/>
      <c r="AR4" s="2"/>
      <c r="AS4" s="31"/>
      <c r="AT4" s="31"/>
      <c r="AU4" s="31"/>
      <c r="AV4" s="31"/>
      <c r="AW4" s="31"/>
      <c r="AX4" s="31"/>
      <c r="AY4" s="31"/>
      <c r="AZ4" s="31"/>
      <c r="BA4" s="31"/>
      <c r="BB4" s="31"/>
    </row>
    <row r="5" spans="1:72" ht="22.05" customHeight="1" x14ac:dyDescent="0.35">
      <c r="B5" s="2"/>
      <c r="C5" s="2"/>
      <c r="D5" s="2"/>
      <c r="E5" s="2"/>
      <c r="F5" s="2"/>
      <c r="G5" s="2"/>
      <c r="H5" s="2"/>
      <c r="I5" s="2"/>
      <c r="J5" s="11"/>
      <c r="K5" s="12"/>
      <c r="L5" s="11"/>
      <c r="M5" s="13"/>
      <c r="N5" s="26" t="s">
        <v>209</v>
      </c>
      <c r="O5" s="32"/>
      <c r="P5" s="12"/>
      <c r="Q5" s="11"/>
      <c r="R5" s="2"/>
      <c r="S5" s="2"/>
      <c r="T5" s="2"/>
      <c r="U5" s="2"/>
      <c r="V5" s="2"/>
      <c r="W5" s="3"/>
      <c r="X5" s="19" t="s">
        <v>42</v>
      </c>
      <c r="Y5" s="30" t="s">
        <v>42</v>
      </c>
      <c r="Z5" s="8"/>
      <c r="AA5" s="8"/>
      <c r="AB5" s="2"/>
      <c r="AC5" s="2"/>
      <c r="AD5" s="2"/>
      <c r="AE5" s="2"/>
      <c r="AF5" s="2"/>
      <c r="AG5" s="2"/>
      <c r="AH5" s="2"/>
      <c r="AI5" s="2"/>
      <c r="AJ5" s="2"/>
      <c r="AK5" s="2"/>
      <c r="AL5" s="2"/>
      <c r="AM5" s="2"/>
      <c r="AN5" s="2"/>
      <c r="AO5" s="2"/>
      <c r="AP5" s="2"/>
      <c r="AQ5" s="2"/>
      <c r="AR5" s="2"/>
      <c r="AS5" s="34"/>
      <c r="AT5" s="31"/>
      <c r="AU5" s="31"/>
      <c r="AV5" s="31"/>
      <c r="AW5" s="31"/>
      <c r="AX5" s="31"/>
      <c r="AY5" s="31"/>
      <c r="AZ5" s="31"/>
      <c r="BA5" s="31"/>
      <c r="BB5" s="31"/>
    </row>
    <row r="6" spans="1:72" ht="19.05" customHeight="1" x14ac:dyDescent="0.35">
      <c r="B6" s="2"/>
      <c r="C6" s="2"/>
      <c r="D6" s="2"/>
      <c r="E6" s="2"/>
      <c r="F6" s="2"/>
      <c r="G6" s="2"/>
      <c r="H6" s="2"/>
      <c r="I6" s="2"/>
      <c r="J6" s="11"/>
      <c r="K6" s="12"/>
      <c r="L6" s="11"/>
      <c r="M6" s="13"/>
      <c r="N6" s="80" t="s">
        <v>1</v>
      </c>
      <c r="O6" s="25"/>
      <c r="P6" s="36"/>
      <c r="Q6" s="11"/>
      <c r="R6" s="11"/>
      <c r="S6" s="11"/>
      <c r="T6" s="3"/>
      <c r="U6" s="3"/>
      <c r="V6" s="3"/>
      <c r="W6" s="11"/>
      <c r="X6" s="37"/>
      <c r="Y6" s="30" t="s">
        <v>42</v>
      </c>
      <c r="Z6" s="2"/>
      <c r="AA6" s="2"/>
      <c r="AB6" s="2"/>
      <c r="AC6" s="2"/>
      <c r="AD6" s="2"/>
      <c r="AE6" s="2"/>
      <c r="AF6" s="2"/>
      <c r="AG6" s="2"/>
      <c r="AH6" s="2"/>
      <c r="AI6" s="2"/>
      <c r="AJ6" s="2"/>
      <c r="AK6" s="2"/>
      <c r="AL6" s="2"/>
      <c r="AM6" s="2"/>
      <c r="AN6" s="2"/>
      <c r="AO6" s="2"/>
      <c r="AP6" s="2"/>
      <c r="AQ6" s="2"/>
      <c r="AR6" s="2"/>
      <c r="AS6" s="31"/>
      <c r="AT6" s="31"/>
      <c r="AU6" s="31"/>
      <c r="AV6" s="31"/>
      <c r="AW6" s="31"/>
      <c r="AX6" s="31"/>
      <c r="AY6" s="31"/>
      <c r="AZ6" s="31"/>
      <c r="BA6" s="31"/>
      <c r="BB6" s="31"/>
    </row>
    <row r="7" spans="1:72" ht="19.05" customHeight="1" x14ac:dyDescent="0.35">
      <c r="A7" s="38"/>
      <c r="B7" s="39"/>
      <c r="C7" s="39"/>
      <c r="D7" s="39"/>
      <c r="E7" s="39"/>
      <c r="F7" s="39"/>
      <c r="G7" s="39"/>
      <c r="H7" s="39"/>
      <c r="I7" s="39"/>
      <c r="J7" s="35"/>
      <c r="K7" s="35"/>
      <c r="L7" s="35"/>
      <c r="M7" s="40" t="s">
        <v>2</v>
      </c>
      <c r="N7" s="41"/>
      <c r="O7" s="35" t="s">
        <v>3</v>
      </c>
      <c r="P7" s="329" t="s">
        <v>4</v>
      </c>
      <c r="Q7" s="329"/>
      <c r="R7" s="330" t="s">
        <v>5</v>
      </c>
      <c r="S7" s="330"/>
      <c r="T7" s="330"/>
      <c r="U7" s="330"/>
      <c r="V7" s="42"/>
      <c r="W7" s="43" t="s">
        <v>6</v>
      </c>
      <c r="X7" s="44">
        <v>3.5000000000000003E-2</v>
      </c>
      <c r="Y7" s="45">
        <v>3.5000000000000003E-2</v>
      </c>
      <c r="Z7" s="45">
        <v>3.5000000000000003E-2</v>
      </c>
      <c r="AA7" s="45">
        <v>3.5000000000000003E-2</v>
      </c>
      <c r="AB7" s="45">
        <v>3.5000000000000003E-2</v>
      </c>
      <c r="AC7" s="45">
        <v>3.5000000000000003E-2</v>
      </c>
      <c r="AD7" s="45">
        <v>3.5000000000000003E-2</v>
      </c>
      <c r="AE7" s="45">
        <v>3.5000000000000003E-2</v>
      </c>
      <c r="AF7" s="45">
        <v>3.5000000000000003E-2</v>
      </c>
      <c r="AG7" s="45">
        <v>3.5000000000000003E-2</v>
      </c>
      <c r="AH7" s="45">
        <v>3.5000000000000003E-2</v>
      </c>
      <c r="AI7" s="45">
        <v>3.5000000000000003E-2</v>
      </c>
      <c r="AJ7" s="45">
        <v>3.5000000000000003E-2</v>
      </c>
      <c r="AK7" s="45">
        <v>3.5000000000000003E-2</v>
      </c>
      <c r="AL7" s="45">
        <v>3.5000000000000003E-2</v>
      </c>
      <c r="AM7" s="45">
        <v>3.5000000000000003E-2</v>
      </c>
      <c r="AN7" s="45">
        <v>3.5000000000000003E-2</v>
      </c>
      <c r="AO7" s="45">
        <v>3.5000000000000003E-2</v>
      </c>
      <c r="AP7" s="45">
        <v>3.5000000000000003E-2</v>
      </c>
      <c r="AQ7" s="45">
        <v>3.5000000000000003E-2</v>
      </c>
      <c r="AR7" s="45">
        <v>3.5000000000000003E-2</v>
      </c>
      <c r="AS7" s="45">
        <v>3.5000000000000003E-2</v>
      </c>
      <c r="AT7" s="45">
        <v>3.5000000000000003E-2</v>
      </c>
      <c r="AU7" s="45">
        <v>3.5000000000000003E-2</v>
      </c>
      <c r="AV7" s="45">
        <v>3.5000000000000003E-2</v>
      </c>
      <c r="AW7" s="45">
        <v>3.5000000000000003E-2</v>
      </c>
      <c r="AX7" s="45">
        <v>3.5000000000000003E-2</v>
      </c>
      <c r="AY7" s="45">
        <v>3.5000000000000003E-2</v>
      </c>
      <c r="AZ7" s="45">
        <v>3.5000000000000003E-2</v>
      </c>
      <c r="BA7" s="45">
        <v>3.5000000000000003E-2</v>
      </c>
      <c r="BB7" s="45">
        <v>3.5000000000000003E-2</v>
      </c>
      <c r="BC7" s="46"/>
      <c r="BD7" s="46"/>
      <c r="BE7" s="46"/>
      <c r="BF7" s="46"/>
      <c r="BG7" s="46"/>
      <c r="BH7" s="46"/>
      <c r="BI7" s="46"/>
      <c r="BJ7" s="46"/>
      <c r="BK7" s="46"/>
      <c r="BL7" s="46"/>
      <c r="BM7" s="46"/>
      <c r="BN7" s="46"/>
      <c r="BO7" s="46"/>
      <c r="BP7" s="46"/>
      <c r="BQ7" s="46"/>
      <c r="BR7" s="46"/>
      <c r="BS7" s="46"/>
      <c r="BT7" s="46"/>
    </row>
    <row r="8" spans="1:72" ht="19.05" customHeight="1" x14ac:dyDescent="0.35">
      <c r="A8" s="38"/>
      <c r="B8" s="47" t="s">
        <v>7</v>
      </c>
      <c r="C8" s="48" t="s">
        <v>8</v>
      </c>
      <c r="D8" s="49" t="s">
        <v>9</v>
      </c>
      <c r="E8" s="49" t="s">
        <v>10</v>
      </c>
      <c r="F8" s="50" t="s">
        <v>11</v>
      </c>
      <c r="G8" s="51" t="s">
        <v>12</v>
      </c>
      <c r="H8" s="52" t="s">
        <v>13</v>
      </c>
      <c r="I8" s="52"/>
      <c r="J8" s="35" t="s">
        <v>14</v>
      </c>
      <c r="K8" s="39" t="s">
        <v>15</v>
      </c>
      <c r="L8" s="35" t="s">
        <v>16</v>
      </c>
      <c r="M8" s="35"/>
      <c r="N8" s="35"/>
      <c r="O8" s="35" t="s">
        <v>17</v>
      </c>
      <c r="P8" s="331" t="s">
        <v>18</v>
      </c>
      <c r="Q8" s="331"/>
      <c r="R8" s="35" t="s">
        <v>19</v>
      </c>
      <c r="S8" s="35" t="s">
        <v>6</v>
      </c>
      <c r="T8" s="35" t="s">
        <v>16</v>
      </c>
      <c r="U8" s="35" t="s">
        <v>15</v>
      </c>
      <c r="V8" s="35" t="s">
        <v>20</v>
      </c>
      <c r="W8" s="35" t="s">
        <v>21</v>
      </c>
      <c r="X8" s="53">
        <v>0</v>
      </c>
      <c r="Y8" s="54">
        <v>1</v>
      </c>
      <c r="Z8" s="54">
        <v>2</v>
      </c>
      <c r="AA8" s="54">
        <v>3</v>
      </c>
      <c r="AB8" s="54">
        <v>4</v>
      </c>
      <c r="AC8" s="54">
        <v>5</v>
      </c>
      <c r="AD8" s="54">
        <v>6</v>
      </c>
      <c r="AE8" s="54">
        <v>7</v>
      </c>
      <c r="AF8" s="54">
        <v>8</v>
      </c>
      <c r="AG8" s="54">
        <v>9</v>
      </c>
      <c r="AH8" s="54">
        <v>10</v>
      </c>
      <c r="AI8" s="54">
        <v>11</v>
      </c>
      <c r="AJ8" s="54">
        <v>12</v>
      </c>
      <c r="AK8" s="54">
        <v>13</v>
      </c>
      <c r="AL8" s="54">
        <v>14</v>
      </c>
      <c r="AM8" s="54">
        <v>15</v>
      </c>
      <c r="AN8" s="54">
        <v>16</v>
      </c>
      <c r="AO8" s="54">
        <v>17</v>
      </c>
      <c r="AP8" s="54">
        <v>18</v>
      </c>
      <c r="AQ8" s="54">
        <v>19</v>
      </c>
      <c r="AR8" s="54">
        <v>20</v>
      </c>
      <c r="AS8" s="55">
        <v>21</v>
      </c>
      <c r="AT8" s="55">
        <v>22</v>
      </c>
      <c r="AU8" s="55">
        <v>23</v>
      </c>
      <c r="AV8" s="55">
        <v>24</v>
      </c>
      <c r="AW8" s="55">
        <v>25</v>
      </c>
      <c r="AX8" s="55">
        <v>26</v>
      </c>
      <c r="AY8" s="55">
        <v>27</v>
      </c>
      <c r="AZ8" s="55">
        <v>28</v>
      </c>
      <c r="BA8" s="55">
        <v>29</v>
      </c>
      <c r="BB8" s="55">
        <v>30</v>
      </c>
      <c r="BC8" s="56"/>
      <c r="BD8" s="56"/>
      <c r="BE8" s="56"/>
      <c r="BF8" s="56"/>
      <c r="BG8" s="56"/>
      <c r="BH8" s="56"/>
      <c r="BI8" s="56"/>
      <c r="BJ8" s="56"/>
      <c r="BK8" s="56"/>
      <c r="BL8" s="56"/>
      <c r="BM8" s="56"/>
      <c r="BN8" s="56"/>
      <c r="BO8" s="56"/>
      <c r="BP8" s="56"/>
      <c r="BQ8" s="56"/>
      <c r="BR8" s="56"/>
      <c r="BS8" s="56"/>
      <c r="BT8" s="56"/>
    </row>
    <row r="9" spans="1:72" ht="19.05" customHeight="1" x14ac:dyDescent="0.35">
      <c r="A9" s="38"/>
      <c r="B9" s="47" t="s">
        <v>22</v>
      </c>
      <c r="C9" s="48" t="s">
        <v>23</v>
      </c>
      <c r="D9" s="49" t="s">
        <v>24</v>
      </c>
      <c r="E9" s="49" t="s">
        <v>16</v>
      </c>
      <c r="F9" s="50" t="s">
        <v>25</v>
      </c>
      <c r="G9" s="51" t="s">
        <v>26</v>
      </c>
      <c r="H9" s="52" t="s">
        <v>27</v>
      </c>
      <c r="I9" s="52"/>
      <c r="J9" s="35" t="s">
        <v>28</v>
      </c>
      <c r="K9" s="35" t="s">
        <v>22</v>
      </c>
      <c r="L9" s="35" t="s">
        <v>22</v>
      </c>
      <c r="M9" s="35" t="s">
        <v>29</v>
      </c>
      <c r="N9" s="35" t="s">
        <v>156</v>
      </c>
      <c r="O9" s="35" t="s">
        <v>30</v>
      </c>
      <c r="P9" s="41" t="s">
        <v>12</v>
      </c>
      <c r="Q9" s="41" t="s">
        <v>31</v>
      </c>
      <c r="R9" s="35" t="s">
        <v>32</v>
      </c>
      <c r="S9" s="35" t="s">
        <v>33</v>
      </c>
      <c r="T9" s="35" t="s">
        <v>32</v>
      </c>
      <c r="U9" s="35" t="s">
        <v>32</v>
      </c>
      <c r="V9" s="35" t="s">
        <v>34</v>
      </c>
      <c r="W9" s="35" t="s">
        <v>35</v>
      </c>
      <c r="X9" s="57">
        <v>2023</v>
      </c>
      <c r="Y9" s="54">
        <v>2024</v>
      </c>
      <c r="Z9" s="54">
        <v>2025</v>
      </c>
      <c r="AA9" s="54">
        <v>2026</v>
      </c>
      <c r="AB9" s="54">
        <v>2027</v>
      </c>
      <c r="AC9" s="54">
        <v>2028</v>
      </c>
      <c r="AD9" s="54">
        <v>2029</v>
      </c>
      <c r="AE9" s="54">
        <v>2030</v>
      </c>
      <c r="AF9" s="54">
        <v>2031</v>
      </c>
      <c r="AG9" s="54">
        <v>2032</v>
      </c>
      <c r="AH9" s="54">
        <v>2033</v>
      </c>
      <c r="AI9" s="54">
        <v>2034</v>
      </c>
      <c r="AJ9" s="54">
        <v>2035</v>
      </c>
      <c r="AK9" s="54">
        <v>2036</v>
      </c>
      <c r="AL9" s="54">
        <v>2037</v>
      </c>
      <c r="AM9" s="54">
        <v>2038</v>
      </c>
      <c r="AN9" s="54">
        <v>2039</v>
      </c>
      <c r="AO9" s="54">
        <v>2040</v>
      </c>
      <c r="AP9" s="54">
        <v>2041</v>
      </c>
      <c r="AQ9" s="54">
        <v>2042</v>
      </c>
      <c r="AR9" s="54">
        <v>2043</v>
      </c>
      <c r="AS9" s="54">
        <v>2044</v>
      </c>
      <c r="AT9" s="54">
        <v>2045</v>
      </c>
      <c r="AU9" s="54">
        <v>2046</v>
      </c>
      <c r="AV9" s="54">
        <v>2047</v>
      </c>
      <c r="AW9" s="54">
        <v>2048</v>
      </c>
      <c r="AX9" s="54">
        <v>2049</v>
      </c>
      <c r="AY9" s="54">
        <v>2050</v>
      </c>
      <c r="AZ9" s="54">
        <v>2051</v>
      </c>
      <c r="BA9" s="54">
        <v>2052</v>
      </c>
      <c r="BB9" s="54">
        <v>2053</v>
      </c>
      <c r="BC9" s="56"/>
      <c r="BD9" s="56"/>
      <c r="BE9" s="56"/>
      <c r="BF9" s="56"/>
      <c r="BG9" s="56"/>
      <c r="BH9" s="56"/>
      <c r="BI9" s="56"/>
      <c r="BJ9" s="56"/>
      <c r="BK9" s="56"/>
      <c r="BL9" s="56"/>
      <c r="BM9" s="56"/>
      <c r="BN9" s="56"/>
      <c r="BO9" s="56"/>
      <c r="BP9" s="56"/>
      <c r="BQ9" s="56"/>
      <c r="BR9" s="56"/>
      <c r="BS9" s="56"/>
      <c r="BT9" s="56"/>
    </row>
    <row r="10" spans="1:72" ht="10.050000000000001" customHeight="1" x14ac:dyDescent="0.35">
      <c r="A10" s="58"/>
      <c r="B10" s="59"/>
      <c r="C10" s="59"/>
      <c r="D10" s="59" t="s">
        <v>36</v>
      </c>
      <c r="E10" s="59" t="s">
        <v>36</v>
      </c>
      <c r="F10" s="59" t="s">
        <v>36</v>
      </c>
      <c r="G10" s="59" t="s">
        <v>36</v>
      </c>
      <c r="H10" s="59"/>
      <c r="I10" s="59"/>
      <c r="J10" s="59" t="s">
        <v>36</v>
      </c>
      <c r="K10" s="59"/>
      <c r="L10" s="59" t="s">
        <v>36</v>
      </c>
      <c r="M10" s="59" t="s">
        <v>36</v>
      </c>
      <c r="N10" s="59" t="s">
        <v>36</v>
      </c>
      <c r="O10" s="59" t="s">
        <v>36</v>
      </c>
      <c r="P10" s="59" t="s">
        <v>36</v>
      </c>
      <c r="Q10" s="59" t="s">
        <v>36</v>
      </c>
      <c r="R10" s="59" t="s">
        <v>36</v>
      </c>
      <c r="S10" s="59" t="s">
        <v>36</v>
      </c>
      <c r="T10" s="59" t="s">
        <v>36</v>
      </c>
      <c r="U10" s="59" t="s">
        <v>36</v>
      </c>
      <c r="V10" s="59" t="s">
        <v>36</v>
      </c>
      <c r="W10" s="60" t="s">
        <v>36</v>
      </c>
      <c r="X10" s="59" t="s">
        <v>36</v>
      </c>
      <c r="Y10" s="59" t="s">
        <v>36</v>
      </c>
      <c r="Z10" s="59" t="s">
        <v>36</v>
      </c>
      <c r="AA10" s="59" t="s">
        <v>36</v>
      </c>
      <c r="AB10" s="59" t="s">
        <v>36</v>
      </c>
      <c r="AC10" s="59" t="s">
        <v>36</v>
      </c>
      <c r="AD10" s="59" t="s">
        <v>36</v>
      </c>
      <c r="AE10" s="59" t="s">
        <v>36</v>
      </c>
      <c r="AF10" s="59" t="s">
        <v>36</v>
      </c>
      <c r="AG10" s="59" t="s">
        <v>36</v>
      </c>
      <c r="AH10" s="59" t="s">
        <v>36</v>
      </c>
      <c r="AI10" s="59" t="s">
        <v>36</v>
      </c>
      <c r="AJ10" s="59" t="s">
        <v>36</v>
      </c>
      <c r="AK10" s="59" t="s">
        <v>36</v>
      </c>
      <c r="AL10" s="59" t="s">
        <v>36</v>
      </c>
      <c r="AM10" s="59" t="s">
        <v>36</v>
      </c>
      <c r="AN10" s="59" t="s">
        <v>36</v>
      </c>
      <c r="AO10" s="59" t="s">
        <v>36</v>
      </c>
      <c r="AP10" s="59" t="s">
        <v>36</v>
      </c>
      <c r="AQ10" s="59" t="s">
        <v>36</v>
      </c>
      <c r="AR10" s="59" t="s">
        <v>36</v>
      </c>
      <c r="AS10" s="59" t="s">
        <v>36</v>
      </c>
      <c r="AT10" s="59" t="s">
        <v>36</v>
      </c>
      <c r="AU10" s="59" t="s">
        <v>36</v>
      </c>
      <c r="AV10" s="59" t="s">
        <v>36</v>
      </c>
      <c r="AW10" s="59" t="s">
        <v>36</v>
      </c>
      <c r="AX10" s="59" t="s">
        <v>36</v>
      </c>
      <c r="AY10" s="59" t="s">
        <v>36</v>
      </c>
      <c r="AZ10" s="59" t="s">
        <v>36</v>
      </c>
      <c r="BA10" s="59" t="s">
        <v>36</v>
      </c>
      <c r="BB10" s="59" t="s">
        <v>36</v>
      </c>
      <c r="BC10" s="61"/>
      <c r="BD10" s="61"/>
      <c r="BE10" s="61"/>
      <c r="BF10" s="61"/>
      <c r="BG10" s="61"/>
      <c r="BH10" s="61"/>
      <c r="BI10" s="61"/>
      <c r="BJ10" s="61"/>
      <c r="BK10" s="61"/>
      <c r="BL10" s="61"/>
      <c r="BM10" s="61"/>
      <c r="BN10" s="61"/>
      <c r="BO10" s="61"/>
      <c r="BP10" s="61"/>
      <c r="BQ10" s="61"/>
      <c r="BR10" s="61"/>
      <c r="BS10" s="61"/>
      <c r="BT10" s="61"/>
    </row>
    <row r="11" spans="1:72" ht="40.049999999999997" customHeight="1" x14ac:dyDescent="0.35">
      <c r="A11" s="116"/>
      <c r="B11" s="117"/>
      <c r="C11" s="118"/>
      <c r="D11" s="116"/>
      <c r="E11" s="119"/>
      <c r="F11" s="120"/>
      <c r="G11" s="120"/>
      <c r="H11" s="121"/>
      <c r="I11" s="121"/>
      <c r="J11" s="122"/>
      <c r="K11" s="123"/>
      <c r="L11" s="102"/>
      <c r="M11" s="102"/>
      <c r="N11" s="215" t="s">
        <v>37</v>
      </c>
      <c r="O11" s="116"/>
      <c r="P11" s="125"/>
      <c r="Q11" s="116"/>
      <c r="R11" s="126"/>
      <c r="S11" s="127"/>
      <c r="T11" s="102"/>
      <c r="U11" s="102"/>
      <c r="V11" s="123"/>
      <c r="W11" s="128"/>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row>
    <row r="12" spans="1:72" ht="40.049999999999997" customHeight="1" x14ac:dyDescent="0.35">
      <c r="A12" s="116"/>
      <c r="B12" s="117">
        <v>1</v>
      </c>
      <c r="C12" s="118">
        <v>1</v>
      </c>
      <c r="D12" s="116">
        <v>1</v>
      </c>
      <c r="E12" s="119">
        <v>1</v>
      </c>
      <c r="F12" s="120">
        <v>2041</v>
      </c>
      <c r="G12" s="120">
        <v>30</v>
      </c>
      <c r="H12" s="121">
        <v>0.01</v>
      </c>
      <c r="I12" s="121"/>
      <c r="J12" s="122">
        <v>1.0409999999999999</v>
      </c>
      <c r="K12" s="123">
        <v>154</v>
      </c>
      <c r="L12" s="124">
        <v>154</v>
      </c>
      <c r="M12" s="102" t="s">
        <v>38</v>
      </c>
      <c r="N12" s="102" t="s">
        <v>39</v>
      </c>
      <c r="O12" s="116">
        <v>2041</v>
      </c>
      <c r="P12" s="125" t="s">
        <v>40</v>
      </c>
      <c r="Q12" s="116" t="s">
        <v>41</v>
      </c>
      <c r="R12" s="126">
        <v>900</v>
      </c>
      <c r="S12" s="127">
        <v>1</v>
      </c>
      <c r="T12" s="124">
        <v>138600</v>
      </c>
      <c r="U12" s="124">
        <v>138600</v>
      </c>
      <c r="V12" s="123">
        <v>257448</v>
      </c>
      <c r="W12" s="128">
        <v>1.0098927897017359E-2</v>
      </c>
      <c r="X12" s="105" t="s">
        <v>42</v>
      </c>
      <c r="Y12" s="105" t="s">
        <v>42</v>
      </c>
      <c r="Z12" s="105" t="s">
        <v>42</v>
      </c>
      <c r="AA12" s="105" t="s">
        <v>42</v>
      </c>
      <c r="AB12" s="105" t="s">
        <v>42</v>
      </c>
      <c r="AC12" s="105" t="s">
        <v>42</v>
      </c>
      <c r="AD12" s="105" t="s">
        <v>42</v>
      </c>
      <c r="AE12" s="105" t="s">
        <v>42</v>
      </c>
      <c r="AF12" s="105" t="s">
        <v>42</v>
      </c>
      <c r="AG12" s="105" t="s">
        <v>42</v>
      </c>
      <c r="AH12" s="105" t="s">
        <v>42</v>
      </c>
      <c r="AI12" s="105" t="s">
        <v>42</v>
      </c>
      <c r="AJ12" s="105" t="s">
        <v>42</v>
      </c>
      <c r="AK12" s="105" t="s">
        <v>42</v>
      </c>
      <c r="AL12" s="105" t="s">
        <v>42</v>
      </c>
      <c r="AM12" s="105" t="s">
        <v>42</v>
      </c>
      <c r="AN12" s="105" t="s">
        <v>42</v>
      </c>
      <c r="AO12" s="105" t="s">
        <v>42</v>
      </c>
      <c r="AP12" s="105">
        <v>257448</v>
      </c>
      <c r="AQ12" s="105" t="s">
        <v>42</v>
      </c>
      <c r="AR12" s="105" t="s">
        <v>42</v>
      </c>
      <c r="AS12" s="105" t="s">
        <v>42</v>
      </c>
      <c r="AT12" s="105" t="s">
        <v>42</v>
      </c>
      <c r="AU12" s="105" t="s">
        <v>42</v>
      </c>
      <c r="AV12" s="105" t="s">
        <v>42</v>
      </c>
      <c r="AW12" s="105" t="s">
        <v>42</v>
      </c>
      <c r="AX12" s="105" t="s">
        <v>42</v>
      </c>
      <c r="AY12" s="105" t="s">
        <v>42</v>
      </c>
      <c r="AZ12" s="105" t="s">
        <v>42</v>
      </c>
      <c r="BA12" s="105" t="s">
        <v>42</v>
      </c>
      <c r="BB12" s="105" t="s">
        <v>42</v>
      </c>
    </row>
    <row r="13" spans="1:72" ht="40.049999999999997" customHeight="1" x14ac:dyDescent="0.35">
      <c r="A13" s="116"/>
      <c r="B13" s="117">
        <v>1</v>
      </c>
      <c r="C13" s="118">
        <v>1</v>
      </c>
      <c r="D13" s="116">
        <v>1</v>
      </c>
      <c r="E13" s="119">
        <v>1</v>
      </c>
      <c r="F13" s="120">
        <v>2028</v>
      </c>
      <c r="G13" s="120">
        <v>8</v>
      </c>
      <c r="H13" s="121">
        <v>0.01</v>
      </c>
      <c r="I13" s="121"/>
      <c r="J13" s="216">
        <v>1.06</v>
      </c>
      <c r="K13" s="217">
        <v>8100</v>
      </c>
      <c r="L13" s="218">
        <v>8100</v>
      </c>
      <c r="M13" s="219" t="s">
        <v>43</v>
      </c>
      <c r="N13" s="219" t="s">
        <v>44</v>
      </c>
      <c r="O13" s="220">
        <v>2028</v>
      </c>
      <c r="P13" s="221" t="s">
        <v>45</v>
      </c>
      <c r="Q13" s="220" t="s">
        <v>46</v>
      </c>
      <c r="R13" s="222">
        <v>16</v>
      </c>
      <c r="S13" s="223">
        <v>1</v>
      </c>
      <c r="T13" s="218">
        <v>129600</v>
      </c>
      <c r="U13" s="218">
        <v>129600</v>
      </c>
      <c r="V13" s="217">
        <v>974974</v>
      </c>
      <c r="W13" s="224">
        <v>3.8245362665340586E-2</v>
      </c>
      <c r="X13" s="225" t="s">
        <v>42</v>
      </c>
      <c r="Y13" s="225" t="s">
        <v>42</v>
      </c>
      <c r="Z13" s="225" t="s">
        <v>42</v>
      </c>
      <c r="AA13" s="225" t="s">
        <v>42</v>
      </c>
      <c r="AB13" s="225" t="s">
        <v>42</v>
      </c>
      <c r="AC13" s="225">
        <v>153924</v>
      </c>
      <c r="AD13" s="225" t="s">
        <v>42</v>
      </c>
      <c r="AE13" s="225" t="s">
        <v>42</v>
      </c>
      <c r="AF13" s="225" t="s">
        <v>42</v>
      </c>
      <c r="AG13" s="225" t="s">
        <v>42</v>
      </c>
      <c r="AH13" s="225" t="s">
        <v>42</v>
      </c>
      <c r="AI13" s="225" t="s">
        <v>42</v>
      </c>
      <c r="AJ13" s="225" t="s">
        <v>42</v>
      </c>
      <c r="AK13" s="225">
        <v>202689</v>
      </c>
      <c r="AL13" s="225" t="s">
        <v>42</v>
      </c>
      <c r="AM13" s="225" t="s">
        <v>42</v>
      </c>
      <c r="AN13" s="225" t="s">
        <v>42</v>
      </c>
      <c r="AO13" s="225" t="s">
        <v>42</v>
      </c>
      <c r="AP13" s="225" t="s">
        <v>42</v>
      </c>
      <c r="AQ13" s="225" t="s">
        <v>42</v>
      </c>
      <c r="AR13" s="225" t="s">
        <v>42</v>
      </c>
      <c r="AS13" s="225">
        <v>266902</v>
      </c>
      <c r="AT13" s="225" t="s">
        <v>42</v>
      </c>
      <c r="AU13" s="225" t="s">
        <v>42</v>
      </c>
      <c r="AV13" s="225" t="s">
        <v>42</v>
      </c>
      <c r="AW13" s="225" t="s">
        <v>42</v>
      </c>
      <c r="AX13" s="225" t="s">
        <v>42</v>
      </c>
      <c r="AY13" s="225" t="s">
        <v>42</v>
      </c>
      <c r="AZ13" s="225" t="s">
        <v>42</v>
      </c>
      <c r="BA13" s="225">
        <v>351459</v>
      </c>
      <c r="BB13" s="225" t="s">
        <v>42</v>
      </c>
    </row>
    <row r="14" spans="1:72" ht="40.049999999999997" customHeight="1" x14ac:dyDescent="0.35">
      <c r="A14" s="116"/>
      <c r="B14" s="117">
        <v>1</v>
      </c>
      <c r="C14" s="118">
        <v>1</v>
      </c>
      <c r="D14" s="116">
        <v>1</v>
      </c>
      <c r="E14" s="119">
        <v>1</v>
      </c>
      <c r="F14" s="120">
        <v>2041</v>
      </c>
      <c r="G14" s="120">
        <v>30</v>
      </c>
      <c r="H14" s="121">
        <v>0.01</v>
      </c>
      <c r="I14" s="121"/>
      <c r="J14" s="216">
        <v>1.0609999999999999</v>
      </c>
      <c r="K14" s="217">
        <v>4500</v>
      </c>
      <c r="L14" s="218">
        <v>4500</v>
      </c>
      <c r="M14" s="219" t="s">
        <v>47</v>
      </c>
      <c r="N14" s="219" t="s">
        <v>48</v>
      </c>
      <c r="O14" s="220">
        <v>2041</v>
      </c>
      <c r="P14" s="221" t="s">
        <v>40</v>
      </c>
      <c r="Q14" s="220" t="s">
        <v>41</v>
      </c>
      <c r="R14" s="222">
        <v>80</v>
      </c>
      <c r="S14" s="223">
        <v>1</v>
      </c>
      <c r="T14" s="218">
        <v>360000</v>
      </c>
      <c r="U14" s="218">
        <v>360000</v>
      </c>
      <c r="V14" s="217">
        <v>668696</v>
      </c>
      <c r="W14" s="224">
        <v>2.6230977475155837E-2</v>
      </c>
      <c r="X14" s="225" t="s">
        <v>42</v>
      </c>
      <c r="Y14" s="225" t="s">
        <v>42</v>
      </c>
      <c r="Z14" s="225" t="s">
        <v>42</v>
      </c>
      <c r="AA14" s="225" t="s">
        <v>42</v>
      </c>
      <c r="AB14" s="225" t="s">
        <v>42</v>
      </c>
      <c r="AC14" s="225" t="s">
        <v>42</v>
      </c>
      <c r="AD14" s="225" t="s">
        <v>42</v>
      </c>
      <c r="AE14" s="225" t="s">
        <v>42</v>
      </c>
      <c r="AF14" s="225" t="s">
        <v>42</v>
      </c>
      <c r="AG14" s="225" t="s">
        <v>42</v>
      </c>
      <c r="AH14" s="225" t="s">
        <v>42</v>
      </c>
      <c r="AI14" s="225" t="s">
        <v>42</v>
      </c>
      <c r="AJ14" s="225" t="s">
        <v>42</v>
      </c>
      <c r="AK14" s="225" t="s">
        <v>42</v>
      </c>
      <c r="AL14" s="225" t="s">
        <v>42</v>
      </c>
      <c r="AM14" s="225" t="s">
        <v>42</v>
      </c>
      <c r="AN14" s="225" t="s">
        <v>42</v>
      </c>
      <c r="AO14" s="225" t="s">
        <v>42</v>
      </c>
      <c r="AP14" s="225">
        <v>668696</v>
      </c>
      <c r="AQ14" s="225" t="s">
        <v>42</v>
      </c>
      <c r="AR14" s="225" t="s">
        <v>42</v>
      </c>
      <c r="AS14" s="225" t="s">
        <v>42</v>
      </c>
      <c r="AT14" s="225" t="s">
        <v>42</v>
      </c>
      <c r="AU14" s="225" t="s">
        <v>42</v>
      </c>
      <c r="AV14" s="225" t="s">
        <v>42</v>
      </c>
      <c r="AW14" s="225" t="s">
        <v>42</v>
      </c>
      <c r="AX14" s="225" t="s">
        <v>42</v>
      </c>
      <c r="AY14" s="225" t="s">
        <v>42</v>
      </c>
      <c r="AZ14" s="225" t="s">
        <v>42</v>
      </c>
      <c r="BA14" s="225" t="s">
        <v>42</v>
      </c>
      <c r="BB14" s="225" t="s">
        <v>42</v>
      </c>
    </row>
    <row r="15" spans="1:72" ht="40.049999999999997" customHeight="1" x14ac:dyDescent="0.35">
      <c r="A15" s="116"/>
      <c r="B15" s="117">
        <v>1</v>
      </c>
      <c r="C15" s="118">
        <v>1</v>
      </c>
      <c r="D15" s="116">
        <v>1</v>
      </c>
      <c r="E15" s="119">
        <v>1</v>
      </c>
      <c r="F15" s="120">
        <v>2036</v>
      </c>
      <c r="G15" s="120">
        <v>25</v>
      </c>
      <c r="H15" s="121">
        <v>0.01</v>
      </c>
      <c r="I15" s="121"/>
      <c r="J15" s="216">
        <v>1.103</v>
      </c>
      <c r="K15" s="217">
        <v>600</v>
      </c>
      <c r="L15" s="218">
        <v>600</v>
      </c>
      <c r="M15" s="219" t="s">
        <v>49</v>
      </c>
      <c r="N15" s="219" t="s">
        <v>50</v>
      </c>
      <c r="O15" s="220">
        <v>2036</v>
      </c>
      <c r="P15" s="221" t="s">
        <v>51</v>
      </c>
      <c r="Q15" s="220" t="s">
        <v>52</v>
      </c>
      <c r="R15" s="222">
        <v>90</v>
      </c>
      <c r="S15" s="223">
        <v>1</v>
      </c>
      <c r="T15" s="218">
        <v>54000</v>
      </c>
      <c r="U15" s="218">
        <v>54000</v>
      </c>
      <c r="V15" s="217">
        <v>84454</v>
      </c>
      <c r="W15" s="224">
        <v>3.3128820445864952E-3</v>
      </c>
      <c r="X15" s="225" t="s">
        <v>42</v>
      </c>
      <c r="Y15" s="225" t="s">
        <v>42</v>
      </c>
      <c r="Z15" s="225" t="s">
        <v>42</v>
      </c>
      <c r="AA15" s="225" t="s">
        <v>42</v>
      </c>
      <c r="AB15" s="225" t="s">
        <v>42</v>
      </c>
      <c r="AC15" s="225" t="s">
        <v>42</v>
      </c>
      <c r="AD15" s="225" t="s">
        <v>42</v>
      </c>
      <c r="AE15" s="225" t="s">
        <v>42</v>
      </c>
      <c r="AF15" s="225" t="s">
        <v>42</v>
      </c>
      <c r="AG15" s="225" t="s">
        <v>42</v>
      </c>
      <c r="AH15" s="225" t="s">
        <v>42</v>
      </c>
      <c r="AI15" s="225" t="s">
        <v>42</v>
      </c>
      <c r="AJ15" s="225" t="s">
        <v>42</v>
      </c>
      <c r="AK15" s="225">
        <v>84454</v>
      </c>
      <c r="AL15" s="225" t="s">
        <v>42</v>
      </c>
      <c r="AM15" s="225" t="s">
        <v>42</v>
      </c>
      <c r="AN15" s="225" t="s">
        <v>42</v>
      </c>
      <c r="AO15" s="225" t="s">
        <v>42</v>
      </c>
      <c r="AP15" s="225" t="s">
        <v>42</v>
      </c>
      <c r="AQ15" s="225" t="s">
        <v>42</v>
      </c>
      <c r="AR15" s="225" t="s">
        <v>42</v>
      </c>
      <c r="AS15" s="225" t="s">
        <v>42</v>
      </c>
      <c r="AT15" s="225" t="s">
        <v>42</v>
      </c>
      <c r="AU15" s="225" t="s">
        <v>42</v>
      </c>
      <c r="AV15" s="225" t="s">
        <v>42</v>
      </c>
      <c r="AW15" s="225" t="s">
        <v>42</v>
      </c>
      <c r="AX15" s="225" t="s">
        <v>42</v>
      </c>
      <c r="AY15" s="225" t="s">
        <v>42</v>
      </c>
      <c r="AZ15" s="225" t="s">
        <v>42</v>
      </c>
      <c r="BA15" s="225" t="s">
        <v>42</v>
      </c>
      <c r="BB15" s="225" t="s">
        <v>42</v>
      </c>
    </row>
    <row r="16" spans="1:72" ht="40.049999999999997" customHeight="1" x14ac:dyDescent="0.35">
      <c r="A16" s="116"/>
      <c r="B16" s="117">
        <v>1</v>
      </c>
      <c r="C16" s="118">
        <v>1</v>
      </c>
      <c r="D16" s="116">
        <v>2</v>
      </c>
      <c r="E16" s="119">
        <v>2</v>
      </c>
      <c r="F16" s="120">
        <v>2031</v>
      </c>
      <c r="G16" s="120">
        <v>20</v>
      </c>
      <c r="H16" s="121">
        <v>0.01</v>
      </c>
      <c r="I16" s="121"/>
      <c r="J16" s="122">
        <v>1.24</v>
      </c>
      <c r="K16" s="123">
        <v>3300</v>
      </c>
      <c r="L16" s="124">
        <v>1650</v>
      </c>
      <c r="M16" s="102" t="s">
        <v>47</v>
      </c>
      <c r="N16" s="102" t="s">
        <v>53</v>
      </c>
      <c r="O16" s="116">
        <v>2031</v>
      </c>
      <c r="P16" s="125" t="s">
        <v>54</v>
      </c>
      <c r="Q16" s="116" t="s">
        <v>55</v>
      </c>
      <c r="R16" s="126">
        <v>9.5</v>
      </c>
      <c r="S16" s="127">
        <v>1</v>
      </c>
      <c r="T16" s="124">
        <v>15675</v>
      </c>
      <c r="U16" s="124">
        <v>31350</v>
      </c>
      <c r="V16" s="123">
        <v>125584</v>
      </c>
      <c r="W16" s="128">
        <v>4.9262909831073766E-3</v>
      </c>
      <c r="X16" s="105" t="s">
        <v>42</v>
      </c>
      <c r="Y16" s="105" t="s">
        <v>42</v>
      </c>
      <c r="Z16" s="105" t="s">
        <v>42</v>
      </c>
      <c r="AA16" s="105" t="s">
        <v>42</v>
      </c>
      <c r="AB16" s="105" t="s">
        <v>42</v>
      </c>
      <c r="AC16" s="105" t="s">
        <v>42</v>
      </c>
      <c r="AD16" s="105" t="s">
        <v>42</v>
      </c>
      <c r="AE16" s="105" t="s">
        <v>42</v>
      </c>
      <c r="AF16" s="105">
        <v>20641</v>
      </c>
      <c r="AG16" s="105">
        <v>21363</v>
      </c>
      <c r="AH16" s="105" t="s">
        <v>42</v>
      </c>
      <c r="AI16" s="105" t="s">
        <v>42</v>
      </c>
      <c r="AJ16" s="105" t="s">
        <v>42</v>
      </c>
      <c r="AK16" s="105" t="s">
        <v>42</v>
      </c>
      <c r="AL16" s="105" t="s">
        <v>42</v>
      </c>
      <c r="AM16" s="105" t="s">
        <v>42</v>
      </c>
      <c r="AN16" s="105" t="s">
        <v>42</v>
      </c>
      <c r="AO16" s="105" t="s">
        <v>42</v>
      </c>
      <c r="AP16" s="105" t="s">
        <v>42</v>
      </c>
      <c r="AQ16" s="105" t="s">
        <v>42</v>
      </c>
      <c r="AR16" s="105" t="s">
        <v>42</v>
      </c>
      <c r="AS16" s="105" t="s">
        <v>42</v>
      </c>
      <c r="AT16" s="105" t="s">
        <v>42</v>
      </c>
      <c r="AU16" s="105" t="s">
        <v>42</v>
      </c>
      <c r="AV16" s="105" t="s">
        <v>42</v>
      </c>
      <c r="AW16" s="105" t="s">
        <v>42</v>
      </c>
      <c r="AX16" s="105" t="s">
        <v>42</v>
      </c>
      <c r="AY16" s="105" t="s">
        <v>42</v>
      </c>
      <c r="AZ16" s="105">
        <v>41071</v>
      </c>
      <c r="BA16" s="105">
        <v>42509</v>
      </c>
      <c r="BB16" s="105" t="s">
        <v>42</v>
      </c>
    </row>
    <row r="17" spans="1:54" ht="40.049999999999997" customHeight="1" x14ac:dyDescent="0.35">
      <c r="A17" s="116"/>
      <c r="B17" s="117">
        <v>1</v>
      </c>
      <c r="C17" s="118">
        <v>1</v>
      </c>
      <c r="D17" s="116">
        <v>1</v>
      </c>
      <c r="E17" s="119">
        <v>1</v>
      </c>
      <c r="F17" s="120">
        <v>2028</v>
      </c>
      <c r="G17" s="120">
        <v>20</v>
      </c>
      <c r="H17" s="121">
        <v>0.01</v>
      </c>
      <c r="I17" s="121"/>
      <c r="J17" s="122">
        <v>1.26</v>
      </c>
      <c r="K17" s="123">
        <v>102</v>
      </c>
      <c r="L17" s="124">
        <v>102</v>
      </c>
      <c r="M17" s="102" t="s">
        <v>38</v>
      </c>
      <c r="N17" s="102" t="s">
        <v>56</v>
      </c>
      <c r="O17" s="116">
        <v>2028</v>
      </c>
      <c r="P17" s="125" t="s">
        <v>57</v>
      </c>
      <c r="Q17" s="116" t="s">
        <v>46</v>
      </c>
      <c r="R17" s="126">
        <v>500</v>
      </c>
      <c r="S17" s="127">
        <v>1</v>
      </c>
      <c r="T17" s="124">
        <v>51000</v>
      </c>
      <c r="U17" s="124">
        <v>51000</v>
      </c>
      <c r="V17" s="123">
        <v>181097</v>
      </c>
      <c r="W17" s="128">
        <v>7.103902711872505E-3</v>
      </c>
      <c r="X17" s="105" t="s">
        <v>42</v>
      </c>
      <c r="Y17" s="105" t="s">
        <v>42</v>
      </c>
      <c r="Z17" s="105" t="s">
        <v>42</v>
      </c>
      <c r="AA17" s="105" t="s">
        <v>42</v>
      </c>
      <c r="AB17" s="105" t="s">
        <v>42</v>
      </c>
      <c r="AC17" s="105">
        <v>60572</v>
      </c>
      <c r="AD17" s="105" t="s">
        <v>42</v>
      </c>
      <c r="AE17" s="105" t="s">
        <v>42</v>
      </c>
      <c r="AF17" s="105" t="s">
        <v>42</v>
      </c>
      <c r="AG17" s="105" t="s">
        <v>42</v>
      </c>
      <c r="AH17" s="105" t="s">
        <v>42</v>
      </c>
      <c r="AI17" s="105" t="s">
        <v>42</v>
      </c>
      <c r="AJ17" s="105" t="s">
        <v>42</v>
      </c>
      <c r="AK17" s="105" t="s">
        <v>42</v>
      </c>
      <c r="AL17" s="105" t="s">
        <v>42</v>
      </c>
      <c r="AM17" s="105" t="s">
        <v>42</v>
      </c>
      <c r="AN17" s="105" t="s">
        <v>42</v>
      </c>
      <c r="AO17" s="105" t="s">
        <v>42</v>
      </c>
      <c r="AP17" s="105" t="s">
        <v>42</v>
      </c>
      <c r="AQ17" s="105" t="s">
        <v>42</v>
      </c>
      <c r="AR17" s="105" t="s">
        <v>42</v>
      </c>
      <c r="AS17" s="105" t="s">
        <v>42</v>
      </c>
      <c r="AT17" s="105" t="s">
        <v>42</v>
      </c>
      <c r="AU17" s="105" t="s">
        <v>42</v>
      </c>
      <c r="AV17" s="105" t="s">
        <v>42</v>
      </c>
      <c r="AW17" s="105">
        <v>120525</v>
      </c>
      <c r="AX17" s="105" t="s">
        <v>42</v>
      </c>
      <c r="AY17" s="105" t="s">
        <v>42</v>
      </c>
      <c r="AZ17" s="105" t="s">
        <v>42</v>
      </c>
      <c r="BA17" s="105" t="s">
        <v>42</v>
      </c>
      <c r="BB17" s="105" t="s">
        <v>42</v>
      </c>
    </row>
    <row r="18" spans="1:54" ht="40.049999999999997" customHeight="1" x14ac:dyDescent="0.35">
      <c r="A18" s="116"/>
      <c r="B18" s="117">
        <v>1</v>
      </c>
      <c r="C18" s="118">
        <v>1</v>
      </c>
      <c r="D18" s="116">
        <v>1</v>
      </c>
      <c r="E18" s="119">
        <v>1</v>
      </c>
      <c r="F18" s="120">
        <v>2024</v>
      </c>
      <c r="G18" s="120">
        <v>25</v>
      </c>
      <c r="H18" s="121">
        <v>0.01</v>
      </c>
      <c r="I18" s="121"/>
      <c r="J18" s="122">
        <v>1.32</v>
      </c>
      <c r="K18" s="123">
        <v>340</v>
      </c>
      <c r="L18" s="124">
        <v>340</v>
      </c>
      <c r="M18" s="102" t="s">
        <v>58</v>
      </c>
      <c r="N18" s="102" t="s">
        <v>59</v>
      </c>
      <c r="O18" s="116">
        <v>2024</v>
      </c>
      <c r="P18" s="125" t="s">
        <v>60</v>
      </c>
      <c r="Q18" s="116" t="s">
        <v>61</v>
      </c>
      <c r="R18" s="126">
        <v>2400</v>
      </c>
      <c r="S18" s="127">
        <v>1</v>
      </c>
      <c r="T18" s="124">
        <v>816000</v>
      </c>
      <c r="U18" s="124">
        <v>816000</v>
      </c>
      <c r="V18" s="123">
        <v>2814084</v>
      </c>
      <c r="W18" s="128">
        <v>0.11038823922559195</v>
      </c>
      <c r="X18" s="105" t="s">
        <v>42</v>
      </c>
      <c r="Y18" s="105">
        <v>818182</v>
      </c>
      <c r="Z18" s="105" t="s">
        <v>42</v>
      </c>
      <c r="AA18" s="105" t="s">
        <v>42</v>
      </c>
      <c r="AB18" s="105" t="s">
        <v>42</v>
      </c>
      <c r="AC18" s="105" t="s">
        <v>42</v>
      </c>
      <c r="AD18" s="105" t="s">
        <v>42</v>
      </c>
      <c r="AE18" s="105" t="s">
        <v>42</v>
      </c>
      <c r="AF18" s="105" t="s">
        <v>42</v>
      </c>
      <c r="AG18" s="105" t="s">
        <v>42</v>
      </c>
      <c r="AH18" s="105" t="s">
        <v>42</v>
      </c>
      <c r="AI18" s="105" t="s">
        <v>42</v>
      </c>
      <c r="AJ18" s="105" t="s">
        <v>42</v>
      </c>
      <c r="AK18" s="105" t="s">
        <v>42</v>
      </c>
      <c r="AL18" s="105" t="s">
        <v>42</v>
      </c>
      <c r="AM18" s="105" t="s">
        <v>42</v>
      </c>
      <c r="AN18" s="105" t="s">
        <v>42</v>
      </c>
      <c r="AO18" s="105" t="s">
        <v>42</v>
      </c>
      <c r="AP18" s="105" t="s">
        <v>42</v>
      </c>
      <c r="AQ18" s="105" t="s">
        <v>42</v>
      </c>
      <c r="AR18" s="105" t="s">
        <v>42</v>
      </c>
      <c r="AS18" s="105" t="s">
        <v>42</v>
      </c>
      <c r="AT18" s="105" t="s">
        <v>42</v>
      </c>
      <c r="AU18" s="105" t="s">
        <v>42</v>
      </c>
      <c r="AV18" s="105" t="s">
        <v>42</v>
      </c>
      <c r="AW18" s="105" t="s">
        <v>42</v>
      </c>
      <c r="AX18" s="105">
        <v>1995902</v>
      </c>
      <c r="AY18" s="105" t="s">
        <v>42</v>
      </c>
      <c r="AZ18" s="105" t="s">
        <v>42</v>
      </c>
      <c r="BA18" s="105" t="s">
        <v>42</v>
      </c>
      <c r="BB18" s="105" t="s">
        <v>42</v>
      </c>
    </row>
    <row r="19" spans="1:54" ht="40.049999999999997" customHeight="1" x14ac:dyDescent="0.35">
      <c r="A19" s="116"/>
      <c r="B19" s="117">
        <v>1</v>
      </c>
      <c r="C19" s="118">
        <v>1</v>
      </c>
      <c r="D19" s="116">
        <v>1</v>
      </c>
      <c r="E19" s="119">
        <v>1</v>
      </c>
      <c r="F19" s="120">
        <v>2049</v>
      </c>
      <c r="G19" s="120">
        <v>30</v>
      </c>
      <c r="H19" s="121">
        <v>0.01</v>
      </c>
      <c r="I19" s="121"/>
      <c r="J19" s="216">
        <v>1.4</v>
      </c>
      <c r="K19" s="217">
        <v>8</v>
      </c>
      <c r="L19" s="218">
        <v>8</v>
      </c>
      <c r="M19" s="219" t="s">
        <v>38</v>
      </c>
      <c r="N19" s="219" t="s">
        <v>62</v>
      </c>
      <c r="O19" s="220">
        <v>2049</v>
      </c>
      <c r="P19" s="221" t="s">
        <v>40</v>
      </c>
      <c r="Q19" s="220" t="s">
        <v>63</v>
      </c>
      <c r="R19" s="222">
        <v>2900</v>
      </c>
      <c r="S19" s="223">
        <v>1</v>
      </c>
      <c r="T19" s="218">
        <v>23200</v>
      </c>
      <c r="U19" s="218">
        <v>23200</v>
      </c>
      <c r="V19" s="217">
        <v>56746</v>
      </c>
      <c r="W19" s="224">
        <v>2.2259786925676139E-3</v>
      </c>
      <c r="X19" s="225" t="s">
        <v>42</v>
      </c>
      <c r="Y19" s="225" t="s">
        <v>42</v>
      </c>
      <c r="Z19" s="225" t="s">
        <v>42</v>
      </c>
      <c r="AA19" s="225" t="s">
        <v>42</v>
      </c>
      <c r="AB19" s="225" t="s">
        <v>42</v>
      </c>
      <c r="AC19" s="225" t="s">
        <v>42</v>
      </c>
      <c r="AD19" s="225" t="s">
        <v>42</v>
      </c>
      <c r="AE19" s="225" t="s">
        <v>42</v>
      </c>
      <c r="AF19" s="225" t="s">
        <v>42</v>
      </c>
      <c r="AG19" s="225" t="s">
        <v>42</v>
      </c>
      <c r="AH19" s="225" t="s">
        <v>42</v>
      </c>
      <c r="AI19" s="225" t="s">
        <v>42</v>
      </c>
      <c r="AJ19" s="225" t="s">
        <v>42</v>
      </c>
      <c r="AK19" s="225" t="s">
        <v>42</v>
      </c>
      <c r="AL19" s="225" t="s">
        <v>42</v>
      </c>
      <c r="AM19" s="225" t="s">
        <v>42</v>
      </c>
      <c r="AN19" s="225" t="s">
        <v>42</v>
      </c>
      <c r="AO19" s="225" t="s">
        <v>42</v>
      </c>
      <c r="AP19" s="225" t="s">
        <v>42</v>
      </c>
      <c r="AQ19" s="225" t="s">
        <v>42</v>
      </c>
      <c r="AR19" s="225" t="s">
        <v>42</v>
      </c>
      <c r="AS19" s="225" t="s">
        <v>42</v>
      </c>
      <c r="AT19" s="225" t="s">
        <v>42</v>
      </c>
      <c r="AU19" s="225" t="s">
        <v>42</v>
      </c>
      <c r="AV19" s="225" t="s">
        <v>42</v>
      </c>
      <c r="AW19" s="225" t="s">
        <v>42</v>
      </c>
      <c r="AX19" s="225">
        <v>56746</v>
      </c>
      <c r="AY19" s="225" t="s">
        <v>42</v>
      </c>
      <c r="AZ19" s="225" t="s">
        <v>42</v>
      </c>
      <c r="BA19" s="225" t="s">
        <v>42</v>
      </c>
      <c r="BB19" s="225" t="s">
        <v>42</v>
      </c>
    </row>
    <row r="20" spans="1:54" ht="40.049999999999997" customHeight="1" x14ac:dyDescent="0.35">
      <c r="A20" s="116"/>
      <c r="B20" s="117">
        <v>1</v>
      </c>
      <c r="C20" s="118">
        <v>1</v>
      </c>
      <c r="D20" s="116">
        <v>1</v>
      </c>
      <c r="E20" s="119">
        <v>1</v>
      </c>
      <c r="F20" s="120">
        <v>2036</v>
      </c>
      <c r="G20" s="120">
        <v>30</v>
      </c>
      <c r="H20" s="121">
        <v>0.01</v>
      </c>
      <c r="I20" s="121"/>
      <c r="J20" s="216">
        <v>1.401</v>
      </c>
      <c r="K20" s="217">
        <v>37</v>
      </c>
      <c r="L20" s="218">
        <v>37</v>
      </c>
      <c r="M20" s="219" t="s">
        <v>38</v>
      </c>
      <c r="N20" s="219" t="s">
        <v>64</v>
      </c>
      <c r="O20" s="220">
        <v>2036</v>
      </c>
      <c r="P20" s="221" t="s">
        <v>40</v>
      </c>
      <c r="Q20" s="220" t="s">
        <v>52</v>
      </c>
      <c r="R20" s="222">
        <v>2900</v>
      </c>
      <c r="S20" s="223">
        <v>1</v>
      </c>
      <c r="T20" s="218">
        <v>107300</v>
      </c>
      <c r="U20" s="218">
        <v>107300</v>
      </c>
      <c r="V20" s="217">
        <v>167812</v>
      </c>
      <c r="W20" s="224">
        <v>6.5827712324596699E-3</v>
      </c>
      <c r="X20" s="225" t="s">
        <v>42</v>
      </c>
      <c r="Y20" s="225" t="s">
        <v>42</v>
      </c>
      <c r="Z20" s="225" t="s">
        <v>42</v>
      </c>
      <c r="AA20" s="225" t="s">
        <v>42</v>
      </c>
      <c r="AB20" s="225" t="s">
        <v>42</v>
      </c>
      <c r="AC20" s="225" t="s">
        <v>42</v>
      </c>
      <c r="AD20" s="225" t="s">
        <v>42</v>
      </c>
      <c r="AE20" s="225" t="s">
        <v>42</v>
      </c>
      <c r="AF20" s="225" t="s">
        <v>42</v>
      </c>
      <c r="AG20" s="225" t="s">
        <v>42</v>
      </c>
      <c r="AH20" s="225" t="s">
        <v>42</v>
      </c>
      <c r="AI20" s="225" t="s">
        <v>42</v>
      </c>
      <c r="AJ20" s="225" t="s">
        <v>42</v>
      </c>
      <c r="AK20" s="225">
        <v>167812</v>
      </c>
      <c r="AL20" s="225" t="s">
        <v>42</v>
      </c>
      <c r="AM20" s="225" t="s">
        <v>42</v>
      </c>
      <c r="AN20" s="225" t="s">
        <v>42</v>
      </c>
      <c r="AO20" s="225" t="s">
        <v>42</v>
      </c>
      <c r="AP20" s="225" t="s">
        <v>42</v>
      </c>
      <c r="AQ20" s="225" t="s">
        <v>42</v>
      </c>
      <c r="AR20" s="225" t="s">
        <v>42</v>
      </c>
      <c r="AS20" s="225" t="s">
        <v>42</v>
      </c>
      <c r="AT20" s="225" t="s">
        <v>42</v>
      </c>
      <c r="AU20" s="225" t="s">
        <v>42</v>
      </c>
      <c r="AV20" s="225" t="s">
        <v>42</v>
      </c>
      <c r="AW20" s="225" t="s">
        <v>42</v>
      </c>
      <c r="AX20" s="225" t="s">
        <v>42</v>
      </c>
      <c r="AY20" s="225" t="s">
        <v>42</v>
      </c>
      <c r="AZ20" s="225" t="s">
        <v>42</v>
      </c>
      <c r="BA20" s="225" t="s">
        <v>42</v>
      </c>
      <c r="BB20" s="225" t="s">
        <v>42</v>
      </c>
    </row>
    <row r="21" spans="1:54" ht="40.049999999999997" customHeight="1" x14ac:dyDescent="0.35">
      <c r="A21" s="116"/>
      <c r="B21" s="117">
        <v>1</v>
      </c>
      <c r="C21" s="118">
        <v>2</v>
      </c>
      <c r="D21" s="116">
        <v>5</v>
      </c>
      <c r="E21" s="119">
        <v>3</v>
      </c>
      <c r="F21" s="120">
        <v>2025</v>
      </c>
      <c r="G21" s="120">
        <v>20</v>
      </c>
      <c r="H21" s="121">
        <v>0.01</v>
      </c>
      <c r="I21" s="121"/>
      <c r="J21" s="216">
        <v>1.5</v>
      </c>
      <c r="K21" s="217">
        <v>1070</v>
      </c>
      <c r="L21" s="218">
        <v>356.67</v>
      </c>
      <c r="M21" s="219" t="s">
        <v>58</v>
      </c>
      <c r="N21" s="219" t="s">
        <v>65</v>
      </c>
      <c r="O21" s="220">
        <v>2025</v>
      </c>
      <c r="P21" s="221" t="s">
        <v>54</v>
      </c>
      <c r="Q21" s="220" t="s">
        <v>66</v>
      </c>
      <c r="R21" s="222">
        <v>2200</v>
      </c>
      <c r="S21" s="223">
        <v>1</v>
      </c>
      <c r="T21" s="218">
        <v>784674</v>
      </c>
      <c r="U21" s="218">
        <v>2354000</v>
      </c>
      <c r="V21" s="217">
        <v>8089048</v>
      </c>
      <c r="W21" s="224">
        <v>0.31730956351384543</v>
      </c>
      <c r="X21" s="225" t="s">
        <v>42</v>
      </c>
      <c r="Y21" s="225" t="s">
        <v>42</v>
      </c>
      <c r="Z21" s="225">
        <v>840562</v>
      </c>
      <c r="AA21" s="225" t="s">
        <v>42</v>
      </c>
      <c r="AB21" s="225">
        <v>900431</v>
      </c>
      <c r="AC21" s="225" t="s">
        <v>42</v>
      </c>
      <c r="AD21" s="225">
        <v>964565</v>
      </c>
      <c r="AE21" s="225" t="s">
        <v>42</v>
      </c>
      <c r="AF21" s="225" t="s">
        <v>42</v>
      </c>
      <c r="AG21" s="225" t="s">
        <v>42</v>
      </c>
      <c r="AH21" s="225" t="s">
        <v>42</v>
      </c>
      <c r="AI21" s="225" t="s">
        <v>42</v>
      </c>
      <c r="AJ21" s="225" t="s">
        <v>42</v>
      </c>
      <c r="AK21" s="225" t="s">
        <v>42</v>
      </c>
      <c r="AL21" s="225" t="s">
        <v>42</v>
      </c>
      <c r="AM21" s="225" t="s">
        <v>42</v>
      </c>
      <c r="AN21" s="225" t="s">
        <v>42</v>
      </c>
      <c r="AO21" s="225" t="s">
        <v>42</v>
      </c>
      <c r="AP21" s="225" t="s">
        <v>42</v>
      </c>
      <c r="AQ21" s="225" t="s">
        <v>42</v>
      </c>
      <c r="AR21" s="225" t="s">
        <v>42</v>
      </c>
      <c r="AS21" s="225" t="s">
        <v>42</v>
      </c>
      <c r="AT21" s="225">
        <v>1672542</v>
      </c>
      <c r="AU21" s="225" t="s">
        <v>42</v>
      </c>
      <c r="AV21" s="225">
        <v>1791668</v>
      </c>
      <c r="AW21" s="225" t="s">
        <v>42</v>
      </c>
      <c r="AX21" s="225">
        <v>1919280</v>
      </c>
      <c r="AY21" s="225" t="s">
        <v>42</v>
      </c>
      <c r="AZ21" s="225" t="s">
        <v>42</v>
      </c>
      <c r="BA21" s="225" t="s">
        <v>42</v>
      </c>
      <c r="BB21" s="225" t="s">
        <v>42</v>
      </c>
    </row>
    <row r="22" spans="1:54" ht="40.049999999999997" customHeight="1" x14ac:dyDescent="0.35">
      <c r="A22" s="116"/>
      <c r="B22" s="117">
        <v>1</v>
      </c>
      <c r="C22" s="118">
        <v>1</v>
      </c>
      <c r="D22" s="116">
        <v>2</v>
      </c>
      <c r="E22" s="119">
        <v>2</v>
      </c>
      <c r="F22" s="120">
        <v>2028</v>
      </c>
      <c r="G22" s="120">
        <v>8</v>
      </c>
      <c r="H22" s="121">
        <v>0.01</v>
      </c>
      <c r="I22" s="121"/>
      <c r="J22" s="122">
        <v>1.88</v>
      </c>
      <c r="K22" s="123">
        <v>117000</v>
      </c>
      <c r="L22" s="124">
        <v>58500</v>
      </c>
      <c r="M22" s="102" t="s">
        <v>43</v>
      </c>
      <c r="N22" s="102" t="s">
        <v>67</v>
      </c>
      <c r="O22" s="116">
        <v>2028</v>
      </c>
      <c r="P22" s="125" t="s">
        <v>45</v>
      </c>
      <c r="Q22" s="116" t="s">
        <v>68</v>
      </c>
      <c r="R22" s="126">
        <v>6.5</v>
      </c>
      <c r="S22" s="127">
        <v>1</v>
      </c>
      <c r="T22" s="124">
        <v>380250</v>
      </c>
      <c r="U22" s="124">
        <v>760500</v>
      </c>
      <c r="V22" s="123">
        <v>5821326</v>
      </c>
      <c r="W22" s="128">
        <v>0.22835349872219818</v>
      </c>
      <c r="X22" s="105" t="s">
        <v>42</v>
      </c>
      <c r="Y22" s="105" t="s">
        <v>42</v>
      </c>
      <c r="Z22" s="105" t="s">
        <v>42</v>
      </c>
      <c r="AA22" s="105" t="s">
        <v>42</v>
      </c>
      <c r="AB22" s="105" t="s">
        <v>42</v>
      </c>
      <c r="AC22" s="105">
        <v>451618</v>
      </c>
      <c r="AD22" s="105">
        <v>467424</v>
      </c>
      <c r="AE22" s="105" t="s">
        <v>42</v>
      </c>
      <c r="AF22" s="105" t="s">
        <v>42</v>
      </c>
      <c r="AG22" s="105" t="s">
        <v>42</v>
      </c>
      <c r="AH22" s="105" t="s">
        <v>42</v>
      </c>
      <c r="AI22" s="105" t="s">
        <v>42</v>
      </c>
      <c r="AJ22" s="105" t="s">
        <v>42</v>
      </c>
      <c r="AK22" s="105">
        <v>594694</v>
      </c>
      <c r="AL22" s="105">
        <v>615509</v>
      </c>
      <c r="AM22" s="105" t="s">
        <v>42</v>
      </c>
      <c r="AN22" s="105" t="s">
        <v>42</v>
      </c>
      <c r="AO22" s="105" t="s">
        <v>42</v>
      </c>
      <c r="AP22" s="105" t="s">
        <v>42</v>
      </c>
      <c r="AQ22" s="105" t="s">
        <v>42</v>
      </c>
      <c r="AR22" s="105" t="s">
        <v>42</v>
      </c>
      <c r="AS22" s="105">
        <v>783099</v>
      </c>
      <c r="AT22" s="105">
        <v>810507</v>
      </c>
      <c r="AU22" s="105" t="s">
        <v>42</v>
      </c>
      <c r="AV22" s="105" t="s">
        <v>42</v>
      </c>
      <c r="AW22" s="105" t="s">
        <v>42</v>
      </c>
      <c r="AX22" s="105" t="s">
        <v>42</v>
      </c>
      <c r="AY22" s="105" t="s">
        <v>42</v>
      </c>
      <c r="AZ22" s="105" t="s">
        <v>42</v>
      </c>
      <c r="BA22" s="105">
        <v>1031192</v>
      </c>
      <c r="BB22" s="105">
        <v>1067283</v>
      </c>
    </row>
    <row r="23" spans="1:54" ht="40.049999999999997" customHeight="1" x14ac:dyDescent="0.35">
      <c r="A23" s="116"/>
      <c r="B23" s="117"/>
      <c r="C23" s="118"/>
      <c r="D23" s="116"/>
      <c r="E23" s="119"/>
      <c r="F23" s="120"/>
      <c r="G23" s="120"/>
      <c r="H23" s="121"/>
      <c r="I23" s="121"/>
      <c r="J23" s="122"/>
      <c r="K23" s="123"/>
      <c r="L23" s="102"/>
      <c r="M23" s="102"/>
      <c r="N23" s="102"/>
      <c r="O23" s="116"/>
      <c r="P23" s="125"/>
      <c r="Q23" s="116"/>
      <c r="R23" s="126"/>
      <c r="S23" s="127"/>
      <c r="T23" s="102"/>
      <c r="U23" s="102"/>
      <c r="V23" s="123"/>
      <c r="W23" s="128"/>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row>
    <row r="24" spans="1:54" ht="40.049999999999997" customHeight="1" x14ac:dyDescent="0.35">
      <c r="A24" s="116"/>
      <c r="B24" s="117"/>
      <c r="C24" s="118"/>
      <c r="D24" s="116"/>
      <c r="E24" s="119"/>
      <c r="F24" s="120"/>
      <c r="G24" s="120"/>
      <c r="H24" s="121"/>
      <c r="I24" s="121"/>
      <c r="J24" s="122"/>
      <c r="K24" s="123"/>
      <c r="L24" s="102"/>
      <c r="M24" s="102"/>
      <c r="N24" s="215" t="s">
        <v>71</v>
      </c>
      <c r="O24" s="116"/>
      <c r="P24" s="125"/>
      <c r="Q24" s="116"/>
      <c r="R24" s="126"/>
      <c r="S24" s="127"/>
      <c r="T24" s="102"/>
      <c r="U24" s="102"/>
      <c r="V24" s="123"/>
      <c r="W24" s="128"/>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row>
    <row r="25" spans="1:54" ht="40.049999999999997" customHeight="1" x14ac:dyDescent="0.35">
      <c r="A25" s="116"/>
      <c r="B25" s="117">
        <v>1</v>
      </c>
      <c r="C25" s="118">
        <v>1</v>
      </c>
      <c r="D25" s="116">
        <v>1</v>
      </c>
      <c r="E25" s="119">
        <v>1</v>
      </c>
      <c r="F25" s="120">
        <v>2030</v>
      </c>
      <c r="G25" s="120">
        <v>7</v>
      </c>
      <c r="H25" s="121">
        <v>0.01</v>
      </c>
      <c r="I25" s="121"/>
      <c r="J25" s="216">
        <v>2.88</v>
      </c>
      <c r="K25" s="217">
        <v>1</v>
      </c>
      <c r="L25" s="218">
        <v>1</v>
      </c>
      <c r="M25" s="219" t="s">
        <v>72</v>
      </c>
      <c r="N25" s="219" t="s">
        <v>73</v>
      </c>
      <c r="O25" s="220">
        <v>2030</v>
      </c>
      <c r="P25" s="221" t="s">
        <v>45</v>
      </c>
      <c r="Q25" s="220" t="s">
        <v>74</v>
      </c>
      <c r="R25" s="222">
        <v>35000</v>
      </c>
      <c r="S25" s="223">
        <v>1</v>
      </c>
      <c r="T25" s="218">
        <v>35000</v>
      </c>
      <c r="U25" s="218">
        <v>35000</v>
      </c>
      <c r="V25" s="217">
        <v>264970</v>
      </c>
      <c r="W25" s="224">
        <v>1.0393993835153855E-2</v>
      </c>
      <c r="X25" s="225" t="s">
        <v>42</v>
      </c>
      <c r="Y25" s="225" t="s">
        <v>42</v>
      </c>
      <c r="Z25" s="225" t="s">
        <v>42</v>
      </c>
      <c r="AA25" s="225" t="s">
        <v>42</v>
      </c>
      <c r="AB25" s="225" t="s">
        <v>42</v>
      </c>
      <c r="AC25" s="225" t="s">
        <v>42</v>
      </c>
      <c r="AD25" s="225" t="s">
        <v>42</v>
      </c>
      <c r="AE25" s="225">
        <v>44530</v>
      </c>
      <c r="AF25" s="225" t="s">
        <v>42</v>
      </c>
      <c r="AG25" s="225" t="s">
        <v>42</v>
      </c>
      <c r="AH25" s="225" t="s">
        <v>42</v>
      </c>
      <c r="AI25" s="225" t="s">
        <v>42</v>
      </c>
      <c r="AJ25" s="225" t="s">
        <v>42</v>
      </c>
      <c r="AK25" s="225" t="s">
        <v>42</v>
      </c>
      <c r="AL25" s="225">
        <v>56654</v>
      </c>
      <c r="AM25" s="225" t="s">
        <v>42</v>
      </c>
      <c r="AN25" s="225" t="s">
        <v>42</v>
      </c>
      <c r="AO25" s="225" t="s">
        <v>42</v>
      </c>
      <c r="AP25" s="225" t="s">
        <v>42</v>
      </c>
      <c r="AQ25" s="225" t="s">
        <v>42</v>
      </c>
      <c r="AR25" s="225" t="s">
        <v>42</v>
      </c>
      <c r="AS25" s="225">
        <v>72080</v>
      </c>
      <c r="AT25" s="225" t="s">
        <v>42</v>
      </c>
      <c r="AU25" s="225" t="s">
        <v>42</v>
      </c>
      <c r="AV25" s="225" t="s">
        <v>42</v>
      </c>
      <c r="AW25" s="225" t="s">
        <v>42</v>
      </c>
      <c r="AX25" s="225" t="s">
        <v>42</v>
      </c>
      <c r="AY25" s="225" t="s">
        <v>42</v>
      </c>
      <c r="AZ25" s="225">
        <v>91706</v>
      </c>
      <c r="BA25" s="225" t="s">
        <v>42</v>
      </c>
      <c r="BB25" s="225" t="s">
        <v>42</v>
      </c>
    </row>
    <row r="26" spans="1:54" ht="40.049999999999997" customHeight="1" x14ac:dyDescent="0.35">
      <c r="A26" s="116"/>
      <c r="B26" s="117"/>
      <c r="C26" s="118"/>
      <c r="D26" s="116"/>
      <c r="E26" s="119"/>
      <c r="F26" s="120"/>
      <c r="G26" s="120"/>
      <c r="H26" s="121"/>
      <c r="I26" s="121"/>
      <c r="J26" s="216"/>
      <c r="K26" s="217"/>
      <c r="L26" s="219"/>
      <c r="M26" s="219"/>
      <c r="N26" s="219"/>
      <c r="O26" s="220"/>
      <c r="P26" s="221"/>
      <c r="Q26" s="220"/>
      <c r="R26" s="222"/>
      <c r="S26" s="223"/>
      <c r="T26" s="219"/>
      <c r="U26" s="219"/>
      <c r="V26" s="217"/>
      <c r="W26" s="224"/>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row>
    <row r="27" spans="1:54" ht="40.049999999999997" customHeight="1" x14ac:dyDescent="0.35">
      <c r="A27" s="116"/>
      <c r="B27" s="117"/>
      <c r="C27" s="118"/>
      <c r="D27" s="116"/>
      <c r="E27" s="119"/>
      <c r="F27" s="120"/>
      <c r="G27" s="120"/>
      <c r="H27" s="121"/>
      <c r="I27" s="121"/>
      <c r="J27" s="216"/>
      <c r="K27" s="217"/>
      <c r="L27" s="219"/>
      <c r="M27" s="219"/>
      <c r="N27" s="226" t="s">
        <v>75</v>
      </c>
      <c r="O27" s="220"/>
      <c r="P27" s="221"/>
      <c r="Q27" s="220"/>
      <c r="R27" s="222"/>
      <c r="S27" s="223"/>
      <c r="T27" s="219"/>
      <c r="U27" s="219"/>
      <c r="V27" s="217"/>
      <c r="W27" s="224"/>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row>
    <row r="28" spans="1:54" ht="40.049999999999997" customHeight="1" x14ac:dyDescent="0.35">
      <c r="A28" s="116"/>
      <c r="B28" s="117">
        <v>1</v>
      </c>
      <c r="C28" s="118">
        <v>5</v>
      </c>
      <c r="D28" s="116">
        <v>51</v>
      </c>
      <c r="E28" s="119">
        <v>11</v>
      </c>
      <c r="F28" s="120">
        <v>2026</v>
      </c>
      <c r="G28" s="120">
        <v>70</v>
      </c>
      <c r="H28" s="121">
        <v>0.01</v>
      </c>
      <c r="I28" s="121"/>
      <c r="J28" s="122">
        <v>3.3</v>
      </c>
      <c r="K28" s="123">
        <v>22</v>
      </c>
      <c r="L28" s="124">
        <v>2</v>
      </c>
      <c r="M28" s="102" t="s">
        <v>38</v>
      </c>
      <c r="N28" s="102" t="s">
        <v>76</v>
      </c>
      <c r="O28" s="116">
        <v>2026</v>
      </c>
      <c r="P28" s="125" t="s">
        <v>77</v>
      </c>
      <c r="Q28" s="116" t="s">
        <v>78</v>
      </c>
      <c r="R28" s="126">
        <v>19000</v>
      </c>
      <c r="S28" s="127">
        <v>1</v>
      </c>
      <c r="T28" s="124">
        <v>38000</v>
      </c>
      <c r="U28" s="124">
        <v>418000</v>
      </c>
      <c r="V28" s="123">
        <v>405584</v>
      </c>
      <c r="W28" s="128">
        <v>1.5909867515707592E-2</v>
      </c>
      <c r="X28" s="105" t="s">
        <v>42</v>
      </c>
      <c r="Y28" s="105" t="s">
        <v>42</v>
      </c>
      <c r="Z28" s="105" t="s">
        <v>42</v>
      </c>
      <c r="AA28" s="105">
        <v>42131</v>
      </c>
      <c r="AB28" s="105" t="s">
        <v>42</v>
      </c>
      <c r="AC28" s="105" t="s">
        <v>42</v>
      </c>
      <c r="AD28" s="105" t="s">
        <v>42</v>
      </c>
      <c r="AE28" s="105" t="s">
        <v>42</v>
      </c>
      <c r="AF28" s="105">
        <v>50039</v>
      </c>
      <c r="AG28" s="105" t="s">
        <v>42</v>
      </c>
      <c r="AH28" s="105" t="s">
        <v>42</v>
      </c>
      <c r="AI28" s="105" t="s">
        <v>42</v>
      </c>
      <c r="AJ28" s="105" t="s">
        <v>42</v>
      </c>
      <c r="AK28" s="105">
        <v>59430</v>
      </c>
      <c r="AL28" s="105" t="s">
        <v>42</v>
      </c>
      <c r="AM28" s="105" t="s">
        <v>42</v>
      </c>
      <c r="AN28" s="105" t="s">
        <v>42</v>
      </c>
      <c r="AO28" s="105" t="s">
        <v>42</v>
      </c>
      <c r="AP28" s="105">
        <v>70585</v>
      </c>
      <c r="AQ28" s="105" t="s">
        <v>42</v>
      </c>
      <c r="AR28" s="105" t="s">
        <v>42</v>
      </c>
      <c r="AS28" s="105" t="s">
        <v>42</v>
      </c>
      <c r="AT28" s="105" t="s">
        <v>42</v>
      </c>
      <c r="AU28" s="105">
        <v>83832</v>
      </c>
      <c r="AV28" s="105" t="s">
        <v>42</v>
      </c>
      <c r="AW28" s="105" t="s">
        <v>42</v>
      </c>
      <c r="AX28" s="105" t="s">
        <v>42</v>
      </c>
      <c r="AY28" s="105" t="s">
        <v>42</v>
      </c>
      <c r="AZ28" s="105">
        <v>99567</v>
      </c>
      <c r="BA28" s="105" t="s">
        <v>42</v>
      </c>
      <c r="BB28" s="105" t="s">
        <v>42</v>
      </c>
    </row>
    <row r="29" spans="1:54" ht="40.049999999999997" customHeight="1" x14ac:dyDescent="0.35">
      <c r="A29" s="116"/>
      <c r="B29" s="117"/>
      <c r="C29" s="118"/>
      <c r="D29" s="116"/>
      <c r="E29" s="119"/>
      <c r="F29" s="120"/>
      <c r="G29" s="120"/>
      <c r="H29" s="121"/>
      <c r="I29" s="121"/>
      <c r="J29" s="122"/>
      <c r="K29" s="123"/>
      <c r="L29" s="102"/>
      <c r="M29" s="102"/>
      <c r="N29" s="102"/>
      <c r="O29" s="116"/>
      <c r="P29" s="125"/>
      <c r="Q29" s="116"/>
      <c r="R29" s="126"/>
      <c r="S29" s="127"/>
      <c r="T29" s="102"/>
      <c r="U29" s="102"/>
      <c r="V29" s="123"/>
      <c r="W29" s="128"/>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row>
    <row r="30" spans="1:54" ht="40.049999999999997" customHeight="1" x14ac:dyDescent="0.35">
      <c r="A30" s="116"/>
      <c r="B30" s="117"/>
      <c r="C30" s="118"/>
      <c r="D30" s="116"/>
      <c r="E30" s="119"/>
      <c r="F30" s="120"/>
      <c r="G30" s="120"/>
      <c r="H30" s="121"/>
      <c r="I30" s="121"/>
      <c r="J30" s="122"/>
      <c r="K30" s="123"/>
      <c r="L30" s="102"/>
      <c r="M30" s="102"/>
      <c r="N30" s="215" t="s">
        <v>81</v>
      </c>
      <c r="O30" s="116"/>
      <c r="P30" s="125"/>
      <c r="Q30" s="116"/>
      <c r="R30" s="126"/>
      <c r="S30" s="127"/>
      <c r="T30" s="102"/>
      <c r="U30" s="102"/>
      <c r="V30" s="123"/>
      <c r="W30" s="128"/>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row>
    <row r="31" spans="1:54" ht="40.049999999999997" customHeight="1" x14ac:dyDescent="0.35">
      <c r="A31" s="116"/>
      <c r="B31" s="117">
        <v>1</v>
      </c>
      <c r="C31" s="118">
        <v>1</v>
      </c>
      <c r="D31" s="116">
        <v>1</v>
      </c>
      <c r="E31" s="119">
        <v>1</v>
      </c>
      <c r="F31" s="120">
        <v>2023</v>
      </c>
      <c r="G31" s="120">
        <v>5</v>
      </c>
      <c r="H31" s="121">
        <v>0.01</v>
      </c>
      <c r="I31" s="121"/>
      <c r="J31" s="216">
        <v>4.0199999999999996</v>
      </c>
      <c r="K31" s="217">
        <v>16000</v>
      </c>
      <c r="L31" s="218">
        <v>16000</v>
      </c>
      <c r="M31" s="219" t="s">
        <v>49</v>
      </c>
      <c r="N31" s="219" t="s">
        <v>82</v>
      </c>
      <c r="O31" s="220">
        <v>2023</v>
      </c>
      <c r="P31" s="221" t="s">
        <v>83</v>
      </c>
      <c r="Q31" s="220" t="s">
        <v>84</v>
      </c>
      <c r="R31" s="222">
        <v>0.75</v>
      </c>
      <c r="S31" s="223">
        <v>1</v>
      </c>
      <c r="T31" s="218">
        <v>12000</v>
      </c>
      <c r="U31" s="218">
        <v>12000</v>
      </c>
      <c r="V31" s="217">
        <v>149201</v>
      </c>
      <c r="W31" s="224">
        <v>5.8527164365731604E-3</v>
      </c>
      <c r="X31" s="225">
        <v>12000</v>
      </c>
      <c r="Y31" s="225" t="s">
        <v>42</v>
      </c>
      <c r="Z31" s="225" t="s">
        <v>42</v>
      </c>
      <c r="AA31" s="225" t="s">
        <v>42</v>
      </c>
      <c r="AB31" s="225" t="s">
        <v>42</v>
      </c>
      <c r="AC31" s="225">
        <v>14252</v>
      </c>
      <c r="AD31" s="225" t="s">
        <v>42</v>
      </c>
      <c r="AE31" s="225" t="s">
        <v>42</v>
      </c>
      <c r="AF31" s="225" t="s">
        <v>42</v>
      </c>
      <c r="AG31" s="225" t="s">
        <v>42</v>
      </c>
      <c r="AH31" s="225">
        <v>16927</v>
      </c>
      <c r="AI31" s="225" t="s">
        <v>42</v>
      </c>
      <c r="AJ31" s="225" t="s">
        <v>42</v>
      </c>
      <c r="AK31" s="225" t="s">
        <v>42</v>
      </c>
      <c r="AL31" s="225" t="s">
        <v>42</v>
      </c>
      <c r="AM31" s="225">
        <v>20104</v>
      </c>
      <c r="AN31" s="225" t="s">
        <v>42</v>
      </c>
      <c r="AO31" s="225" t="s">
        <v>42</v>
      </c>
      <c r="AP31" s="225" t="s">
        <v>42</v>
      </c>
      <c r="AQ31" s="225" t="s">
        <v>42</v>
      </c>
      <c r="AR31" s="225">
        <v>23877</v>
      </c>
      <c r="AS31" s="225" t="s">
        <v>42</v>
      </c>
      <c r="AT31" s="225" t="s">
        <v>42</v>
      </c>
      <c r="AU31" s="225" t="s">
        <v>42</v>
      </c>
      <c r="AV31" s="225" t="s">
        <v>42</v>
      </c>
      <c r="AW31" s="225">
        <v>28359</v>
      </c>
      <c r="AX31" s="225" t="s">
        <v>42</v>
      </c>
      <c r="AY31" s="225" t="s">
        <v>42</v>
      </c>
      <c r="AZ31" s="225" t="s">
        <v>42</v>
      </c>
      <c r="BA31" s="225" t="s">
        <v>42</v>
      </c>
      <c r="BB31" s="225">
        <v>33682</v>
      </c>
    </row>
    <row r="32" spans="1:54" ht="40.049999999999997" customHeight="1" x14ac:dyDescent="0.35">
      <c r="A32" s="116"/>
      <c r="B32" s="117">
        <v>1</v>
      </c>
      <c r="C32" s="118">
        <v>1</v>
      </c>
      <c r="D32" s="116">
        <v>1</v>
      </c>
      <c r="E32" s="119">
        <v>1</v>
      </c>
      <c r="F32" s="120">
        <v>2027</v>
      </c>
      <c r="G32" s="120">
        <v>20</v>
      </c>
      <c r="H32" s="121">
        <v>0.01</v>
      </c>
      <c r="I32" s="121"/>
      <c r="J32" s="216">
        <v>4.04</v>
      </c>
      <c r="K32" s="217">
        <v>16000</v>
      </c>
      <c r="L32" s="218">
        <v>16000</v>
      </c>
      <c r="M32" s="219" t="s">
        <v>49</v>
      </c>
      <c r="N32" s="219" t="s">
        <v>85</v>
      </c>
      <c r="O32" s="220">
        <v>2027</v>
      </c>
      <c r="P32" s="221" t="s">
        <v>54</v>
      </c>
      <c r="Q32" s="220" t="s">
        <v>86</v>
      </c>
      <c r="R32" s="222">
        <v>16</v>
      </c>
      <c r="S32" s="223">
        <v>1</v>
      </c>
      <c r="T32" s="218">
        <v>256000</v>
      </c>
      <c r="U32" s="218">
        <v>256000</v>
      </c>
      <c r="V32" s="217">
        <v>878298</v>
      </c>
      <c r="W32" s="224">
        <v>3.4453047505106089E-2</v>
      </c>
      <c r="X32" s="225" t="s">
        <v>42</v>
      </c>
      <c r="Y32" s="225" t="s">
        <v>42</v>
      </c>
      <c r="Z32" s="225" t="s">
        <v>42</v>
      </c>
      <c r="AA32" s="225" t="s">
        <v>42</v>
      </c>
      <c r="AB32" s="225">
        <v>293766</v>
      </c>
      <c r="AC32" s="225" t="s">
        <v>42</v>
      </c>
      <c r="AD32" s="225" t="s">
        <v>42</v>
      </c>
      <c r="AE32" s="225" t="s">
        <v>42</v>
      </c>
      <c r="AF32" s="225" t="s">
        <v>42</v>
      </c>
      <c r="AG32" s="225" t="s">
        <v>42</v>
      </c>
      <c r="AH32" s="225" t="s">
        <v>42</v>
      </c>
      <c r="AI32" s="225" t="s">
        <v>42</v>
      </c>
      <c r="AJ32" s="225" t="s">
        <v>42</v>
      </c>
      <c r="AK32" s="225" t="s">
        <v>42</v>
      </c>
      <c r="AL32" s="225" t="s">
        <v>42</v>
      </c>
      <c r="AM32" s="225" t="s">
        <v>42</v>
      </c>
      <c r="AN32" s="225" t="s">
        <v>42</v>
      </c>
      <c r="AO32" s="225" t="s">
        <v>42</v>
      </c>
      <c r="AP32" s="225" t="s">
        <v>42</v>
      </c>
      <c r="AQ32" s="225" t="s">
        <v>42</v>
      </c>
      <c r="AR32" s="225" t="s">
        <v>42</v>
      </c>
      <c r="AS32" s="225" t="s">
        <v>42</v>
      </c>
      <c r="AT32" s="225" t="s">
        <v>42</v>
      </c>
      <c r="AU32" s="225" t="s">
        <v>42</v>
      </c>
      <c r="AV32" s="225">
        <v>584532</v>
      </c>
      <c r="AW32" s="225" t="s">
        <v>42</v>
      </c>
      <c r="AX32" s="225" t="s">
        <v>42</v>
      </c>
      <c r="AY32" s="225" t="s">
        <v>42</v>
      </c>
      <c r="AZ32" s="225" t="s">
        <v>42</v>
      </c>
      <c r="BA32" s="225" t="s">
        <v>42</v>
      </c>
      <c r="BB32" s="225" t="s">
        <v>42</v>
      </c>
    </row>
    <row r="33" spans="1:54" ht="40.049999999999997" customHeight="1" x14ac:dyDescent="0.35">
      <c r="A33" s="116"/>
      <c r="B33" s="117">
        <v>1</v>
      </c>
      <c r="C33" s="118">
        <v>1</v>
      </c>
      <c r="D33" s="116">
        <v>1</v>
      </c>
      <c r="E33" s="119">
        <v>1</v>
      </c>
      <c r="F33" s="120">
        <v>2043</v>
      </c>
      <c r="G33" s="120">
        <v>10</v>
      </c>
      <c r="H33" s="121">
        <v>0.01</v>
      </c>
      <c r="I33" s="121"/>
      <c r="J33" s="216">
        <v>4.09</v>
      </c>
      <c r="K33" s="217">
        <v>1</v>
      </c>
      <c r="L33" s="218">
        <v>1</v>
      </c>
      <c r="M33" s="219" t="s">
        <v>72</v>
      </c>
      <c r="N33" s="219" t="s">
        <v>87</v>
      </c>
      <c r="O33" s="220">
        <v>2043</v>
      </c>
      <c r="P33" s="221" t="s">
        <v>51</v>
      </c>
      <c r="Q33" s="220" t="s">
        <v>88</v>
      </c>
      <c r="R33" s="222">
        <v>25000</v>
      </c>
      <c r="S33" s="223">
        <v>1</v>
      </c>
      <c r="T33" s="218">
        <v>25000</v>
      </c>
      <c r="U33" s="218">
        <v>25000</v>
      </c>
      <c r="V33" s="217">
        <v>119915</v>
      </c>
      <c r="W33" s="224">
        <v>4.703912785381268E-3</v>
      </c>
      <c r="X33" s="225" t="s">
        <v>42</v>
      </c>
      <c r="Y33" s="225" t="s">
        <v>42</v>
      </c>
      <c r="Z33" s="225" t="s">
        <v>42</v>
      </c>
      <c r="AA33" s="225" t="s">
        <v>42</v>
      </c>
      <c r="AB33" s="225" t="s">
        <v>42</v>
      </c>
      <c r="AC33" s="225" t="s">
        <v>42</v>
      </c>
      <c r="AD33" s="225" t="s">
        <v>42</v>
      </c>
      <c r="AE33" s="225" t="s">
        <v>42</v>
      </c>
      <c r="AF33" s="225" t="s">
        <v>42</v>
      </c>
      <c r="AG33" s="225" t="s">
        <v>42</v>
      </c>
      <c r="AH33" s="225" t="s">
        <v>42</v>
      </c>
      <c r="AI33" s="225" t="s">
        <v>42</v>
      </c>
      <c r="AJ33" s="225" t="s">
        <v>42</v>
      </c>
      <c r="AK33" s="225" t="s">
        <v>42</v>
      </c>
      <c r="AL33" s="225" t="s">
        <v>42</v>
      </c>
      <c r="AM33" s="225" t="s">
        <v>42</v>
      </c>
      <c r="AN33" s="225" t="s">
        <v>42</v>
      </c>
      <c r="AO33" s="225" t="s">
        <v>42</v>
      </c>
      <c r="AP33" s="225" t="s">
        <v>42</v>
      </c>
      <c r="AQ33" s="225" t="s">
        <v>42</v>
      </c>
      <c r="AR33" s="225">
        <v>49745</v>
      </c>
      <c r="AS33" s="225" t="s">
        <v>42</v>
      </c>
      <c r="AT33" s="225" t="s">
        <v>42</v>
      </c>
      <c r="AU33" s="225" t="s">
        <v>42</v>
      </c>
      <c r="AV33" s="225" t="s">
        <v>42</v>
      </c>
      <c r="AW33" s="225" t="s">
        <v>42</v>
      </c>
      <c r="AX33" s="225" t="s">
        <v>42</v>
      </c>
      <c r="AY33" s="225" t="s">
        <v>42</v>
      </c>
      <c r="AZ33" s="225" t="s">
        <v>42</v>
      </c>
      <c r="BA33" s="225" t="s">
        <v>42</v>
      </c>
      <c r="BB33" s="225">
        <v>70170</v>
      </c>
    </row>
    <row r="34" spans="1:54" ht="40.049999999999997" customHeight="1" x14ac:dyDescent="0.35">
      <c r="A34" s="116"/>
      <c r="B34" s="117">
        <v>1</v>
      </c>
      <c r="C34" s="118">
        <v>1</v>
      </c>
      <c r="D34" s="116">
        <v>1</v>
      </c>
      <c r="E34" s="119">
        <v>1</v>
      </c>
      <c r="F34" s="120">
        <v>2028</v>
      </c>
      <c r="G34" s="120">
        <v>10</v>
      </c>
      <c r="H34" s="121">
        <v>10</v>
      </c>
      <c r="I34" s="121"/>
      <c r="J34" s="122">
        <v>4.1109999999999998</v>
      </c>
      <c r="K34" s="123">
        <v>580</v>
      </c>
      <c r="L34" s="124">
        <v>580</v>
      </c>
      <c r="M34" s="102" t="s">
        <v>47</v>
      </c>
      <c r="N34" s="102" t="s">
        <v>89</v>
      </c>
      <c r="O34" s="116">
        <v>2028</v>
      </c>
      <c r="P34" s="125" t="s">
        <v>90</v>
      </c>
      <c r="Q34" s="116" t="s">
        <v>46</v>
      </c>
      <c r="R34" s="126">
        <v>100</v>
      </c>
      <c r="S34" s="127">
        <v>1</v>
      </c>
      <c r="T34" s="124">
        <v>58000</v>
      </c>
      <c r="U34" s="124">
        <v>58000</v>
      </c>
      <c r="V34" s="123">
        <v>303124</v>
      </c>
      <c r="W34" s="128">
        <v>1.1890663045956814E-2</v>
      </c>
      <c r="X34" s="105" t="s">
        <v>42</v>
      </c>
      <c r="Y34" s="105" t="s">
        <v>42</v>
      </c>
      <c r="Z34" s="105" t="s">
        <v>42</v>
      </c>
      <c r="AA34" s="105" t="s">
        <v>42</v>
      </c>
      <c r="AB34" s="105" t="s">
        <v>42</v>
      </c>
      <c r="AC34" s="105">
        <v>68886</v>
      </c>
      <c r="AD34" s="105" t="s">
        <v>42</v>
      </c>
      <c r="AE34" s="105" t="s">
        <v>42</v>
      </c>
      <c r="AF34" s="105" t="s">
        <v>42</v>
      </c>
      <c r="AG34" s="105" t="s">
        <v>42</v>
      </c>
      <c r="AH34" s="105" t="s">
        <v>42</v>
      </c>
      <c r="AI34" s="105" t="s">
        <v>42</v>
      </c>
      <c r="AJ34" s="105" t="s">
        <v>42</v>
      </c>
      <c r="AK34" s="105" t="s">
        <v>42</v>
      </c>
      <c r="AL34" s="105" t="s">
        <v>42</v>
      </c>
      <c r="AM34" s="105">
        <v>97170</v>
      </c>
      <c r="AN34" s="105" t="s">
        <v>42</v>
      </c>
      <c r="AO34" s="105" t="s">
        <v>42</v>
      </c>
      <c r="AP34" s="105" t="s">
        <v>42</v>
      </c>
      <c r="AQ34" s="105" t="s">
        <v>42</v>
      </c>
      <c r="AR34" s="105" t="s">
        <v>42</v>
      </c>
      <c r="AS34" s="105" t="s">
        <v>42</v>
      </c>
      <c r="AT34" s="105" t="s">
        <v>42</v>
      </c>
      <c r="AU34" s="105" t="s">
        <v>42</v>
      </c>
      <c r="AV34" s="105" t="s">
        <v>42</v>
      </c>
      <c r="AW34" s="105">
        <v>137068</v>
      </c>
      <c r="AX34" s="105" t="s">
        <v>42</v>
      </c>
      <c r="AY34" s="105" t="s">
        <v>42</v>
      </c>
      <c r="AZ34" s="105" t="s">
        <v>42</v>
      </c>
      <c r="BA34" s="105" t="s">
        <v>42</v>
      </c>
      <c r="BB34" s="105" t="s">
        <v>42</v>
      </c>
    </row>
    <row r="35" spans="1:54" ht="40.049999999999997" customHeight="1" x14ac:dyDescent="0.35">
      <c r="A35" s="116"/>
      <c r="B35" s="117">
        <v>1</v>
      </c>
      <c r="C35" s="118">
        <v>1</v>
      </c>
      <c r="D35" s="116">
        <v>1</v>
      </c>
      <c r="E35" s="119">
        <v>1</v>
      </c>
      <c r="F35" s="120">
        <v>2029</v>
      </c>
      <c r="G35" s="120">
        <v>10</v>
      </c>
      <c r="H35" s="121">
        <v>10</v>
      </c>
      <c r="I35" s="121"/>
      <c r="J35" s="122">
        <v>4.1120000000000001</v>
      </c>
      <c r="K35" s="123">
        <v>1100</v>
      </c>
      <c r="L35" s="124">
        <v>1100</v>
      </c>
      <c r="M35" s="102" t="s">
        <v>47</v>
      </c>
      <c r="N35" s="102" t="s">
        <v>91</v>
      </c>
      <c r="O35" s="116">
        <v>2029</v>
      </c>
      <c r="P35" s="125" t="s">
        <v>90</v>
      </c>
      <c r="Q35" s="116" t="s">
        <v>70</v>
      </c>
      <c r="R35" s="126">
        <v>90</v>
      </c>
      <c r="S35" s="127">
        <v>1</v>
      </c>
      <c r="T35" s="124">
        <v>99000</v>
      </c>
      <c r="U35" s="124">
        <v>99000</v>
      </c>
      <c r="V35" s="123">
        <v>535511</v>
      </c>
      <c r="W35" s="128">
        <v>2.1006521616247407E-2</v>
      </c>
      <c r="X35" s="105" t="s">
        <v>42</v>
      </c>
      <c r="Y35" s="105" t="s">
        <v>42</v>
      </c>
      <c r="Z35" s="105" t="s">
        <v>42</v>
      </c>
      <c r="AA35" s="105" t="s">
        <v>42</v>
      </c>
      <c r="AB35" s="105" t="s">
        <v>42</v>
      </c>
      <c r="AC35" s="105" t="s">
        <v>42</v>
      </c>
      <c r="AD35" s="105">
        <v>121696</v>
      </c>
      <c r="AE35" s="105" t="s">
        <v>42</v>
      </c>
      <c r="AF35" s="105" t="s">
        <v>42</v>
      </c>
      <c r="AG35" s="105" t="s">
        <v>42</v>
      </c>
      <c r="AH35" s="105" t="s">
        <v>42</v>
      </c>
      <c r="AI35" s="105" t="s">
        <v>42</v>
      </c>
      <c r="AJ35" s="105" t="s">
        <v>42</v>
      </c>
      <c r="AK35" s="105" t="s">
        <v>42</v>
      </c>
      <c r="AL35" s="105" t="s">
        <v>42</v>
      </c>
      <c r="AM35" s="105" t="s">
        <v>42</v>
      </c>
      <c r="AN35" s="105">
        <v>171665</v>
      </c>
      <c r="AO35" s="105" t="s">
        <v>42</v>
      </c>
      <c r="AP35" s="105" t="s">
        <v>42</v>
      </c>
      <c r="AQ35" s="105" t="s">
        <v>42</v>
      </c>
      <c r="AR35" s="105" t="s">
        <v>42</v>
      </c>
      <c r="AS35" s="105" t="s">
        <v>42</v>
      </c>
      <c r="AT35" s="105" t="s">
        <v>42</v>
      </c>
      <c r="AU35" s="105" t="s">
        <v>42</v>
      </c>
      <c r="AV35" s="105" t="s">
        <v>42</v>
      </c>
      <c r="AW35" s="105" t="s">
        <v>42</v>
      </c>
      <c r="AX35" s="105">
        <v>242150</v>
      </c>
      <c r="AY35" s="105" t="s">
        <v>42</v>
      </c>
      <c r="AZ35" s="105" t="s">
        <v>42</v>
      </c>
      <c r="BA35" s="105" t="s">
        <v>42</v>
      </c>
      <c r="BB35" s="105" t="s">
        <v>42</v>
      </c>
    </row>
    <row r="36" spans="1:54" ht="40.049999999999997" customHeight="1" x14ac:dyDescent="0.35">
      <c r="A36" s="116"/>
      <c r="B36" s="117">
        <v>1</v>
      </c>
      <c r="C36" s="118">
        <v>1</v>
      </c>
      <c r="D36" s="116">
        <v>1</v>
      </c>
      <c r="E36" s="119">
        <v>1</v>
      </c>
      <c r="F36" s="120">
        <v>2034</v>
      </c>
      <c r="G36" s="120">
        <v>15</v>
      </c>
      <c r="H36" s="121">
        <v>0.01</v>
      </c>
      <c r="I36" s="121"/>
      <c r="J36" s="122">
        <v>4.1219999999999999</v>
      </c>
      <c r="K36" s="123">
        <v>4</v>
      </c>
      <c r="L36" s="124">
        <v>4</v>
      </c>
      <c r="M36" s="102" t="s">
        <v>38</v>
      </c>
      <c r="N36" s="102" t="s">
        <v>92</v>
      </c>
      <c r="O36" s="116">
        <v>2034</v>
      </c>
      <c r="P36" s="125" t="s">
        <v>51</v>
      </c>
      <c r="Q36" s="116" t="s">
        <v>93</v>
      </c>
      <c r="R36" s="126">
        <v>5000</v>
      </c>
      <c r="S36" s="127">
        <v>1</v>
      </c>
      <c r="T36" s="124">
        <v>20000</v>
      </c>
      <c r="U36" s="124">
        <v>20000</v>
      </c>
      <c r="V36" s="123">
        <v>78118</v>
      </c>
      <c r="W36" s="128">
        <v>3.0643393984773701E-3</v>
      </c>
      <c r="X36" s="105" t="s">
        <v>42</v>
      </c>
      <c r="Y36" s="105" t="s">
        <v>42</v>
      </c>
      <c r="Z36" s="105" t="s">
        <v>42</v>
      </c>
      <c r="AA36" s="105" t="s">
        <v>42</v>
      </c>
      <c r="AB36" s="105" t="s">
        <v>42</v>
      </c>
      <c r="AC36" s="105" t="s">
        <v>42</v>
      </c>
      <c r="AD36" s="105" t="s">
        <v>42</v>
      </c>
      <c r="AE36" s="105" t="s">
        <v>42</v>
      </c>
      <c r="AF36" s="105" t="s">
        <v>42</v>
      </c>
      <c r="AG36" s="105" t="s">
        <v>42</v>
      </c>
      <c r="AH36" s="105" t="s">
        <v>42</v>
      </c>
      <c r="AI36" s="105">
        <v>29199</v>
      </c>
      <c r="AJ36" s="105" t="s">
        <v>42</v>
      </c>
      <c r="AK36" s="105" t="s">
        <v>42</v>
      </c>
      <c r="AL36" s="105" t="s">
        <v>42</v>
      </c>
      <c r="AM36" s="105" t="s">
        <v>42</v>
      </c>
      <c r="AN36" s="105" t="s">
        <v>42</v>
      </c>
      <c r="AO36" s="105" t="s">
        <v>42</v>
      </c>
      <c r="AP36" s="105" t="s">
        <v>42</v>
      </c>
      <c r="AQ36" s="105" t="s">
        <v>42</v>
      </c>
      <c r="AR36" s="105" t="s">
        <v>42</v>
      </c>
      <c r="AS36" s="105" t="s">
        <v>42</v>
      </c>
      <c r="AT36" s="105" t="s">
        <v>42</v>
      </c>
      <c r="AU36" s="105" t="s">
        <v>42</v>
      </c>
      <c r="AV36" s="105" t="s">
        <v>42</v>
      </c>
      <c r="AW36" s="105" t="s">
        <v>42</v>
      </c>
      <c r="AX36" s="105">
        <v>48919</v>
      </c>
      <c r="AY36" s="105" t="s">
        <v>42</v>
      </c>
      <c r="AZ36" s="105" t="s">
        <v>42</v>
      </c>
      <c r="BA36" s="105" t="s">
        <v>42</v>
      </c>
      <c r="BB36" s="105" t="s">
        <v>42</v>
      </c>
    </row>
    <row r="37" spans="1:54" ht="40.049999999999997" customHeight="1" x14ac:dyDescent="0.35">
      <c r="A37" s="116"/>
      <c r="B37" s="117">
        <v>1</v>
      </c>
      <c r="C37" s="118">
        <v>1</v>
      </c>
      <c r="D37" s="116">
        <v>1</v>
      </c>
      <c r="E37" s="119">
        <v>1</v>
      </c>
      <c r="F37" s="120">
        <v>2038</v>
      </c>
      <c r="G37" s="120">
        <v>25</v>
      </c>
      <c r="H37" s="121">
        <v>0.01</v>
      </c>
      <c r="I37" s="121"/>
      <c r="J37" s="216">
        <v>4.1230000000000002</v>
      </c>
      <c r="K37" s="217">
        <v>1850</v>
      </c>
      <c r="L37" s="218">
        <v>1850</v>
      </c>
      <c r="M37" s="219" t="s">
        <v>43</v>
      </c>
      <c r="N37" s="219" t="s">
        <v>94</v>
      </c>
      <c r="O37" s="220">
        <v>2038</v>
      </c>
      <c r="P37" s="221" t="s">
        <v>51</v>
      </c>
      <c r="Q37" s="220" t="s">
        <v>95</v>
      </c>
      <c r="R37" s="222">
        <v>100</v>
      </c>
      <c r="S37" s="223">
        <v>1</v>
      </c>
      <c r="T37" s="218">
        <v>185000</v>
      </c>
      <c r="U37" s="218">
        <v>185000</v>
      </c>
      <c r="V37" s="217">
        <v>309940</v>
      </c>
      <c r="W37" s="224">
        <v>1.2158034680407539E-2</v>
      </c>
      <c r="X37" s="225" t="s">
        <v>42</v>
      </c>
      <c r="Y37" s="225" t="s">
        <v>42</v>
      </c>
      <c r="Z37" s="225" t="s">
        <v>42</v>
      </c>
      <c r="AA37" s="225" t="s">
        <v>42</v>
      </c>
      <c r="AB37" s="225" t="s">
        <v>42</v>
      </c>
      <c r="AC37" s="225" t="s">
        <v>42</v>
      </c>
      <c r="AD37" s="225" t="s">
        <v>42</v>
      </c>
      <c r="AE37" s="225" t="s">
        <v>42</v>
      </c>
      <c r="AF37" s="225" t="s">
        <v>42</v>
      </c>
      <c r="AG37" s="225" t="s">
        <v>42</v>
      </c>
      <c r="AH37" s="225" t="s">
        <v>42</v>
      </c>
      <c r="AI37" s="225" t="s">
        <v>42</v>
      </c>
      <c r="AJ37" s="225" t="s">
        <v>42</v>
      </c>
      <c r="AK37" s="225" t="s">
        <v>42</v>
      </c>
      <c r="AL37" s="225" t="s">
        <v>42</v>
      </c>
      <c r="AM37" s="225">
        <v>309940</v>
      </c>
      <c r="AN37" s="225" t="s">
        <v>42</v>
      </c>
      <c r="AO37" s="225" t="s">
        <v>42</v>
      </c>
      <c r="AP37" s="225" t="s">
        <v>42</v>
      </c>
      <c r="AQ37" s="225" t="s">
        <v>42</v>
      </c>
      <c r="AR37" s="225" t="s">
        <v>42</v>
      </c>
      <c r="AS37" s="225" t="s">
        <v>42</v>
      </c>
      <c r="AT37" s="225" t="s">
        <v>42</v>
      </c>
      <c r="AU37" s="225" t="s">
        <v>42</v>
      </c>
      <c r="AV37" s="225" t="s">
        <v>42</v>
      </c>
      <c r="AW37" s="225" t="s">
        <v>42</v>
      </c>
      <c r="AX37" s="225" t="s">
        <v>42</v>
      </c>
      <c r="AY37" s="225" t="s">
        <v>42</v>
      </c>
      <c r="AZ37" s="225" t="s">
        <v>42</v>
      </c>
      <c r="BA37" s="225" t="s">
        <v>42</v>
      </c>
      <c r="BB37" s="225" t="s">
        <v>42</v>
      </c>
    </row>
    <row r="38" spans="1:54" ht="40.049999999999997" customHeight="1" x14ac:dyDescent="0.35">
      <c r="A38" s="116"/>
      <c r="B38" s="117">
        <v>1</v>
      </c>
      <c r="C38" s="118">
        <v>1</v>
      </c>
      <c r="D38" s="116">
        <v>1</v>
      </c>
      <c r="E38" s="119">
        <v>1</v>
      </c>
      <c r="F38" s="120">
        <v>2043</v>
      </c>
      <c r="G38" s="120">
        <v>20</v>
      </c>
      <c r="H38" s="121">
        <v>0.01</v>
      </c>
      <c r="I38" s="121"/>
      <c r="J38" s="216">
        <v>4.26</v>
      </c>
      <c r="K38" s="217">
        <v>385</v>
      </c>
      <c r="L38" s="218">
        <v>385</v>
      </c>
      <c r="M38" s="219" t="s">
        <v>47</v>
      </c>
      <c r="N38" s="219" t="s">
        <v>96</v>
      </c>
      <c r="O38" s="220">
        <v>2043</v>
      </c>
      <c r="P38" s="221" t="s">
        <v>54</v>
      </c>
      <c r="Q38" s="220" t="s">
        <v>88</v>
      </c>
      <c r="R38" s="222">
        <v>56</v>
      </c>
      <c r="S38" s="223">
        <v>1</v>
      </c>
      <c r="T38" s="218">
        <v>21560</v>
      </c>
      <c r="U38" s="218">
        <v>21560</v>
      </c>
      <c r="V38" s="217">
        <v>42900</v>
      </c>
      <c r="W38" s="224">
        <v>1.6828408330305331E-3</v>
      </c>
      <c r="X38" s="225" t="s">
        <v>42</v>
      </c>
      <c r="Y38" s="225" t="s">
        <v>42</v>
      </c>
      <c r="Z38" s="225" t="s">
        <v>42</v>
      </c>
      <c r="AA38" s="225" t="s">
        <v>42</v>
      </c>
      <c r="AB38" s="225" t="s">
        <v>42</v>
      </c>
      <c r="AC38" s="225" t="s">
        <v>42</v>
      </c>
      <c r="AD38" s="225" t="s">
        <v>42</v>
      </c>
      <c r="AE38" s="225" t="s">
        <v>42</v>
      </c>
      <c r="AF38" s="225" t="s">
        <v>42</v>
      </c>
      <c r="AG38" s="225" t="s">
        <v>42</v>
      </c>
      <c r="AH38" s="225" t="s">
        <v>42</v>
      </c>
      <c r="AI38" s="225" t="s">
        <v>42</v>
      </c>
      <c r="AJ38" s="225" t="s">
        <v>42</v>
      </c>
      <c r="AK38" s="225" t="s">
        <v>42</v>
      </c>
      <c r="AL38" s="225" t="s">
        <v>42</v>
      </c>
      <c r="AM38" s="225" t="s">
        <v>42</v>
      </c>
      <c r="AN38" s="225" t="s">
        <v>42</v>
      </c>
      <c r="AO38" s="225" t="s">
        <v>42</v>
      </c>
      <c r="AP38" s="225" t="s">
        <v>42</v>
      </c>
      <c r="AQ38" s="225" t="s">
        <v>42</v>
      </c>
      <c r="AR38" s="225">
        <v>42900</v>
      </c>
      <c r="AS38" s="225" t="s">
        <v>42</v>
      </c>
      <c r="AT38" s="225" t="s">
        <v>42</v>
      </c>
      <c r="AU38" s="225" t="s">
        <v>42</v>
      </c>
      <c r="AV38" s="225" t="s">
        <v>42</v>
      </c>
      <c r="AW38" s="225" t="s">
        <v>42</v>
      </c>
      <c r="AX38" s="225" t="s">
        <v>42</v>
      </c>
      <c r="AY38" s="225" t="s">
        <v>42</v>
      </c>
      <c r="AZ38" s="225" t="s">
        <v>42</v>
      </c>
      <c r="BA38" s="225" t="s">
        <v>42</v>
      </c>
      <c r="BB38" s="225" t="s">
        <v>42</v>
      </c>
    </row>
    <row r="39" spans="1:54" ht="40.049999999999997" customHeight="1" x14ac:dyDescent="0.35">
      <c r="A39" s="116"/>
      <c r="B39" s="117">
        <v>1</v>
      </c>
      <c r="C39" s="118">
        <v>1</v>
      </c>
      <c r="D39" s="116">
        <v>4</v>
      </c>
      <c r="E39" s="119">
        <v>4</v>
      </c>
      <c r="F39" s="120">
        <v>2025</v>
      </c>
      <c r="G39" s="120">
        <v>6</v>
      </c>
      <c r="H39" s="121">
        <v>0.01</v>
      </c>
      <c r="I39" s="121"/>
      <c r="J39" s="216">
        <v>4.3</v>
      </c>
      <c r="K39" s="217">
        <v>4</v>
      </c>
      <c r="L39" s="218">
        <v>1</v>
      </c>
      <c r="M39" s="219" t="s">
        <v>38</v>
      </c>
      <c r="N39" s="219" t="s">
        <v>97</v>
      </c>
      <c r="O39" s="220">
        <v>2025</v>
      </c>
      <c r="P39" s="221" t="s">
        <v>98</v>
      </c>
      <c r="Q39" s="220" t="s">
        <v>99</v>
      </c>
      <c r="R39" s="222">
        <v>14000</v>
      </c>
      <c r="S39" s="223">
        <v>1</v>
      </c>
      <c r="T39" s="218">
        <v>14000</v>
      </c>
      <c r="U39" s="218">
        <v>56000</v>
      </c>
      <c r="V39" s="217">
        <v>498183</v>
      </c>
      <c r="W39" s="224">
        <v>1.954225395621562E-2</v>
      </c>
      <c r="X39" s="225" t="s">
        <v>42</v>
      </c>
      <c r="Y39" s="225" t="s">
        <v>42</v>
      </c>
      <c r="Z39" s="225">
        <v>14997</v>
      </c>
      <c r="AA39" s="225">
        <v>15522</v>
      </c>
      <c r="AB39" s="225">
        <v>16065</v>
      </c>
      <c r="AC39" s="225">
        <v>16628</v>
      </c>
      <c r="AD39" s="225" t="s">
        <v>42</v>
      </c>
      <c r="AE39" s="225" t="s">
        <v>42</v>
      </c>
      <c r="AF39" s="225">
        <v>18435</v>
      </c>
      <c r="AG39" s="225">
        <v>19081</v>
      </c>
      <c r="AH39" s="225">
        <v>19748</v>
      </c>
      <c r="AI39" s="225">
        <v>20440</v>
      </c>
      <c r="AJ39" s="225" t="s">
        <v>42</v>
      </c>
      <c r="AK39" s="225" t="s">
        <v>42</v>
      </c>
      <c r="AL39" s="225">
        <v>22662</v>
      </c>
      <c r="AM39" s="225">
        <v>23455</v>
      </c>
      <c r="AN39" s="225">
        <v>24276</v>
      </c>
      <c r="AO39" s="225">
        <v>25125</v>
      </c>
      <c r="AP39" s="225" t="s">
        <v>42</v>
      </c>
      <c r="AQ39" s="225" t="s">
        <v>42</v>
      </c>
      <c r="AR39" s="225">
        <v>27857</v>
      </c>
      <c r="AS39" s="225">
        <v>28832</v>
      </c>
      <c r="AT39" s="225">
        <v>29841</v>
      </c>
      <c r="AU39" s="225">
        <v>30886</v>
      </c>
      <c r="AV39" s="225" t="s">
        <v>42</v>
      </c>
      <c r="AW39" s="225" t="s">
        <v>42</v>
      </c>
      <c r="AX39" s="225">
        <v>34243</v>
      </c>
      <c r="AY39" s="225">
        <v>35442</v>
      </c>
      <c r="AZ39" s="225">
        <v>36682</v>
      </c>
      <c r="BA39" s="225">
        <v>37966</v>
      </c>
      <c r="BB39" s="225" t="s">
        <v>42</v>
      </c>
    </row>
    <row r="40" spans="1:54" ht="40.049999999999997" customHeight="1" x14ac:dyDescent="0.35">
      <c r="A40" s="116"/>
      <c r="B40" s="117">
        <v>1</v>
      </c>
      <c r="C40" s="118">
        <v>1</v>
      </c>
      <c r="D40" s="116">
        <v>1</v>
      </c>
      <c r="E40" s="119">
        <v>1</v>
      </c>
      <c r="F40" s="120">
        <v>2047</v>
      </c>
      <c r="G40" s="120">
        <v>40</v>
      </c>
      <c r="H40" s="121">
        <v>0.01</v>
      </c>
      <c r="I40" s="121"/>
      <c r="J40" s="122">
        <v>4.42</v>
      </c>
      <c r="K40" s="123">
        <v>1</v>
      </c>
      <c r="L40" s="124">
        <v>1</v>
      </c>
      <c r="M40" s="102" t="s">
        <v>72</v>
      </c>
      <c r="N40" s="102" t="s">
        <v>100</v>
      </c>
      <c r="O40" s="116">
        <v>2047</v>
      </c>
      <c r="P40" s="125" t="s">
        <v>101</v>
      </c>
      <c r="Q40" s="116" t="s">
        <v>102</v>
      </c>
      <c r="R40" s="126">
        <v>70000</v>
      </c>
      <c r="S40" s="127">
        <v>1</v>
      </c>
      <c r="T40" s="124">
        <v>70000</v>
      </c>
      <c r="U40" s="124">
        <v>70000</v>
      </c>
      <c r="V40" s="123">
        <v>159833</v>
      </c>
      <c r="W40" s="128">
        <v>6.2697785283396083E-3</v>
      </c>
      <c r="X40" s="105" t="s">
        <v>42</v>
      </c>
      <c r="Y40" s="105" t="s">
        <v>42</v>
      </c>
      <c r="Z40" s="105" t="s">
        <v>42</v>
      </c>
      <c r="AA40" s="105" t="s">
        <v>42</v>
      </c>
      <c r="AB40" s="105" t="s">
        <v>42</v>
      </c>
      <c r="AC40" s="105" t="s">
        <v>42</v>
      </c>
      <c r="AD40" s="105" t="s">
        <v>42</v>
      </c>
      <c r="AE40" s="105" t="s">
        <v>42</v>
      </c>
      <c r="AF40" s="105" t="s">
        <v>42</v>
      </c>
      <c r="AG40" s="105" t="s">
        <v>42</v>
      </c>
      <c r="AH40" s="105" t="s">
        <v>42</v>
      </c>
      <c r="AI40" s="105" t="s">
        <v>42</v>
      </c>
      <c r="AJ40" s="105" t="s">
        <v>42</v>
      </c>
      <c r="AK40" s="105" t="s">
        <v>42</v>
      </c>
      <c r="AL40" s="105" t="s">
        <v>42</v>
      </c>
      <c r="AM40" s="105" t="s">
        <v>42</v>
      </c>
      <c r="AN40" s="105" t="s">
        <v>42</v>
      </c>
      <c r="AO40" s="105" t="s">
        <v>42</v>
      </c>
      <c r="AP40" s="105" t="s">
        <v>42</v>
      </c>
      <c r="AQ40" s="105" t="s">
        <v>42</v>
      </c>
      <c r="AR40" s="105" t="s">
        <v>42</v>
      </c>
      <c r="AS40" s="105" t="s">
        <v>42</v>
      </c>
      <c r="AT40" s="105" t="s">
        <v>42</v>
      </c>
      <c r="AU40" s="105" t="s">
        <v>42</v>
      </c>
      <c r="AV40" s="105">
        <v>159833</v>
      </c>
      <c r="AW40" s="105" t="s">
        <v>42</v>
      </c>
      <c r="AX40" s="105" t="s">
        <v>42</v>
      </c>
      <c r="AY40" s="105" t="s">
        <v>42</v>
      </c>
      <c r="AZ40" s="105" t="s">
        <v>42</v>
      </c>
      <c r="BA40" s="105" t="s">
        <v>42</v>
      </c>
      <c r="BB40" s="105" t="s">
        <v>42</v>
      </c>
    </row>
    <row r="41" spans="1:54" ht="40.049999999999997" customHeight="1" x14ac:dyDescent="0.35">
      <c r="A41" s="116"/>
      <c r="B41" s="117">
        <v>1</v>
      </c>
      <c r="C41" s="118">
        <v>1</v>
      </c>
      <c r="D41" s="116">
        <v>1</v>
      </c>
      <c r="E41" s="119">
        <v>1</v>
      </c>
      <c r="F41" s="120">
        <v>2028</v>
      </c>
      <c r="G41" s="120">
        <v>15</v>
      </c>
      <c r="H41" s="121">
        <v>0.01</v>
      </c>
      <c r="I41" s="121"/>
      <c r="J41" s="122">
        <v>4.5599999999999996</v>
      </c>
      <c r="K41" s="123">
        <v>1</v>
      </c>
      <c r="L41" s="124">
        <v>1</v>
      </c>
      <c r="M41" s="102" t="s">
        <v>72</v>
      </c>
      <c r="N41" s="102" t="s">
        <v>210</v>
      </c>
      <c r="O41" s="116">
        <v>2028</v>
      </c>
      <c r="P41" s="125" t="s">
        <v>103</v>
      </c>
      <c r="Q41" s="116" t="s">
        <v>46</v>
      </c>
      <c r="R41" s="126">
        <v>92000</v>
      </c>
      <c r="S41" s="127">
        <v>1</v>
      </c>
      <c r="T41" s="124">
        <v>92000</v>
      </c>
      <c r="U41" s="124">
        <v>92000</v>
      </c>
      <c r="V41" s="123">
        <v>292328</v>
      </c>
      <c r="W41" s="128">
        <v>1.1467167716506986E-2</v>
      </c>
      <c r="X41" s="105" t="s">
        <v>42</v>
      </c>
      <c r="Y41" s="105" t="s">
        <v>42</v>
      </c>
      <c r="Z41" s="105" t="s">
        <v>42</v>
      </c>
      <c r="AA41" s="105" t="s">
        <v>42</v>
      </c>
      <c r="AB41" s="105" t="s">
        <v>42</v>
      </c>
      <c r="AC41" s="105">
        <v>109267</v>
      </c>
      <c r="AD41" s="105" t="s">
        <v>42</v>
      </c>
      <c r="AE41" s="105" t="s">
        <v>42</v>
      </c>
      <c r="AF41" s="105" t="s">
        <v>42</v>
      </c>
      <c r="AG41" s="105" t="s">
        <v>42</v>
      </c>
      <c r="AH41" s="105" t="s">
        <v>42</v>
      </c>
      <c r="AI41" s="105" t="s">
        <v>42</v>
      </c>
      <c r="AJ41" s="105" t="s">
        <v>42</v>
      </c>
      <c r="AK41" s="105" t="s">
        <v>42</v>
      </c>
      <c r="AL41" s="105" t="s">
        <v>42</v>
      </c>
      <c r="AM41" s="105" t="s">
        <v>42</v>
      </c>
      <c r="AN41" s="105" t="s">
        <v>42</v>
      </c>
      <c r="AO41" s="105" t="s">
        <v>42</v>
      </c>
      <c r="AP41" s="105" t="s">
        <v>42</v>
      </c>
      <c r="AQ41" s="105" t="s">
        <v>42</v>
      </c>
      <c r="AR41" s="105">
        <v>183061</v>
      </c>
      <c r="AS41" s="105" t="s">
        <v>42</v>
      </c>
      <c r="AT41" s="105" t="s">
        <v>42</v>
      </c>
      <c r="AU41" s="105" t="s">
        <v>42</v>
      </c>
      <c r="AV41" s="105" t="s">
        <v>42</v>
      </c>
      <c r="AW41" s="105" t="s">
        <v>42</v>
      </c>
      <c r="AX41" s="105" t="s">
        <v>42</v>
      </c>
      <c r="AY41" s="105" t="s">
        <v>42</v>
      </c>
      <c r="AZ41" s="105" t="s">
        <v>42</v>
      </c>
      <c r="BA41" s="105" t="s">
        <v>42</v>
      </c>
      <c r="BB41" s="105" t="s">
        <v>42</v>
      </c>
    </row>
    <row r="42" spans="1:54" ht="40.049999999999997" customHeight="1" x14ac:dyDescent="0.35">
      <c r="A42" s="116"/>
      <c r="B42" s="117">
        <v>1</v>
      </c>
      <c r="C42" s="118">
        <v>2</v>
      </c>
      <c r="D42" s="116">
        <v>7</v>
      </c>
      <c r="E42" s="119">
        <v>4</v>
      </c>
      <c r="F42" s="120">
        <v>2037</v>
      </c>
      <c r="G42" s="120">
        <v>25</v>
      </c>
      <c r="H42" s="121">
        <v>0.01</v>
      </c>
      <c r="I42" s="121"/>
      <c r="J42" s="122">
        <v>4.62</v>
      </c>
      <c r="K42" s="123">
        <v>27000</v>
      </c>
      <c r="L42" s="124">
        <v>6750</v>
      </c>
      <c r="M42" s="102" t="s">
        <v>43</v>
      </c>
      <c r="N42" s="102" t="s">
        <v>104</v>
      </c>
      <c r="O42" s="116">
        <v>2037</v>
      </c>
      <c r="P42" s="125" t="s">
        <v>51</v>
      </c>
      <c r="Q42" s="116" t="s">
        <v>105</v>
      </c>
      <c r="R42" s="126">
        <v>9</v>
      </c>
      <c r="S42" s="127">
        <v>1</v>
      </c>
      <c r="T42" s="124">
        <v>60750</v>
      </c>
      <c r="U42" s="124">
        <v>243000</v>
      </c>
      <c r="V42" s="123">
        <v>437398</v>
      </c>
      <c r="W42" s="128">
        <v>1.7157837172165246E-2</v>
      </c>
      <c r="X42" s="105" t="s">
        <v>42</v>
      </c>
      <c r="Y42" s="105" t="s">
        <v>42</v>
      </c>
      <c r="Z42" s="105" t="s">
        <v>42</v>
      </c>
      <c r="AA42" s="105" t="s">
        <v>42</v>
      </c>
      <c r="AB42" s="105" t="s">
        <v>42</v>
      </c>
      <c r="AC42" s="105" t="s">
        <v>42</v>
      </c>
      <c r="AD42" s="105" t="s">
        <v>42</v>
      </c>
      <c r="AE42" s="105" t="s">
        <v>42</v>
      </c>
      <c r="AF42" s="105" t="s">
        <v>42</v>
      </c>
      <c r="AG42" s="105" t="s">
        <v>42</v>
      </c>
      <c r="AH42" s="105" t="s">
        <v>42</v>
      </c>
      <c r="AI42" s="105" t="s">
        <v>42</v>
      </c>
      <c r="AJ42" s="105" t="s">
        <v>42</v>
      </c>
      <c r="AK42" s="105" t="s">
        <v>42</v>
      </c>
      <c r="AL42" s="105">
        <v>98336</v>
      </c>
      <c r="AM42" s="105" t="s">
        <v>42</v>
      </c>
      <c r="AN42" s="105">
        <v>105340</v>
      </c>
      <c r="AO42" s="105" t="s">
        <v>42</v>
      </c>
      <c r="AP42" s="105">
        <v>112842</v>
      </c>
      <c r="AQ42" s="105" t="s">
        <v>42</v>
      </c>
      <c r="AR42" s="105">
        <v>120880</v>
      </c>
      <c r="AS42" s="105" t="s">
        <v>42</v>
      </c>
      <c r="AT42" s="105" t="s">
        <v>42</v>
      </c>
      <c r="AU42" s="105" t="s">
        <v>42</v>
      </c>
      <c r="AV42" s="105" t="s">
        <v>42</v>
      </c>
      <c r="AW42" s="105" t="s">
        <v>42</v>
      </c>
      <c r="AX42" s="105" t="s">
        <v>42</v>
      </c>
      <c r="AY42" s="105" t="s">
        <v>42</v>
      </c>
      <c r="AZ42" s="105" t="s">
        <v>42</v>
      </c>
      <c r="BA42" s="105" t="s">
        <v>42</v>
      </c>
      <c r="BB42" s="105" t="s">
        <v>42</v>
      </c>
    </row>
    <row r="43" spans="1:54" ht="40.049999999999997" customHeight="1" x14ac:dyDescent="0.35">
      <c r="A43" s="116"/>
      <c r="B43" s="117">
        <v>1</v>
      </c>
      <c r="C43" s="118">
        <v>1</v>
      </c>
      <c r="D43" s="116">
        <v>1</v>
      </c>
      <c r="E43" s="119">
        <v>1</v>
      </c>
      <c r="F43" s="120">
        <v>2046</v>
      </c>
      <c r="G43" s="120">
        <v>25</v>
      </c>
      <c r="H43" s="121">
        <v>0.01</v>
      </c>
      <c r="I43" s="121"/>
      <c r="J43" s="216">
        <v>4.6210000000000004</v>
      </c>
      <c r="K43" s="217">
        <v>1300</v>
      </c>
      <c r="L43" s="218">
        <v>1300</v>
      </c>
      <c r="M43" s="219" t="s">
        <v>43</v>
      </c>
      <c r="N43" s="219" t="s">
        <v>106</v>
      </c>
      <c r="O43" s="220">
        <v>2046</v>
      </c>
      <c r="P43" s="221" t="s">
        <v>51</v>
      </c>
      <c r="Q43" s="220" t="s">
        <v>107</v>
      </c>
      <c r="R43" s="222">
        <v>9</v>
      </c>
      <c r="S43" s="223">
        <v>1</v>
      </c>
      <c r="T43" s="218">
        <v>11700</v>
      </c>
      <c r="U43" s="218">
        <v>11700</v>
      </c>
      <c r="V43" s="217">
        <v>25812</v>
      </c>
      <c r="W43" s="224">
        <v>1.0125288480695598E-3</v>
      </c>
      <c r="X43" s="225" t="s">
        <v>42</v>
      </c>
      <c r="Y43" s="225" t="s">
        <v>42</v>
      </c>
      <c r="Z43" s="225" t="s">
        <v>42</v>
      </c>
      <c r="AA43" s="225" t="s">
        <v>42</v>
      </c>
      <c r="AB43" s="225" t="s">
        <v>42</v>
      </c>
      <c r="AC43" s="225" t="s">
        <v>42</v>
      </c>
      <c r="AD43" s="225" t="s">
        <v>42</v>
      </c>
      <c r="AE43" s="225" t="s">
        <v>42</v>
      </c>
      <c r="AF43" s="225" t="s">
        <v>42</v>
      </c>
      <c r="AG43" s="225" t="s">
        <v>42</v>
      </c>
      <c r="AH43" s="225" t="s">
        <v>42</v>
      </c>
      <c r="AI43" s="225" t="s">
        <v>42</v>
      </c>
      <c r="AJ43" s="225" t="s">
        <v>42</v>
      </c>
      <c r="AK43" s="225" t="s">
        <v>42</v>
      </c>
      <c r="AL43" s="225" t="s">
        <v>42</v>
      </c>
      <c r="AM43" s="225" t="s">
        <v>42</v>
      </c>
      <c r="AN43" s="225" t="s">
        <v>42</v>
      </c>
      <c r="AO43" s="225" t="s">
        <v>42</v>
      </c>
      <c r="AP43" s="225" t="s">
        <v>42</v>
      </c>
      <c r="AQ43" s="225" t="s">
        <v>42</v>
      </c>
      <c r="AR43" s="225" t="s">
        <v>42</v>
      </c>
      <c r="AS43" s="225" t="s">
        <v>42</v>
      </c>
      <c r="AT43" s="225" t="s">
        <v>42</v>
      </c>
      <c r="AU43" s="225">
        <v>25812</v>
      </c>
      <c r="AV43" s="225" t="s">
        <v>42</v>
      </c>
      <c r="AW43" s="225" t="s">
        <v>42</v>
      </c>
      <c r="AX43" s="225" t="s">
        <v>42</v>
      </c>
      <c r="AY43" s="225" t="s">
        <v>42</v>
      </c>
      <c r="AZ43" s="225" t="s">
        <v>42</v>
      </c>
      <c r="BA43" s="225" t="s">
        <v>42</v>
      </c>
      <c r="BB43" s="225" t="s">
        <v>42</v>
      </c>
    </row>
    <row r="44" spans="1:54" ht="40.049999999999997" customHeight="1" x14ac:dyDescent="0.35">
      <c r="A44" s="116"/>
      <c r="B44" s="117">
        <v>1</v>
      </c>
      <c r="C44" s="118">
        <v>1</v>
      </c>
      <c r="D44" s="116">
        <v>1</v>
      </c>
      <c r="E44" s="119">
        <v>1</v>
      </c>
      <c r="F44" s="120">
        <v>2041</v>
      </c>
      <c r="G44" s="120">
        <v>25</v>
      </c>
      <c r="H44" s="121">
        <v>0.01</v>
      </c>
      <c r="I44" s="121"/>
      <c r="J44" s="216">
        <v>4.6219999999999999</v>
      </c>
      <c r="K44" s="217">
        <v>1800</v>
      </c>
      <c r="L44" s="218">
        <v>1800</v>
      </c>
      <c r="M44" s="219" t="s">
        <v>43</v>
      </c>
      <c r="N44" s="219" t="s">
        <v>108</v>
      </c>
      <c r="O44" s="220">
        <v>2041</v>
      </c>
      <c r="P44" s="221" t="s">
        <v>51</v>
      </c>
      <c r="Q44" s="220" t="s">
        <v>41</v>
      </c>
      <c r="R44" s="222">
        <v>9</v>
      </c>
      <c r="S44" s="223">
        <v>1</v>
      </c>
      <c r="T44" s="218">
        <v>16200</v>
      </c>
      <c r="U44" s="218">
        <v>16200</v>
      </c>
      <c r="V44" s="217">
        <v>30091</v>
      </c>
      <c r="W44" s="224">
        <v>1.1803814337231183E-3</v>
      </c>
      <c r="X44" s="225" t="s">
        <v>42</v>
      </c>
      <c r="Y44" s="225" t="s">
        <v>42</v>
      </c>
      <c r="Z44" s="225" t="s">
        <v>42</v>
      </c>
      <c r="AA44" s="225" t="s">
        <v>42</v>
      </c>
      <c r="AB44" s="225" t="s">
        <v>42</v>
      </c>
      <c r="AC44" s="225" t="s">
        <v>42</v>
      </c>
      <c r="AD44" s="225" t="s">
        <v>42</v>
      </c>
      <c r="AE44" s="225" t="s">
        <v>42</v>
      </c>
      <c r="AF44" s="225" t="s">
        <v>42</v>
      </c>
      <c r="AG44" s="225" t="s">
        <v>42</v>
      </c>
      <c r="AH44" s="225" t="s">
        <v>42</v>
      </c>
      <c r="AI44" s="225" t="s">
        <v>42</v>
      </c>
      <c r="AJ44" s="225" t="s">
        <v>42</v>
      </c>
      <c r="AK44" s="225" t="s">
        <v>42</v>
      </c>
      <c r="AL44" s="225" t="s">
        <v>42</v>
      </c>
      <c r="AM44" s="225" t="s">
        <v>42</v>
      </c>
      <c r="AN44" s="225" t="s">
        <v>42</v>
      </c>
      <c r="AO44" s="225" t="s">
        <v>42</v>
      </c>
      <c r="AP44" s="225">
        <v>30091</v>
      </c>
      <c r="AQ44" s="225" t="s">
        <v>42</v>
      </c>
      <c r="AR44" s="225" t="s">
        <v>42</v>
      </c>
      <c r="AS44" s="225" t="s">
        <v>42</v>
      </c>
      <c r="AT44" s="225" t="s">
        <v>42</v>
      </c>
      <c r="AU44" s="225" t="s">
        <v>42</v>
      </c>
      <c r="AV44" s="225" t="s">
        <v>42</v>
      </c>
      <c r="AW44" s="225" t="s">
        <v>42</v>
      </c>
      <c r="AX44" s="225" t="s">
        <v>42</v>
      </c>
      <c r="AY44" s="225" t="s">
        <v>42</v>
      </c>
      <c r="AZ44" s="225" t="s">
        <v>42</v>
      </c>
      <c r="BA44" s="225" t="s">
        <v>42</v>
      </c>
      <c r="BB44" s="225" t="s">
        <v>42</v>
      </c>
    </row>
    <row r="45" spans="1:54" ht="40.049999999999997" customHeight="1" x14ac:dyDescent="0.35">
      <c r="A45" s="116"/>
      <c r="B45" s="117">
        <v>1</v>
      </c>
      <c r="C45" s="118">
        <v>1</v>
      </c>
      <c r="D45" s="116">
        <v>1</v>
      </c>
      <c r="E45" s="119">
        <v>1</v>
      </c>
      <c r="F45" s="120">
        <v>2037</v>
      </c>
      <c r="G45" s="120">
        <v>20</v>
      </c>
      <c r="H45" s="121">
        <v>0.01</v>
      </c>
      <c r="I45" s="121"/>
      <c r="J45" s="216">
        <v>4.6230000000000002</v>
      </c>
      <c r="K45" s="217">
        <v>3850</v>
      </c>
      <c r="L45" s="218">
        <v>3850</v>
      </c>
      <c r="M45" s="219" t="s">
        <v>43</v>
      </c>
      <c r="N45" s="219" t="s">
        <v>109</v>
      </c>
      <c r="O45" s="220">
        <v>2037</v>
      </c>
      <c r="P45" s="221" t="s">
        <v>54</v>
      </c>
      <c r="Q45" s="220" t="s">
        <v>110</v>
      </c>
      <c r="R45" s="222">
        <v>9</v>
      </c>
      <c r="S45" s="223">
        <v>1</v>
      </c>
      <c r="T45" s="218">
        <v>34650</v>
      </c>
      <c r="U45" s="218">
        <v>34650</v>
      </c>
      <c r="V45" s="217">
        <v>56088</v>
      </c>
      <c r="W45" s="224">
        <v>2.2001672877160032E-3</v>
      </c>
      <c r="X45" s="225" t="s">
        <v>42</v>
      </c>
      <c r="Y45" s="225" t="s">
        <v>42</v>
      </c>
      <c r="Z45" s="225" t="s">
        <v>42</v>
      </c>
      <c r="AA45" s="225" t="s">
        <v>42</v>
      </c>
      <c r="AB45" s="225" t="s">
        <v>42</v>
      </c>
      <c r="AC45" s="225" t="s">
        <v>42</v>
      </c>
      <c r="AD45" s="225" t="s">
        <v>42</v>
      </c>
      <c r="AE45" s="225" t="s">
        <v>42</v>
      </c>
      <c r="AF45" s="225" t="s">
        <v>42</v>
      </c>
      <c r="AG45" s="225" t="s">
        <v>42</v>
      </c>
      <c r="AH45" s="225" t="s">
        <v>42</v>
      </c>
      <c r="AI45" s="225" t="s">
        <v>42</v>
      </c>
      <c r="AJ45" s="225" t="s">
        <v>42</v>
      </c>
      <c r="AK45" s="225" t="s">
        <v>42</v>
      </c>
      <c r="AL45" s="225">
        <v>56088</v>
      </c>
      <c r="AM45" s="225" t="s">
        <v>42</v>
      </c>
      <c r="AN45" s="225" t="s">
        <v>42</v>
      </c>
      <c r="AO45" s="225" t="s">
        <v>42</v>
      </c>
      <c r="AP45" s="225" t="s">
        <v>42</v>
      </c>
      <c r="AQ45" s="225" t="s">
        <v>42</v>
      </c>
      <c r="AR45" s="225" t="s">
        <v>42</v>
      </c>
      <c r="AS45" s="225" t="s">
        <v>42</v>
      </c>
      <c r="AT45" s="225" t="s">
        <v>42</v>
      </c>
      <c r="AU45" s="225" t="s">
        <v>42</v>
      </c>
      <c r="AV45" s="225" t="s">
        <v>42</v>
      </c>
      <c r="AW45" s="225" t="s">
        <v>42</v>
      </c>
      <c r="AX45" s="225" t="s">
        <v>42</v>
      </c>
      <c r="AY45" s="225" t="s">
        <v>42</v>
      </c>
      <c r="AZ45" s="225" t="s">
        <v>42</v>
      </c>
      <c r="BA45" s="225" t="s">
        <v>42</v>
      </c>
      <c r="BB45" s="225" t="s">
        <v>42</v>
      </c>
    </row>
    <row r="46" spans="1:54" ht="40.049999999999997" customHeight="1" x14ac:dyDescent="0.35">
      <c r="A46" s="116"/>
      <c r="B46" s="117">
        <v>1</v>
      </c>
      <c r="C46" s="118">
        <v>1</v>
      </c>
      <c r="D46" s="116">
        <v>1</v>
      </c>
      <c r="E46" s="119">
        <v>1</v>
      </c>
      <c r="F46" s="120">
        <v>2029</v>
      </c>
      <c r="G46" s="120">
        <v>4</v>
      </c>
      <c r="H46" s="121">
        <v>0.01</v>
      </c>
      <c r="I46" s="121"/>
      <c r="J46" s="122">
        <v>4.6500000000000004</v>
      </c>
      <c r="K46" s="123">
        <v>1</v>
      </c>
      <c r="L46" s="124">
        <v>1</v>
      </c>
      <c r="M46" s="102" t="s">
        <v>72</v>
      </c>
      <c r="N46" s="102" t="s">
        <v>111</v>
      </c>
      <c r="O46" s="116">
        <v>2029</v>
      </c>
      <c r="P46" s="125" t="s">
        <v>112</v>
      </c>
      <c r="Q46" s="116" t="s">
        <v>70</v>
      </c>
      <c r="R46" s="126">
        <v>17000</v>
      </c>
      <c r="S46" s="127">
        <v>1</v>
      </c>
      <c r="T46" s="124">
        <v>17000</v>
      </c>
      <c r="U46" s="124">
        <v>17000</v>
      </c>
      <c r="V46" s="123">
        <v>229504</v>
      </c>
      <c r="W46" s="128">
        <v>9.0027669590638567E-3</v>
      </c>
      <c r="X46" s="105" t="s">
        <v>42</v>
      </c>
      <c r="Y46" s="105" t="s">
        <v>42</v>
      </c>
      <c r="Z46" s="105" t="s">
        <v>42</v>
      </c>
      <c r="AA46" s="105" t="s">
        <v>42</v>
      </c>
      <c r="AB46" s="105" t="s">
        <v>42</v>
      </c>
      <c r="AC46" s="105" t="s">
        <v>42</v>
      </c>
      <c r="AD46" s="105">
        <v>20897</v>
      </c>
      <c r="AE46" s="105" t="s">
        <v>42</v>
      </c>
      <c r="AF46" s="105" t="s">
        <v>42</v>
      </c>
      <c r="AG46" s="105" t="s">
        <v>42</v>
      </c>
      <c r="AH46" s="105">
        <v>23980</v>
      </c>
      <c r="AI46" s="105" t="s">
        <v>42</v>
      </c>
      <c r="AJ46" s="105" t="s">
        <v>42</v>
      </c>
      <c r="AK46" s="105" t="s">
        <v>42</v>
      </c>
      <c r="AL46" s="105">
        <v>27518</v>
      </c>
      <c r="AM46" s="105" t="s">
        <v>42</v>
      </c>
      <c r="AN46" s="105" t="s">
        <v>42</v>
      </c>
      <c r="AO46" s="105" t="s">
        <v>42</v>
      </c>
      <c r="AP46" s="105">
        <v>31577</v>
      </c>
      <c r="AQ46" s="105" t="s">
        <v>42</v>
      </c>
      <c r="AR46" s="105" t="s">
        <v>42</v>
      </c>
      <c r="AS46" s="105" t="s">
        <v>42</v>
      </c>
      <c r="AT46" s="105">
        <v>36236</v>
      </c>
      <c r="AU46" s="105" t="s">
        <v>42</v>
      </c>
      <c r="AV46" s="105" t="s">
        <v>42</v>
      </c>
      <c r="AW46" s="105" t="s">
        <v>42</v>
      </c>
      <c r="AX46" s="105">
        <v>41581</v>
      </c>
      <c r="AY46" s="105" t="s">
        <v>42</v>
      </c>
      <c r="AZ46" s="105" t="s">
        <v>42</v>
      </c>
      <c r="BA46" s="105" t="s">
        <v>42</v>
      </c>
      <c r="BB46" s="105">
        <v>47715</v>
      </c>
    </row>
    <row r="47" spans="1:54" ht="40.049999999999997" customHeight="1" x14ac:dyDescent="0.35">
      <c r="A47" s="116"/>
      <c r="B47" s="117">
        <v>1</v>
      </c>
      <c r="C47" s="118">
        <v>1</v>
      </c>
      <c r="D47" s="116">
        <v>1</v>
      </c>
      <c r="E47" s="119">
        <v>1</v>
      </c>
      <c r="F47" s="120">
        <v>2038</v>
      </c>
      <c r="G47" s="120">
        <v>25</v>
      </c>
      <c r="H47" s="121">
        <v>0.01</v>
      </c>
      <c r="I47" s="121"/>
      <c r="J47" s="122">
        <v>4.8</v>
      </c>
      <c r="K47" s="123">
        <v>9</v>
      </c>
      <c r="L47" s="124">
        <v>9</v>
      </c>
      <c r="M47" s="102" t="s">
        <v>38</v>
      </c>
      <c r="N47" s="102" t="s">
        <v>113</v>
      </c>
      <c r="O47" s="116">
        <v>2038</v>
      </c>
      <c r="P47" s="125" t="s">
        <v>51</v>
      </c>
      <c r="Q47" s="116" t="s">
        <v>95</v>
      </c>
      <c r="R47" s="126">
        <v>2500</v>
      </c>
      <c r="S47" s="127">
        <v>1</v>
      </c>
      <c r="T47" s="124">
        <v>22500</v>
      </c>
      <c r="U47" s="124">
        <v>22500</v>
      </c>
      <c r="V47" s="123">
        <v>37695</v>
      </c>
      <c r="W47" s="128">
        <v>1.478663990701304E-3</v>
      </c>
      <c r="X47" s="105" t="s">
        <v>42</v>
      </c>
      <c r="Y47" s="105" t="s">
        <v>42</v>
      </c>
      <c r="Z47" s="105" t="s">
        <v>42</v>
      </c>
      <c r="AA47" s="105" t="s">
        <v>42</v>
      </c>
      <c r="AB47" s="105" t="s">
        <v>42</v>
      </c>
      <c r="AC47" s="105" t="s">
        <v>42</v>
      </c>
      <c r="AD47" s="105" t="s">
        <v>42</v>
      </c>
      <c r="AE47" s="105" t="s">
        <v>42</v>
      </c>
      <c r="AF47" s="105" t="s">
        <v>42</v>
      </c>
      <c r="AG47" s="105" t="s">
        <v>42</v>
      </c>
      <c r="AH47" s="105" t="s">
        <v>42</v>
      </c>
      <c r="AI47" s="105" t="s">
        <v>42</v>
      </c>
      <c r="AJ47" s="105" t="s">
        <v>42</v>
      </c>
      <c r="AK47" s="105" t="s">
        <v>42</v>
      </c>
      <c r="AL47" s="105" t="s">
        <v>42</v>
      </c>
      <c r="AM47" s="105">
        <v>37695</v>
      </c>
      <c r="AN47" s="105" t="s">
        <v>42</v>
      </c>
      <c r="AO47" s="105" t="s">
        <v>42</v>
      </c>
      <c r="AP47" s="105" t="s">
        <v>42</v>
      </c>
      <c r="AQ47" s="105" t="s">
        <v>42</v>
      </c>
      <c r="AR47" s="105" t="s">
        <v>42</v>
      </c>
      <c r="AS47" s="105" t="s">
        <v>42</v>
      </c>
      <c r="AT47" s="105" t="s">
        <v>42</v>
      </c>
      <c r="AU47" s="105" t="s">
        <v>42</v>
      </c>
      <c r="AV47" s="105" t="s">
        <v>42</v>
      </c>
      <c r="AW47" s="105" t="s">
        <v>42</v>
      </c>
      <c r="AX47" s="105" t="s">
        <v>42</v>
      </c>
      <c r="AY47" s="105" t="s">
        <v>42</v>
      </c>
      <c r="AZ47" s="105" t="s">
        <v>42</v>
      </c>
      <c r="BA47" s="105" t="s">
        <v>42</v>
      </c>
      <c r="BB47" s="105" t="s">
        <v>42</v>
      </c>
    </row>
    <row r="48" spans="1:54" ht="40.049999999999997" customHeight="1" x14ac:dyDescent="0.35">
      <c r="A48" s="116"/>
      <c r="B48" s="117"/>
      <c r="C48" s="118"/>
      <c r="D48" s="116"/>
      <c r="E48" s="119"/>
      <c r="F48" s="120"/>
      <c r="G48" s="120"/>
      <c r="H48" s="121"/>
      <c r="I48" s="121"/>
      <c r="J48" s="122"/>
      <c r="K48" s="123"/>
      <c r="L48" s="102"/>
      <c r="M48" s="102"/>
      <c r="N48" s="102"/>
      <c r="O48" s="116"/>
      <c r="P48" s="125"/>
      <c r="Q48" s="116"/>
      <c r="R48" s="126"/>
      <c r="S48" s="127"/>
      <c r="T48" s="102"/>
      <c r="U48" s="102"/>
      <c r="V48" s="123"/>
      <c r="W48" s="128"/>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row>
    <row r="49" spans="1:54" ht="40.049999999999997" customHeight="1" x14ac:dyDescent="0.35">
      <c r="A49" s="116"/>
      <c r="B49" s="117"/>
      <c r="C49" s="118"/>
      <c r="D49" s="116"/>
      <c r="E49" s="119"/>
      <c r="F49" s="120"/>
      <c r="G49" s="120"/>
      <c r="H49" s="121"/>
      <c r="I49" s="121"/>
      <c r="J49" s="216"/>
      <c r="K49" s="217"/>
      <c r="L49" s="219"/>
      <c r="M49" s="219"/>
      <c r="N49" s="226" t="s">
        <v>114</v>
      </c>
      <c r="O49" s="220"/>
      <c r="P49" s="221"/>
      <c r="Q49" s="220"/>
      <c r="R49" s="222"/>
      <c r="S49" s="223"/>
      <c r="T49" s="219"/>
      <c r="U49" s="219"/>
      <c r="V49" s="217"/>
      <c r="W49" s="224"/>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row>
    <row r="50" spans="1:54" ht="40.049999999999997" customHeight="1" x14ac:dyDescent="0.35">
      <c r="A50" s="116"/>
      <c r="B50" s="117">
        <v>1</v>
      </c>
      <c r="C50" s="118">
        <v>1</v>
      </c>
      <c r="D50" s="116">
        <v>1</v>
      </c>
      <c r="E50" s="119">
        <v>1</v>
      </c>
      <c r="F50" s="120">
        <v>2031</v>
      </c>
      <c r="G50" s="120">
        <v>12</v>
      </c>
      <c r="H50" s="121">
        <v>0.01</v>
      </c>
      <c r="I50" s="121"/>
      <c r="J50" s="216">
        <v>5.0999999999999996</v>
      </c>
      <c r="K50" s="217">
        <v>2</v>
      </c>
      <c r="L50" s="218">
        <v>2</v>
      </c>
      <c r="M50" s="219" t="s">
        <v>38</v>
      </c>
      <c r="N50" s="219" t="s">
        <v>115</v>
      </c>
      <c r="O50" s="220">
        <v>2031</v>
      </c>
      <c r="P50" s="221" t="s">
        <v>60</v>
      </c>
      <c r="Q50" s="220" t="s">
        <v>116</v>
      </c>
      <c r="R50" s="222">
        <v>10900</v>
      </c>
      <c r="S50" s="223">
        <v>1</v>
      </c>
      <c r="T50" s="218">
        <v>21800</v>
      </c>
      <c r="U50" s="218">
        <v>21800</v>
      </c>
      <c r="V50" s="217">
        <v>72083</v>
      </c>
      <c r="W50" s="224">
        <v>2.8276040971407907E-3</v>
      </c>
      <c r="X50" s="225" t="s">
        <v>42</v>
      </c>
      <c r="Y50" s="225" t="s">
        <v>42</v>
      </c>
      <c r="Z50" s="225" t="s">
        <v>42</v>
      </c>
      <c r="AA50" s="225" t="s">
        <v>42</v>
      </c>
      <c r="AB50" s="225" t="s">
        <v>42</v>
      </c>
      <c r="AC50" s="225" t="s">
        <v>42</v>
      </c>
      <c r="AD50" s="225" t="s">
        <v>42</v>
      </c>
      <c r="AE50" s="225" t="s">
        <v>42</v>
      </c>
      <c r="AF50" s="225">
        <v>28706</v>
      </c>
      <c r="AG50" s="225" t="s">
        <v>42</v>
      </c>
      <c r="AH50" s="225" t="s">
        <v>42</v>
      </c>
      <c r="AI50" s="225" t="s">
        <v>42</v>
      </c>
      <c r="AJ50" s="225" t="s">
        <v>42</v>
      </c>
      <c r="AK50" s="225" t="s">
        <v>42</v>
      </c>
      <c r="AL50" s="225" t="s">
        <v>42</v>
      </c>
      <c r="AM50" s="225" t="s">
        <v>42</v>
      </c>
      <c r="AN50" s="225" t="s">
        <v>42</v>
      </c>
      <c r="AO50" s="225" t="s">
        <v>42</v>
      </c>
      <c r="AP50" s="225" t="s">
        <v>42</v>
      </c>
      <c r="AQ50" s="225" t="s">
        <v>42</v>
      </c>
      <c r="AR50" s="225">
        <v>43377</v>
      </c>
      <c r="AS50" s="225" t="s">
        <v>42</v>
      </c>
      <c r="AT50" s="225" t="s">
        <v>42</v>
      </c>
      <c r="AU50" s="225" t="s">
        <v>42</v>
      </c>
      <c r="AV50" s="225" t="s">
        <v>42</v>
      </c>
      <c r="AW50" s="225" t="s">
        <v>42</v>
      </c>
      <c r="AX50" s="225" t="s">
        <v>42</v>
      </c>
      <c r="AY50" s="225" t="s">
        <v>42</v>
      </c>
      <c r="AZ50" s="225" t="s">
        <v>42</v>
      </c>
      <c r="BA50" s="225" t="s">
        <v>42</v>
      </c>
      <c r="BB50" s="225" t="s">
        <v>42</v>
      </c>
    </row>
    <row r="51" spans="1:54" ht="40.049999999999997" customHeight="1" x14ac:dyDescent="0.35">
      <c r="A51" s="116"/>
      <c r="B51" s="117">
        <v>1</v>
      </c>
      <c r="C51" s="118">
        <v>5</v>
      </c>
      <c r="D51" s="116">
        <v>6</v>
      </c>
      <c r="E51" s="119">
        <v>2</v>
      </c>
      <c r="F51" s="120">
        <v>2026</v>
      </c>
      <c r="G51" s="120">
        <v>10</v>
      </c>
      <c r="H51" s="121">
        <v>0.01</v>
      </c>
      <c r="I51" s="121"/>
      <c r="J51" s="216">
        <v>5.2009999999999996</v>
      </c>
      <c r="K51" s="217">
        <v>2</v>
      </c>
      <c r="L51" s="218">
        <v>1</v>
      </c>
      <c r="M51" s="219" t="s">
        <v>72</v>
      </c>
      <c r="N51" s="219" t="s">
        <v>117</v>
      </c>
      <c r="O51" s="220">
        <v>2026</v>
      </c>
      <c r="P51" s="221" t="s">
        <v>118</v>
      </c>
      <c r="Q51" s="220" t="s">
        <v>119</v>
      </c>
      <c r="R51" s="222">
        <v>10300</v>
      </c>
      <c r="S51" s="223">
        <v>1</v>
      </c>
      <c r="T51" s="218">
        <v>10300</v>
      </c>
      <c r="U51" s="218">
        <v>20600</v>
      </c>
      <c r="V51" s="217">
        <v>109935</v>
      </c>
      <c r="W51" s="224">
        <v>4.3124267361121602E-3</v>
      </c>
      <c r="X51" s="225" t="s">
        <v>42</v>
      </c>
      <c r="Y51" s="225" t="s">
        <v>42</v>
      </c>
      <c r="Z51" s="225" t="s">
        <v>42</v>
      </c>
      <c r="AA51" s="225">
        <v>11420</v>
      </c>
      <c r="AB51" s="225" t="s">
        <v>42</v>
      </c>
      <c r="AC51" s="225" t="s">
        <v>42</v>
      </c>
      <c r="AD51" s="225" t="s">
        <v>42</v>
      </c>
      <c r="AE51" s="225" t="s">
        <v>42</v>
      </c>
      <c r="AF51" s="225">
        <v>13563</v>
      </c>
      <c r="AG51" s="225" t="s">
        <v>42</v>
      </c>
      <c r="AH51" s="225" t="s">
        <v>42</v>
      </c>
      <c r="AI51" s="225" t="s">
        <v>42</v>
      </c>
      <c r="AJ51" s="225" t="s">
        <v>42</v>
      </c>
      <c r="AK51" s="225">
        <v>16109</v>
      </c>
      <c r="AL51" s="225" t="s">
        <v>42</v>
      </c>
      <c r="AM51" s="225" t="s">
        <v>42</v>
      </c>
      <c r="AN51" s="225" t="s">
        <v>42</v>
      </c>
      <c r="AO51" s="225" t="s">
        <v>42</v>
      </c>
      <c r="AP51" s="225">
        <v>19132</v>
      </c>
      <c r="AQ51" s="225" t="s">
        <v>42</v>
      </c>
      <c r="AR51" s="225" t="s">
        <v>42</v>
      </c>
      <c r="AS51" s="225" t="s">
        <v>42</v>
      </c>
      <c r="AT51" s="225" t="s">
        <v>42</v>
      </c>
      <c r="AU51" s="225">
        <v>22723</v>
      </c>
      <c r="AV51" s="225" t="s">
        <v>42</v>
      </c>
      <c r="AW51" s="225" t="s">
        <v>42</v>
      </c>
      <c r="AX51" s="225" t="s">
        <v>42</v>
      </c>
      <c r="AY51" s="225" t="s">
        <v>42</v>
      </c>
      <c r="AZ51" s="225">
        <v>26988</v>
      </c>
      <c r="BA51" s="225" t="s">
        <v>42</v>
      </c>
      <c r="BB51" s="225" t="s">
        <v>42</v>
      </c>
    </row>
    <row r="52" spans="1:54" ht="40.049999999999997" customHeight="1" x14ac:dyDescent="0.35">
      <c r="A52" s="116"/>
      <c r="B52" s="117">
        <v>1</v>
      </c>
      <c r="C52" s="118">
        <v>1</v>
      </c>
      <c r="D52" s="116">
        <v>1</v>
      </c>
      <c r="E52" s="119">
        <v>1</v>
      </c>
      <c r="F52" s="120">
        <v>2042</v>
      </c>
      <c r="G52" s="120">
        <v>25</v>
      </c>
      <c r="H52" s="121">
        <v>0.01</v>
      </c>
      <c r="I52" s="121"/>
      <c r="J52" s="122">
        <v>5.24</v>
      </c>
      <c r="K52" s="123">
        <v>240</v>
      </c>
      <c r="L52" s="124">
        <v>240</v>
      </c>
      <c r="M52" s="102" t="s">
        <v>49</v>
      </c>
      <c r="N52" s="102" t="s">
        <v>120</v>
      </c>
      <c r="O52" s="116">
        <v>2042</v>
      </c>
      <c r="P52" s="125" t="s">
        <v>40</v>
      </c>
      <c r="Q52" s="116" t="s">
        <v>121</v>
      </c>
      <c r="R52" s="126">
        <v>100</v>
      </c>
      <c r="S52" s="127">
        <v>1</v>
      </c>
      <c r="T52" s="124">
        <v>24000</v>
      </c>
      <c r="U52" s="124">
        <v>24000</v>
      </c>
      <c r="V52" s="123">
        <v>46140</v>
      </c>
      <c r="W52" s="128">
        <v>1.8099365043363356E-3</v>
      </c>
      <c r="X52" s="105" t="s">
        <v>42</v>
      </c>
      <c r="Y52" s="105" t="s">
        <v>42</v>
      </c>
      <c r="Z52" s="105" t="s">
        <v>42</v>
      </c>
      <c r="AA52" s="105" t="s">
        <v>42</v>
      </c>
      <c r="AB52" s="105" t="s">
        <v>42</v>
      </c>
      <c r="AC52" s="105" t="s">
        <v>42</v>
      </c>
      <c r="AD52" s="105" t="s">
        <v>42</v>
      </c>
      <c r="AE52" s="105" t="s">
        <v>42</v>
      </c>
      <c r="AF52" s="105" t="s">
        <v>42</v>
      </c>
      <c r="AG52" s="105" t="s">
        <v>42</v>
      </c>
      <c r="AH52" s="105" t="s">
        <v>42</v>
      </c>
      <c r="AI52" s="105" t="s">
        <v>42</v>
      </c>
      <c r="AJ52" s="105" t="s">
        <v>42</v>
      </c>
      <c r="AK52" s="105" t="s">
        <v>42</v>
      </c>
      <c r="AL52" s="105" t="s">
        <v>42</v>
      </c>
      <c r="AM52" s="105" t="s">
        <v>42</v>
      </c>
      <c r="AN52" s="105" t="s">
        <v>42</v>
      </c>
      <c r="AO52" s="105" t="s">
        <v>42</v>
      </c>
      <c r="AP52" s="105" t="s">
        <v>42</v>
      </c>
      <c r="AQ52" s="105">
        <v>46140</v>
      </c>
      <c r="AR52" s="105" t="s">
        <v>42</v>
      </c>
      <c r="AS52" s="105" t="s">
        <v>42</v>
      </c>
      <c r="AT52" s="105" t="s">
        <v>42</v>
      </c>
      <c r="AU52" s="105" t="s">
        <v>42</v>
      </c>
      <c r="AV52" s="105" t="s">
        <v>42</v>
      </c>
      <c r="AW52" s="105" t="s">
        <v>42</v>
      </c>
      <c r="AX52" s="105" t="s">
        <v>42</v>
      </c>
      <c r="AY52" s="105" t="s">
        <v>42</v>
      </c>
      <c r="AZ52" s="105" t="s">
        <v>42</v>
      </c>
      <c r="BA52" s="105" t="s">
        <v>42</v>
      </c>
      <c r="BB52" s="105" t="s">
        <v>42</v>
      </c>
    </row>
    <row r="53" spans="1:54" ht="40.049999999999997" customHeight="1" x14ac:dyDescent="0.35">
      <c r="A53" s="116"/>
      <c r="B53" s="117">
        <v>1</v>
      </c>
      <c r="C53" s="118">
        <v>9</v>
      </c>
      <c r="D53" s="116">
        <v>10</v>
      </c>
      <c r="E53" s="119">
        <v>2</v>
      </c>
      <c r="F53" s="120">
        <v>2028</v>
      </c>
      <c r="G53" s="120">
        <v>18</v>
      </c>
      <c r="H53" s="121">
        <v>0.01</v>
      </c>
      <c r="I53" s="121"/>
      <c r="J53" s="122">
        <v>5.45</v>
      </c>
      <c r="K53" s="123">
        <v>2</v>
      </c>
      <c r="L53" s="124">
        <v>1</v>
      </c>
      <c r="M53" s="102" t="s">
        <v>72</v>
      </c>
      <c r="N53" s="102" t="s">
        <v>122</v>
      </c>
      <c r="O53" s="116">
        <v>2028</v>
      </c>
      <c r="P53" s="125" t="s">
        <v>57</v>
      </c>
      <c r="Q53" s="116" t="s">
        <v>123</v>
      </c>
      <c r="R53" s="126">
        <v>16000</v>
      </c>
      <c r="S53" s="127">
        <v>1</v>
      </c>
      <c r="T53" s="124">
        <v>16000</v>
      </c>
      <c r="U53" s="124">
        <v>32000</v>
      </c>
      <c r="V53" s="123">
        <v>80200</v>
      </c>
      <c r="W53" s="128">
        <v>3.1460101354090619E-3</v>
      </c>
      <c r="X53" s="105" t="s">
        <v>42</v>
      </c>
      <c r="Y53" s="105" t="s">
        <v>42</v>
      </c>
      <c r="Z53" s="105" t="s">
        <v>42</v>
      </c>
      <c r="AA53" s="105" t="s">
        <v>42</v>
      </c>
      <c r="AB53" s="105" t="s">
        <v>42</v>
      </c>
      <c r="AC53" s="105">
        <v>19003</v>
      </c>
      <c r="AD53" s="105" t="s">
        <v>42</v>
      </c>
      <c r="AE53" s="105" t="s">
        <v>42</v>
      </c>
      <c r="AF53" s="105" t="s">
        <v>42</v>
      </c>
      <c r="AG53" s="105" t="s">
        <v>42</v>
      </c>
      <c r="AH53" s="105" t="s">
        <v>42</v>
      </c>
      <c r="AI53" s="105" t="s">
        <v>42</v>
      </c>
      <c r="AJ53" s="105" t="s">
        <v>42</v>
      </c>
      <c r="AK53" s="105" t="s">
        <v>42</v>
      </c>
      <c r="AL53" s="105">
        <v>25899</v>
      </c>
      <c r="AM53" s="105" t="s">
        <v>42</v>
      </c>
      <c r="AN53" s="105" t="s">
        <v>42</v>
      </c>
      <c r="AO53" s="105" t="s">
        <v>42</v>
      </c>
      <c r="AP53" s="105" t="s">
        <v>42</v>
      </c>
      <c r="AQ53" s="105" t="s">
        <v>42</v>
      </c>
      <c r="AR53" s="105" t="s">
        <v>42</v>
      </c>
      <c r="AS53" s="105" t="s">
        <v>42</v>
      </c>
      <c r="AT53" s="105" t="s">
        <v>42</v>
      </c>
      <c r="AU53" s="105">
        <v>35298</v>
      </c>
      <c r="AV53" s="105" t="s">
        <v>42</v>
      </c>
      <c r="AW53" s="105" t="s">
        <v>42</v>
      </c>
      <c r="AX53" s="105" t="s">
        <v>42</v>
      </c>
      <c r="AY53" s="105" t="s">
        <v>42</v>
      </c>
      <c r="AZ53" s="105" t="s">
        <v>42</v>
      </c>
      <c r="BA53" s="105" t="s">
        <v>42</v>
      </c>
      <c r="BB53" s="105" t="s">
        <v>42</v>
      </c>
    </row>
    <row r="54" spans="1:54" ht="40.049999999999997" customHeight="1" x14ac:dyDescent="0.35">
      <c r="A54" s="116"/>
      <c r="B54" s="117">
        <v>1</v>
      </c>
      <c r="C54" s="118">
        <v>1</v>
      </c>
      <c r="D54" s="116">
        <v>1</v>
      </c>
      <c r="E54" s="119">
        <v>1</v>
      </c>
      <c r="F54" s="120">
        <v>2030</v>
      </c>
      <c r="G54" s="120">
        <v>23</v>
      </c>
      <c r="H54" s="121">
        <v>0.01</v>
      </c>
      <c r="I54" s="121"/>
      <c r="J54" s="122">
        <v>5.52</v>
      </c>
      <c r="K54" s="123">
        <v>1</v>
      </c>
      <c r="L54" s="124">
        <v>1</v>
      </c>
      <c r="M54" s="102" t="s">
        <v>72</v>
      </c>
      <c r="N54" s="102" t="s">
        <v>124</v>
      </c>
      <c r="O54" s="116">
        <v>2030</v>
      </c>
      <c r="P54" s="125" t="s">
        <v>51</v>
      </c>
      <c r="Q54" s="116" t="s">
        <v>74</v>
      </c>
      <c r="R54" s="126">
        <v>21000</v>
      </c>
      <c r="S54" s="127">
        <v>1</v>
      </c>
      <c r="T54" s="124">
        <v>21000</v>
      </c>
      <c r="U54" s="124">
        <v>21000</v>
      </c>
      <c r="V54" s="123">
        <v>85661</v>
      </c>
      <c r="W54" s="128">
        <v>3.3602291048538111E-3</v>
      </c>
      <c r="X54" s="105" t="s">
        <v>42</v>
      </c>
      <c r="Y54" s="105" t="s">
        <v>42</v>
      </c>
      <c r="Z54" s="105" t="s">
        <v>42</v>
      </c>
      <c r="AA54" s="105" t="s">
        <v>42</v>
      </c>
      <c r="AB54" s="105" t="s">
        <v>42</v>
      </c>
      <c r="AC54" s="105" t="s">
        <v>42</v>
      </c>
      <c r="AD54" s="105" t="s">
        <v>42</v>
      </c>
      <c r="AE54" s="105">
        <v>26718</v>
      </c>
      <c r="AF54" s="105" t="s">
        <v>42</v>
      </c>
      <c r="AG54" s="105" t="s">
        <v>42</v>
      </c>
      <c r="AH54" s="105" t="s">
        <v>42</v>
      </c>
      <c r="AI54" s="105" t="s">
        <v>42</v>
      </c>
      <c r="AJ54" s="105" t="s">
        <v>42</v>
      </c>
      <c r="AK54" s="105" t="s">
        <v>42</v>
      </c>
      <c r="AL54" s="105" t="s">
        <v>42</v>
      </c>
      <c r="AM54" s="105" t="s">
        <v>42</v>
      </c>
      <c r="AN54" s="105" t="s">
        <v>42</v>
      </c>
      <c r="AO54" s="105" t="s">
        <v>42</v>
      </c>
      <c r="AP54" s="105" t="s">
        <v>42</v>
      </c>
      <c r="AQ54" s="105" t="s">
        <v>42</v>
      </c>
      <c r="AR54" s="105" t="s">
        <v>42</v>
      </c>
      <c r="AS54" s="105" t="s">
        <v>42</v>
      </c>
      <c r="AT54" s="105" t="s">
        <v>42</v>
      </c>
      <c r="AU54" s="105" t="s">
        <v>42</v>
      </c>
      <c r="AV54" s="105" t="s">
        <v>42</v>
      </c>
      <c r="AW54" s="105" t="s">
        <v>42</v>
      </c>
      <c r="AX54" s="105" t="s">
        <v>42</v>
      </c>
      <c r="AY54" s="105" t="s">
        <v>42</v>
      </c>
      <c r="AZ54" s="105" t="s">
        <v>42</v>
      </c>
      <c r="BA54" s="105" t="s">
        <v>42</v>
      </c>
      <c r="BB54" s="105">
        <v>58943</v>
      </c>
    </row>
    <row r="55" spans="1:54" ht="40.049999999999997" customHeight="1" x14ac:dyDescent="0.35">
      <c r="A55" s="116"/>
      <c r="B55" s="117">
        <v>1</v>
      </c>
      <c r="C55" s="118">
        <v>1</v>
      </c>
      <c r="D55" s="116">
        <v>1</v>
      </c>
      <c r="E55" s="119">
        <v>1</v>
      </c>
      <c r="F55" s="120">
        <v>2028</v>
      </c>
      <c r="G55" s="120">
        <v>23</v>
      </c>
      <c r="H55" s="121">
        <v>0.01</v>
      </c>
      <c r="I55" s="121"/>
      <c r="J55" s="216">
        <v>5.601</v>
      </c>
      <c r="K55" s="217">
        <v>2</v>
      </c>
      <c r="L55" s="218">
        <v>2</v>
      </c>
      <c r="M55" s="219" t="s">
        <v>38</v>
      </c>
      <c r="N55" s="219" t="s">
        <v>125</v>
      </c>
      <c r="O55" s="220">
        <v>2028</v>
      </c>
      <c r="P55" s="221" t="s">
        <v>51</v>
      </c>
      <c r="Q55" s="220" t="s">
        <v>46</v>
      </c>
      <c r="R55" s="222">
        <v>9800</v>
      </c>
      <c r="S55" s="223">
        <v>1</v>
      </c>
      <c r="T55" s="218">
        <v>19600</v>
      </c>
      <c r="U55" s="218">
        <v>19600</v>
      </c>
      <c r="V55" s="217">
        <v>74634</v>
      </c>
      <c r="W55" s="224">
        <v>2.9276723247645877E-3</v>
      </c>
      <c r="X55" s="225" t="s">
        <v>42</v>
      </c>
      <c r="Y55" s="225" t="s">
        <v>42</v>
      </c>
      <c r="Z55" s="225" t="s">
        <v>42</v>
      </c>
      <c r="AA55" s="225" t="s">
        <v>42</v>
      </c>
      <c r="AB55" s="225" t="s">
        <v>42</v>
      </c>
      <c r="AC55" s="225">
        <v>23279</v>
      </c>
      <c r="AD55" s="225" t="s">
        <v>42</v>
      </c>
      <c r="AE55" s="225" t="s">
        <v>42</v>
      </c>
      <c r="AF55" s="225" t="s">
        <v>42</v>
      </c>
      <c r="AG55" s="225" t="s">
        <v>42</v>
      </c>
      <c r="AH55" s="225" t="s">
        <v>42</v>
      </c>
      <c r="AI55" s="225" t="s">
        <v>42</v>
      </c>
      <c r="AJ55" s="225" t="s">
        <v>42</v>
      </c>
      <c r="AK55" s="225" t="s">
        <v>42</v>
      </c>
      <c r="AL55" s="225" t="s">
        <v>42</v>
      </c>
      <c r="AM55" s="225" t="s">
        <v>42</v>
      </c>
      <c r="AN55" s="225" t="s">
        <v>42</v>
      </c>
      <c r="AO55" s="225" t="s">
        <v>42</v>
      </c>
      <c r="AP55" s="225" t="s">
        <v>42</v>
      </c>
      <c r="AQ55" s="225" t="s">
        <v>42</v>
      </c>
      <c r="AR55" s="225" t="s">
        <v>42</v>
      </c>
      <c r="AS55" s="225" t="s">
        <v>42</v>
      </c>
      <c r="AT55" s="225" t="s">
        <v>42</v>
      </c>
      <c r="AU55" s="225" t="s">
        <v>42</v>
      </c>
      <c r="AV55" s="225" t="s">
        <v>42</v>
      </c>
      <c r="AW55" s="225" t="s">
        <v>42</v>
      </c>
      <c r="AX55" s="225" t="s">
        <v>42</v>
      </c>
      <c r="AY55" s="225" t="s">
        <v>42</v>
      </c>
      <c r="AZ55" s="225">
        <v>51355</v>
      </c>
      <c r="BA55" s="225" t="s">
        <v>42</v>
      </c>
      <c r="BB55" s="225" t="s">
        <v>42</v>
      </c>
    </row>
    <row r="56" spans="1:54" ht="40.049999999999997" customHeight="1" x14ac:dyDescent="0.35">
      <c r="A56" s="116"/>
      <c r="B56" s="117">
        <v>1</v>
      </c>
      <c r="C56" s="118">
        <v>1</v>
      </c>
      <c r="D56" s="116">
        <v>1</v>
      </c>
      <c r="E56" s="119">
        <v>1</v>
      </c>
      <c r="F56" s="120">
        <v>2039</v>
      </c>
      <c r="G56" s="120">
        <v>20</v>
      </c>
      <c r="H56" s="121">
        <v>0.01</v>
      </c>
      <c r="I56" s="121"/>
      <c r="J56" s="216">
        <v>5.7</v>
      </c>
      <c r="K56" s="217">
        <v>50</v>
      </c>
      <c r="L56" s="218">
        <v>50</v>
      </c>
      <c r="M56" s="219" t="s">
        <v>58</v>
      </c>
      <c r="N56" s="219" t="s">
        <v>126</v>
      </c>
      <c r="O56" s="220">
        <v>2039</v>
      </c>
      <c r="P56" s="221" t="s">
        <v>51</v>
      </c>
      <c r="Q56" s="220" t="s">
        <v>127</v>
      </c>
      <c r="R56" s="222">
        <v>2200</v>
      </c>
      <c r="S56" s="223">
        <v>1</v>
      </c>
      <c r="T56" s="218">
        <v>110000</v>
      </c>
      <c r="U56" s="218">
        <v>110000</v>
      </c>
      <c r="V56" s="217">
        <v>190738</v>
      </c>
      <c r="W56" s="224">
        <v>7.4820907881253569E-3</v>
      </c>
      <c r="X56" s="225" t="s">
        <v>42</v>
      </c>
      <c r="Y56" s="225" t="s">
        <v>42</v>
      </c>
      <c r="Z56" s="225" t="s">
        <v>42</v>
      </c>
      <c r="AA56" s="225" t="s">
        <v>42</v>
      </c>
      <c r="AB56" s="225" t="s">
        <v>42</v>
      </c>
      <c r="AC56" s="225" t="s">
        <v>42</v>
      </c>
      <c r="AD56" s="225" t="s">
        <v>42</v>
      </c>
      <c r="AE56" s="225" t="s">
        <v>42</v>
      </c>
      <c r="AF56" s="225" t="s">
        <v>42</v>
      </c>
      <c r="AG56" s="225" t="s">
        <v>42</v>
      </c>
      <c r="AH56" s="225" t="s">
        <v>42</v>
      </c>
      <c r="AI56" s="225" t="s">
        <v>42</v>
      </c>
      <c r="AJ56" s="225" t="s">
        <v>42</v>
      </c>
      <c r="AK56" s="225" t="s">
        <v>42</v>
      </c>
      <c r="AL56" s="225" t="s">
        <v>42</v>
      </c>
      <c r="AM56" s="225" t="s">
        <v>42</v>
      </c>
      <c r="AN56" s="225">
        <v>190738</v>
      </c>
      <c r="AO56" s="225" t="s">
        <v>42</v>
      </c>
      <c r="AP56" s="225" t="s">
        <v>42</v>
      </c>
      <c r="AQ56" s="225" t="s">
        <v>42</v>
      </c>
      <c r="AR56" s="225" t="s">
        <v>42</v>
      </c>
      <c r="AS56" s="225" t="s">
        <v>42</v>
      </c>
      <c r="AT56" s="225" t="s">
        <v>42</v>
      </c>
      <c r="AU56" s="225" t="s">
        <v>42</v>
      </c>
      <c r="AV56" s="225" t="s">
        <v>42</v>
      </c>
      <c r="AW56" s="225" t="s">
        <v>42</v>
      </c>
      <c r="AX56" s="225" t="s">
        <v>42</v>
      </c>
      <c r="AY56" s="225" t="s">
        <v>42</v>
      </c>
      <c r="AZ56" s="225" t="s">
        <v>42</v>
      </c>
      <c r="BA56" s="225" t="s">
        <v>42</v>
      </c>
      <c r="BB56" s="225" t="s">
        <v>42</v>
      </c>
    </row>
    <row r="57" spans="1:54" ht="40.049999999999997" customHeight="1" x14ac:dyDescent="0.35">
      <c r="A57" s="116"/>
      <c r="B57" s="117">
        <v>1</v>
      </c>
      <c r="C57" s="118">
        <v>1</v>
      </c>
      <c r="D57" s="116">
        <v>1</v>
      </c>
      <c r="E57" s="119">
        <v>1</v>
      </c>
      <c r="F57" s="120">
        <v>2029</v>
      </c>
      <c r="G57" s="120">
        <v>35</v>
      </c>
      <c r="H57" s="121">
        <v>0.01</v>
      </c>
      <c r="I57" s="121"/>
      <c r="J57" s="216">
        <v>5.8</v>
      </c>
      <c r="K57" s="217">
        <v>870</v>
      </c>
      <c r="L57" s="218">
        <v>870</v>
      </c>
      <c r="M57" s="219" t="s">
        <v>43</v>
      </c>
      <c r="N57" s="219" t="s">
        <v>211</v>
      </c>
      <c r="O57" s="220">
        <v>2029</v>
      </c>
      <c r="P57" s="221" t="s">
        <v>69</v>
      </c>
      <c r="Q57" s="220" t="s">
        <v>70</v>
      </c>
      <c r="R57" s="222">
        <v>100</v>
      </c>
      <c r="S57" s="223">
        <v>1</v>
      </c>
      <c r="T57" s="218">
        <v>87000</v>
      </c>
      <c r="U57" s="218">
        <v>87000</v>
      </c>
      <c r="V57" s="217">
        <v>106945</v>
      </c>
      <c r="W57" s="224">
        <v>4.195137829567608E-3</v>
      </c>
      <c r="X57" s="225" t="s">
        <v>42</v>
      </c>
      <c r="Y57" s="225" t="s">
        <v>42</v>
      </c>
      <c r="Z57" s="225" t="s">
        <v>42</v>
      </c>
      <c r="AA57" s="225" t="s">
        <v>42</v>
      </c>
      <c r="AB57" s="225" t="s">
        <v>42</v>
      </c>
      <c r="AC57" s="225" t="s">
        <v>42</v>
      </c>
      <c r="AD57" s="225">
        <v>106945</v>
      </c>
      <c r="AE57" s="225" t="s">
        <v>42</v>
      </c>
      <c r="AF57" s="225" t="s">
        <v>42</v>
      </c>
      <c r="AG57" s="225" t="s">
        <v>42</v>
      </c>
      <c r="AH57" s="225" t="s">
        <v>42</v>
      </c>
      <c r="AI57" s="225" t="s">
        <v>42</v>
      </c>
      <c r="AJ57" s="225" t="s">
        <v>42</v>
      </c>
      <c r="AK57" s="225" t="s">
        <v>42</v>
      </c>
      <c r="AL57" s="225" t="s">
        <v>42</v>
      </c>
      <c r="AM57" s="225" t="s">
        <v>42</v>
      </c>
      <c r="AN57" s="225" t="s">
        <v>42</v>
      </c>
      <c r="AO57" s="225" t="s">
        <v>42</v>
      </c>
      <c r="AP57" s="225" t="s">
        <v>42</v>
      </c>
      <c r="AQ57" s="225" t="s">
        <v>42</v>
      </c>
      <c r="AR57" s="225" t="s">
        <v>42</v>
      </c>
      <c r="AS57" s="225" t="s">
        <v>42</v>
      </c>
      <c r="AT57" s="225" t="s">
        <v>42</v>
      </c>
      <c r="AU57" s="225" t="s">
        <v>42</v>
      </c>
      <c r="AV57" s="225" t="s">
        <v>42</v>
      </c>
      <c r="AW57" s="225" t="s">
        <v>42</v>
      </c>
      <c r="AX57" s="225" t="s">
        <v>42</v>
      </c>
      <c r="AY57" s="225" t="s">
        <v>42</v>
      </c>
      <c r="AZ57" s="225" t="s">
        <v>42</v>
      </c>
      <c r="BA57" s="225" t="s">
        <v>42</v>
      </c>
      <c r="BB57" s="225" t="s">
        <v>42</v>
      </c>
    </row>
    <row r="58" spans="1:54" ht="40.049999999999997" customHeight="1" x14ac:dyDescent="0.35">
      <c r="A58" s="116"/>
      <c r="B58" s="117"/>
      <c r="C58" s="118"/>
      <c r="D58" s="116"/>
      <c r="E58" s="119"/>
      <c r="F58" s="120"/>
      <c r="G58" s="120"/>
      <c r="H58" s="121"/>
      <c r="I58" s="121"/>
      <c r="J58" s="122"/>
      <c r="K58" s="123"/>
      <c r="L58" s="102"/>
      <c r="M58" s="102"/>
      <c r="N58" s="102"/>
      <c r="O58" s="116"/>
      <c r="P58" s="125"/>
      <c r="Q58" s="116"/>
      <c r="R58" s="126"/>
      <c r="S58" s="127"/>
      <c r="T58" s="102"/>
      <c r="U58" s="102"/>
      <c r="V58" s="123"/>
      <c r="W58" s="128"/>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row>
    <row r="59" spans="1:54" ht="40.049999999999997" customHeight="1" x14ac:dyDescent="0.35">
      <c r="A59" s="116"/>
      <c r="B59" s="117"/>
      <c r="C59" s="118"/>
      <c r="D59" s="116"/>
      <c r="E59" s="119"/>
      <c r="F59" s="120"/>
      <c r="G59" s="120"/>
      <c r="H59" s="121"/>
      <c r="I59" s="121"/>
      <c r="J59" s="122"/>
      <c r="K59" s="123"/>
      <c r="L59" s="102"/>
      <c r="M59" s="102"/>
      <c r="N59" s="215" t="s">
        <v>128</v>
      </c>
      <c r="O59" s="116"/>
      <c r="P59" s="125"/>
      <c r="Q59" s="116"/>
      <c r="R59" s="126"/>
      <c r="S59" s="127"/>
      <c r="T59" s="102"/>
      <c r="U59" s="102"/>
      <c r="V59" s="123"/>
      <c r="W59" s="128"/>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row>
    <row r="60" spans="1:54" ht="40.049999999999997" customHeight="1" x14ac:dyDescent="0.35">
      <c r="A60" s="116"/>
      <c r="B60" s="117">
        <v>1</v>
      </c>
      <c r="C60" s="118">
        <v>1</v>
      </c>
      <c r="D60" s="116">
        <v>1</v>
      </c>
      <c r="E60" s="119">
        <v>1</v>
      </c>
      <c r="F60" s="120">
        <v>2033</v>
      </c>
      <c r="G60" s="120">
        <v>25</v>
      </c>
      <c r="H60" s="121">
        <v>0.01</v>
      </c>
      <c r="I60" s="121"/>
      <c r="J60" s="122">
        <v>6.2</v>
      </c>
      <c r="K60" s="123">
        <v>4000</v>
      </c>
      <c r="L60" s="124">
        <v>4000</v>
      </c>
      <c r="M60" s="102" t="s">
        <v>43</v>
      </c>
      <c r="N60" s="102" t="s">
        <v>129</v>
      </c>
      <c r="O60" s="116">
        <v>2033</v>
      </c>
      <c r="P60" s="125" t="s">
        <v>51</v>
      </c>
      <c r="Q60" s="116" t="s">
        <v>130</v>
      </c>
      <c r="R60" s="126">
        <v>9</v>
      </c>
      <c r="S60" s="127">
        <v>1</v>
      </c>
      <c r="T60" s="124">
        <v>36000</v>
      </c>
      <c r="U60" s="124">
        <v>36000</v>
      </c>
      <c r="V60" s="123">
        <v>50782</v>
      </c>
      <c r="W60" s="128">
        <v>1.9920285124232291E-3</v>
      </c>
      <c r="X60" s="105" t="s">
        <v>42</v>
      </c>
      <c r="Y60" s="105" t="s">
        <v>42</v>
      </c>
      <c r="Z60" s="105" t="s">
        <v>42</v>
      </c>
      <c r="AA60" s="105" t="s">
        <v>42</v>
      </c>
      <c r="AB60" s="105" t="s">
        <v>42</v>
      </c>
      <c r="AC60" s="105" t="s">
        <v>42</v>
      </c>
      <c r="AD60" s="105" t="s">
        <v>42</v>
      </c>
      <c r="AE60" s="105" t="s">
        <v>42</v>
      </c>
      <c r="AF60" s="105" t="s">
        <v>42</v>
      </c>
      <c r="AG60" s="105" t="s">
        <v>42</v>
      </c>
      <c r="AH60" s="105">
        <v>50782</v>
      </c>
      <c r="AI60" s="105" t="s">
        <v>42</v>
      </c>
      <c r="AJ60" s="105" t="s">
        <v>42</v>
      </c>
      <c r="AK60" s="105" t="s">
        <v>42</v>
      </c>
      <c r="AL60" s="105" t="s">
        <v>42</v>
      </c>
      <c r="AM60" s="105" t="s">
        <v>42</v>
      </c>
      <c r="AN60" s="105" t="s">
        <v>42</v>
      </c>
      <c r="AO60" s="105" t="s">
        <v>42</v>
      </c>
      <c r="AP60" s="105" t="s">
        <v>42</v>
      </c>
      <c r="AQ60" s="105" t="s">
        <v>42</v>
      </c>
      <c r="AR60" s="105" t="s">
        <v>42</v>
      </c>
      <c r="AS60" s="105" t="s">
        <v>42</v>
      </c>
      <c r="AT60" s="105" t="s">
        <v>42</v>
      </c>
      <c r="AU60" s="105" t="s">
        <v>42</v>
      </c>
      <c r="AV60" s="105" t="s">
        <v>42</v>
      </c>
      <c r="AW60" s="105" t="s">
        <v>42</v>
      </c>
      <c r="AX60" s="105" t="s">
        <v>42</v>
      </c>
      <c r="AY60" s="105" t="s">
        <v>42</v>
      </c>
      <c r="AZ60" s="105" t="s">
        <v>42</v>
      </c>
      <c r="BA60" s="105" t="s">
        <v>42</v>
      </c>
      <c r="BB60" s="105" t="s">
        <v>42</v>
      </c>
    </row>
    <row r="61" spans="1:54" ht="40.049999999999997" customHeight="1" x14ac:dyDescent="0.35">
      <c r="A61" s="116"/>
      <c r="B61" s="117">
        <v>1</v>
      </c>
      <c r="C61" s="118">
        <v>1</v>
      </c>
      <c r="D61" s="116">
        <v>1</v>
      </c>
      <c r="E61" s="119">
        <v>1</v>
      </c>
      <c r="F61" s="120">
        <v>2044</v>
      </c>
      <c r="G61" s="120">
        <v>25</v>
      </c>
      <c r="H61" s="121">
        <v>0.01</v>
      </c>
      <c r="I61" s="121"/>
      <c r="J61" s="216">
        <v>6.4</v>
      </c>
      <c r="K61" s="217">
        <v>220</v>
      </c>
      <c r="L61" s="218">
        <v>220</v>
      </c>
      <c r="M61" s="219" t="s">
        <v>47</v>
      </c>
      <c r="N61" s="219" t="s">
        <v>131</v>
      </c>
      <c r="O61" s="220">
        <v>2044</v>
      </c>
      <c r="P61" s="221" t="s">
        <v>51</v>
      </c>
      <c r="Q61" s="220" t="s">
        <v>132</v>
      </c>
      <c r="R61" s="222">
        <v>50</v>
      </c>
      <c r="S61" s="223">
        <v>1</v>
      </c>
      <c r="T61" s="218">
        <v>11000</v>
      </c>
      <c r="U61" s="218">
        <v>11000</v>
      </c>
      <c r="V61" s="217">
        <v>22654</v>
      </c>
      <c r="W61" s="224">
        <v>8.8864979560544744E-4</v>
      </c>
      <c r="X61" s="225" t="s">
        <v>42</v>
      </c>
      <c r="Y61" s="225" t="s">
        <v>42</v>
      </c>
      <c r="Z61" s="225" t="s">
        <v>42</v>
      </c>
      <c r="AA61" s="225" t="s">
        <v>42</v>
      </c>
      <c r="AB61" s="225" t="s">
        <v>42</v>
      </c>
      <c r="AC61" s="225" t="s">
        <v>42</v>
      </c>
      <c r="AD61" s="225" t="s">
        <v>42</v>
      </c>
      <c r="AE61" s="225" t="s">
        <v>42</v>
      </c>
      <c r="AF61" s="225" t="s">
        <v>42</v>
      </c>
      <c r="AG61" s="225" t="s">
        <v>42</v>
      </c>
      <c r="AH61" s="225" t="s">
        <v>42</v>
      </c>
      <c r="AI61" s="225" t="s">
        <v>42</v>
      </c>
      <c r="AJ61" s="225" t="s">
        <v>42</v>
      </c>
      <c r="AK61" s="225" t="s">
        <v>42</v>
      </c>
      <c r="AL61" s="225" t="s">
        <v>42</v>
      </c>
      <c r="AM61" s="225" t="s">
        <v>42</v>
      </c>
      <c r="AN61" s="225" t="s">
        <v>42</v>
      </c>
      <c r="AO61" s="225" t="s">
        <v>42</v>
      </c>
      <c r="AP61" s="225" t="s">
        <v>42</v>
      </c>
      <c r="AQ61" s="225" t="s">
        <v>42</v>
      </c>
      <c r="AR61" s="225" t="s">
        <v>42</v>
      </c>
      <c r="AS61" s="225">
        <v>22654</v>
      </c>
      <c r="AT61" s="225" t="s">
        <v>42</v>
      </c>
      <c r="AU61" s="225" t="s">
        <v>42</v>
      </c>
      <c r="AV61" s="225" t="s">
        <v>42</v>
      </c>
      <c r="AW61" s="225" t="s">
        <v>42</v>
      </c>
      <c r="AX61" s="225" t="s">
        <v>42</v>
      </c>
      <c r="AY61" s="225" t="s">
        <v>42</v>
      </c>
      <c r="AZ61" s="225" t="s">
        <v>42</v>
      </c>
      <c r="BA61" s="225" t="s">
        <v>42</v>
      </c>
      <c r="BB61" s="225" t="s">
        <v>42</v>
      </c>
    </row>
    <row r="62" spans="1:54" ht="40.049999999999997" customHeight="1" x14ac:dyDescent="0.35">
      <c r="A62" s="116"/>
      <c r="B62" s="117">
        <v>1</v>
      </c>
      <c r="C62" s="118">
        <v>5</v>
      </c>
      <c r="D62" s="116">
        <v>6</v>
      </c>
      <c r="E62" s="119">
        <v>2</v>
      </c>
      <c r="F62" s="120">
        <v>2026</v>
      </c>
      <c r="G62" s="120">
        <v>10</v>
      </c>
      <c r="H62" s="121">
        <v>0.01</v>
      </c>
      <c r="I62" s="121"/>
      <c r="J62" s="216">
        <v>6.6</v>
      </c>
      <c r="K62" s="217">
        <v>2</v>
      </c>
      <c r="L62" s="218">
        <v>1</v>
      </c>
      <c r="M62" s="219" t="s">
        <v>72</v>
      </c>
      <c r="N62" s="219" t="s">
        <v>133</v>
      </c>
      <c r="O62" s="220">
        <v>2026</v>
      </c>
      <c r="P62" s="221" t="s">
        <v>103</v>
      </c>
      <c r="Q62" s="220" t="s">
        <v>119</v>
      </c>
      <c r="R62" s="222">
        <v>10000</v>
      </c>
      <c r="S62" s="223">
        <v>1</v>
      </c>
      <c r="T62" s="218">
        <v>10000</v>
      </c>
      <c r="U62" s="218">
        <v>20000</v>
      </c>
      <c r="V62" s="217">
        <v>106733</v>
      </c>
      <c r="W62" s="224">
        <v>4.1868216930500673E-3</v>
      </c>
      <c r="X62" s="225" t="s">
        <v>42</v>
      </c>
      <c r="Y62" s="225" t="s">
        <v>42</v>
      </c>
      <c r="Z62" s="225" t="s">
        <v>42</v>
      </c>
      <c r="AA62" s="225">
        <v>11087</v>
      </c>
      <c r="AB62" s="225" t="s">
        <v>42</v>
      </c>
      <c r="AC62" s="225" t="s">
        <v>42</v>
      </c>
      <c r="AD62" s="225" t="s">
        <v>42</v>
      </c>
      <c r="AE62" s="225" t="s">
        <v>42</v>
      </c>
      <c r="AF62" s="225">
        <v>13168</v>
      </c>
      <c r="AG62" s="225" t="s">
        <v>42</v>
      </c>
      <c r="AH62" s="225" t="s">
        <v>42</v>
      </c>
      <c r="AI62" s="225" t="s">
        <v>42</v>
      </c>
      <c r="AJ62" s="225" t="s">
        <v>42</v>
      </c>
      <c r="AK62" s="225">
        <v>15640</v>
      </c>
      <c r="AL62" s="225" t="s">
        <v>42</v>
      </c>
      <c r="AM62" s="225" t="s">
        <v>42</v>
      </c>
      <c r="AN62" s="225" t="s">
        <v>42</v>
      </c>
      <c r="AO62" s="225" t="s">
        <v>42</v>
      </c>
      <c r="AP62" s="225">
        <v>18575</v>
      </c>
      <c r="AQ62" s="225" t="s">
        <v>42</v>
      </c>
      <c r="AR62" s="225" t="s">
        <v>42</v>
      </c>
      <c r="AS62" s="225" t="s">
        <v>42</v>
      </c>
      <c r="AT62" s="225" t="s">
        <v>42</v>
      </c>
      <c r="AU62" s="225">
        <v>22061</v>
      </c>
      <c r="AV62" s="225" t="s">
        <v>42</v>
      </c>
      <c r="AW62" s="225" t="s">
        <v>42</v>
      </c>
      <c r="AX62" s="225" t="s">
        <v>42</v>
      </c>
      <c r="AY62" s="225" t="s">
        <v>42</v>
      </c>
      <c r="AZ62" s="225">
        <v>26202</v>
      </c>
      <c r="BA62" s="225" t="s">
        <v>42</v>
      </c>
      <c r="BB62" s="225" t="s">
        <v>42</v>
      </c>
    </row>
    <row r="63" spans="1:54" ht="40.049999999999997" customHeight="1" x14ac:dyDescent="0.35">
      <c r="A63" s="116"/>
      <c r="B63" s="117">
        <v>1</v>
      </c>
      <c r="C63" s="118">
        <v>1</v>
      </c>
      <c r="D63" s="116">
        <v>1</v>
      </c>
      <c r="E63" s="119">
        <v>1</v>
      </c>
      <c r="F63" s="120">
        <v>2033</v>
      </c>
      <c r="G63" s="120">
        <v>10</v>
      </c>
      <c r="H63" s="121">
        <v>0.01</v>
      </c>
      <c r="I63" s="121"/>
      <c r="J63" s="216">
        <v>6.8</v>
      </c>
      <c r="K63" s="217">
        <v>1500</v>
      </c>
      <c r="L63" s="218">
        <v>1500</v>
      </c>
      <c r="M63" s="219" t="s">
        <v>43</v>
      </c>
      <c r="N63" s="219" t="s">
        <v>134</v>
      </c>
      <c r="O63" s="220">
        <v>2043</v>
      </c>
      <c r="P63" s="221" t="s">
        <v>135</v>
      </c>
      <c r="Q63" s="220" t="s">
        <v>88</v>
      </c>
      <c r="R63" s="222">
        <v>15</v>
      </c>
      <c r="S63" s="223">
        <v>1</v>
      </c>
      <c r="T63" s="218">
        <v>22500</v>
      </c>
      <c r="U63" s="218">
        <v>22500</v>
      </c>
      <c r="V63" s="217">
        <v>107923</v>
      </c>
      <c r="W63" s="224">
        <v>4.2335018933136181E-3</v>
      </c>
      <c r="X63" s="225" t="s">
        <v>42</v>
      </c>
      <c r="Y63" s="225" t="s">
        <v>42</v>
      </c>
      <c r="Z63" s="225" t="s">
        <v>42</v>
      </c>
      <c r="AA63" s="225" t="s">
        <v>42</v>
      </c>
      <c r="AB63" s="225" t="s">
        <v>42</v>
      </c>
      <c r="AC63" s="225" t="s">
        <v>42</v>
      </c>
      <c r="AD63" s="225" t="s">
        <v>42</v>
      </c>
      <c r="AE63" s="225" t="s">
        <v>42</v>
      </c>
      <c r="AF63" s="225" t="s">
        <v>42</v>
      </c>
      <c r="AG63" s="225" t="s">
        <v>42</v>
      </c>
      <c r="AH63" s="225" t="s">
        <v>42</v>
      </c>
      <c r="AI63" s="225" t="s">
        <v>42</v>
      </c>
      <c r="AJ63" s="225" t="s">
        <v>42</v>
      </c>
      <c r="AK63" s="225" t="s">
        <v>42</v>
      </c>
      <c r="AL63" s="225" t="s">
        <v>42</v>
      </c>
      <c r="AM63" s="225" t="s">
        <v>42</v>
      </c>
      <c r="AN63" s="225" t="s">
        <v>42</v>
      </c>
      <c r="AO63" s="225" t="s">
        <v>42</v>
      </c>
      <c r="AP63" s="225" t="s">
        <v>42</v>
      </c>
      <c r="AQ63" s="225" t="s">
        <v>42</v>
      </c>
      <c r="AR63" s="225">
        <v>44770</v>
      </c>
      <c r="AS63" s="225" t="s">
        <v>42</v>
      </c>
      <c r="AT63" s="225" t="s">
        <v>42</v>
      </c>
      <c r="AU63" s="225" t="s">
        <v>42</v>
      </c>
      <c r="AV63" s="225" t="s">
        <v>42</v>
      </c>
      <c r="AW63" s="225" t="s">
        <v>42</v>
      </c>
      <c r="AX63" s="225" t="s">
        <v>42</v>
      </c>
      <c r="AY63" s="225" t="s">
        <v>42</v>
      </c>
      <c r="AZ63" s="225" t="s">
        <v>42</v>
      </c>
      <c r="BA63" s="225" t="s">
        <v>42</v>
      </c>
      <c r="BB63" s="225">
        <v>63153</v>
      </c>
    </row>
    <row r="64" spans="1:54" ht="40.049999999999997" customHeight="1" x14ac:dyDescent="0.35">
      <c r="A64" s="116"/>
      <c r="B64" s="117">
        <v>1</v>
      </c>
      <c r="C64" s="118">
        <v>1</v>
      </c>
      <c r="D64" s="116">
        <v>1</v>
      </c>
      <c r="E64" s="119">
        <v>1</v>
      </c>
      <c r="F64" s="120">
        <v>2033</v>
      </c>
      <c r="G64" s="120">
        <v>20</v>
      </c>
      <c r="H64" s="121">
        <v>0.01</v>
      </c>
      <c r="I64" s="121"/>
      <c r="J64" s="122">
        <v>6.8010000000000002</v>
      </c>
      <c r="K64" s="123">
        <v>170</v>
      </c>
      <c r="L64" s="124">
        <v>170</v>
      </c>
      <c r="M64" s="102" t="s">
        <v>47</v>
      </c>
      <c r="N64" s="102" t="s">
        <v>136</v>
      </c>
      <c r="O64" s="116">
        <v>2053</v>
      </c>
      <c r="P64" s="125" t="s">
        <v>137</v>
      </c>
      <c r="Q64" s="116" t="s">
        <v>138</v>
      </c>
      <c r="R64" s="126">
        <v>38</v>
      </c>
      <c r="S64" s="127">
        <v>1</v>
      </c>
      <c r="T64" s="124">
        <v>6460</v>
      </c>
      <c r="U64" s="124">
        <v>6460</v>
      </c>
      <c r="V64" s="123">
        <v>18132</v>
      </c>
      <c r="W64" s="128">
        <v>7.1126503460395402E-4</v>
      </c>
      <c r="X64" s="105" t="s">
        <v>42</v>
      </c>
      <c r="Y64" s="105" t="s">
        <v>42</v>
      </c>
      <c r="Z64" s="105" t="s">
        <v>42</v>
      </c>
      <c r="AA64" s="105" t="s">
        <v>42</v>
      </c>
      <c r="AB64" s="105" t="s">
        <v>42</v>
      </c>
      <c r="AC64" s="105" t="s">
        <v>42</v>
      </c>
      <c r="AD64" s="105" t="s">
        <v>42</v>
      </c>
      <c r="AE64" s="105" t="s">
        <v>42</v>
      </c>
      <c r="AF64" s="105" t="s">
        <v>42</v>
      </c>
      <c r="AG64" s="105" t="s">
        <v>42</v>
      </c>
      <c r="AH64" s="105" t="s">
        <v>42</v>
      </c>
      <c r="AI64" s="105" t="s">
        <v>42</v>
      </c>
      <c r="AJ64" s="105" t="s">
        <v>42</v>
      </c>
      <c r="AK64" s="105" t="s">
        <v>42</v>
      </c>
      <c r="AL64" s="105" t="s">
        <v>42</v>
      </c>
      <c r="AM64" s="105" t="s">
        <v>42</v>
      </c>
      <c r="AN64" s="105" t="s">
        <v>42</v>
      </c>
      <c r="AO64" s="105" t="s">
        <v>42</v>
      </c>
      <c r="AP64" s="105" t="s">
        <v>42</v>
      </c>
      <c r="AQ64" s="105" t="s">
        <v>42</v>
      </c>
      <c r="AR64" s="105" t="s">
        <v>42</v>
      </c>
      <c r="AS64" s="105" t="s">
        <v>42</v>
      </c>
      <c r="AT64" s="105" t="s">
        <v>42</v>
      </c>
      <c r="AU64" s="105" t="s">
        <v>42</v>
      </c>
      <c r="AV64" s="105" t="s">
        <v>42</v>
      </c>
      <c r="AW64" s="105" t="s">
        <v>42</v>
      </c>
      <c r="AX64" s="105" t="s">
        <v>42</v>
      </c>
      <c r="AY64" s="105" t="s">
        <v>42</v>
      </c>
      <c r="AZ64" s="105" t="s">
        <v>42</v>
      </c>
      <c r="BA64" s="105" t="s">
        <v>42</v>
      </c>
      <c r="BB64" s="105">
        <v>18132</v>
      </c>
    </row>
    <row r="65" spans="1:154" ht="40.049999999999997" customHeight="1" x14ac:dyDescent="0.35">
      <c r="A65" s="116"/>
      <c r="B65" s="117">
        <v>1</v>
      </c>
      <c r="C65" s="118">
        <v>1</v>
      </c>
      <c r="D65" s="116">
        <v>1</v>
      </c>
      <c r="E65" s="119">
        <v>1</v>
      </c>
      <c r="F65" s="120">
        <v>2033</v>
      </c>
      <c r="G65" s="120">
        <v>60</v>
      </c>
      <c r="H65" s="121">
        <v>0.01</v>
      </c>
      <c r="I65" s="121"/>
      <c r="J65" s="122">
        <v>6.9</v>
      </c>
      <c r="K65" s="123">
        <v>1500</v>
      </c>
      <c r="L65" s="124">
        <v>1500</v>
      </c>
      <c r="M65" s="102" t="s">
        <v>43</v>
      </c>
      <c r="N65" s="102" t="s">
        <v>139</v>
      </c>
      <c r="O65" s="116">
        <v>2033</v>
      </c>
      <c r="P65" s="125" t="s">
        <v>140</v>
      </c>
      <c r="Q65" s="116" t="s">
        <v>130</v>
      </c>
      <c r="R65" s="126">
        <v>150</v>
      </c>
      <c r="S65" s="127">
        <v>1</v>
      </c>
      <c r="T65" s="124">
        <v>225000</v>
      </c>
      <c r="U65" s="124">
        <v>225000</v>
      </c>
      <c r="V65" s="123">
        <v>317385</v>
      </c>
      <c r="W65" s="128">
        <v>1.2450080134997571E-2</v>
      </c>
      <c r="X65" s="105" t="s">
        <v>42</v>
      </c>
      <c r="Y65" s="105" t="s">
        <v>42</v>
      </c>
      <c r="Z65" s="105" t="s">
        <v>42</v>
      </c>
      <c r="AA65" s="105" t="s">
        <v>42</v>
      </c>
      <c r="AB65" s="105" t="s">
        <v>42</v>
      </c>
      <c r="AC65" s="105" t="s">
        <v>42</v>
      </c>
      <c r="AD65" s="105" t="s">
        <v>42</v>
      </c>
      <c r="AE65" s="105" t="s">
        <v>42</v>
      </c>
      <c r="AF65" s="105" t="s">
        <v>42</v>
      </c>
      <c r="AG65" s="105" t="s">
        <v>42</v>
      </c>
      <c r="AH65" s="105">
        <v>317385</v>
      </c>
      <c r="AI65" s="105" t="s">
        <v>42</v>
      </c>
      <c r="AJ65" s="105" t="s">
        <v>42</v>
      </c>
      <c r="AK65" s="105" t="s">
        <v>42</v>
      </c>
      <c r="AL65" s="105" t="s">
        <v>42</v>
      </c>
      <c r="AM65" s="105" t="s">
        <v>42</v>
      </c>
      <c r="AN65" s="105" t="s">
        <v>42</v>
      </c>
      <c r="AO65" s="105" t="s">
        <v>42</v>
      </c>
      <c r="AP65" s="105" t="s">
        <v>42</v>
      </c>
      <c r="AQ65" s="105" t="s">
        <v>42</v>
      </c>
      <c r="AR65" s="105" t="s">
        <v>42</v>
      </c>
      <c r="AS65" s="105" t="s">
        <v>42</v>
      </c>
      <c r="AT65" s="105" t="s">
        <v>42</v>
      </c>
      <c r="AU65" s="105" t="s">
        <v>42</v>
      </c>
      <c r="AV65" s="105" t="s">
        <v>42</v>
      </c>
      <c r="AW65" s="105" t="s">
        <v>42</v>
      </c>
      <c r="AX65" s="105" t="s">
        <v>42</v>
      </c>
      <c r="AY65" s="105" t="s">
        <v>42</v>
      </c>
      <c r="AZ65" s="105" t="s">
        <v>42</v>
      </c>
      <c r="BA65" s="105" t="s">
        <v>42</v>
      </c>
      <c r="BB65" s="105" t="s">
        <v>42</v>
      </c>
    </row>
    <row r="66" spans="1:154" ht="40.049999999999997" customHeight="1" x14ac:dyDescent="0.35">
      <c r="A66" s="116"/>
      <c r="B66" s="117"/>
      <c r="C66" s="118"/>
      <c r="D66" s="116"/>
      <c r="E66" s="119"/>
      <c r="F66" s="120"/>
      <c r="G66" s="120"/>
      <c r="H66" s="121"/>
      <c r="I66" s="121"/>
      <c r="J66" s="122"/>
      <c r="K66" s="123"/>
      <c r="L66" s="102"/>
      <c r="M66" s="102"/>
      <c r="N66" s="102"/>
      <c r="O66" s="116"/>
      <c r="P66" s="125"/>
      <c r="Q66" s="116"/>
      <c r="R66" s="126"/>
      <c r="S66" s="127"/>
      <c r="T66" s="102"/>
      <c r="U66" s="102"/>
      <c r="V66" s="123"/>
      <c r="W66" s="128"/>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row>
    <row r="67" spans="1:154" ht="40.049999999999997" customHeight="1" x14ac:dyDescent="0.35">
      <c r="A67" s="116"/>
      <c r="B67" s="117"/>
      <c r="C67" s="118"/>
      <c r="D67" s="116"/>
      <c r="E67" s="119"/>
      <c r="F67" s="120"/>
      <c r="G67" s="120"/>
      <c r="H67" s="121"/>
      <c r="I67" s="121"/>
      <c r="J67" s="227" t="s">
        <v>141</v>
      </c>
      <c r="K67" s="217">
        <v>1</v>
      </c>
      <c r="L67" s="218">
        <v>1</v>
      </c>
      <c r="M67" s="219" t="s">
        <v>72</v>
      </c>
      <c r="N67" s="219" t="s">
        <v>142</v>
      </c>
      <c r="O67" s="220">
        <v>2025</v>
      </c>
      <c r="P67" s="221">
        <v>2</v>
      </c>
      <c r="Q67" s="220" t="s">
        <v>143</v>
      </c>
      <c r="R67" s="222">
        <v>6900</v>
      </c>
      <c r="S67" s="223">
        <v>1</v>
      </c>
      <c r="T67" s="218">
        <v>6900</v>
      </c>
      <c r="U67" s="218">
        <v>6900</v>
      </c>
      <c r="V67" s="217">
        <v>6900</v>
      </c>
      <c r="W67" s="224">
        <v>2.7066670741050531E-4</v>
      </c>
      <c r="X67" s="225"/>
      <c r="Y67" s="225"/>
      <c r="Z67" s="225">
        <v>6900</v>
      </c>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row>
    <row r="68" spans="1:154" s="76" customFormat="1" ht="7.95" customHeight="1" x14ac:dyDescent="0.3">
      <c r="A68" s="95"/>
      <c r="B68" s="95"/>
      <c r="C68" s="95"/>
      <c r="D68" s="95"/>
      <c r="E68" s="95"/>
      <c r="F68" s="95"/>
      <c r="G68" s="95"/>
      <c r="H68" s="95"/>
      <c r="I68" s="95"/>
      <c r="J68" s="96" t="s">
        <v>144</v>
      </c>
      <c r="K68" s="95"/>
      <c r="L68" s="95"/>
      <c r="M68" s="95"/>
      <c r="N68" s="97" t="s">
        <v>36</v>
      </c>
      <c r="O68" s="98" t="s">
        <v>36</v>
      </c>
      <c r="P68" s="95"/>
      <c r="Q68" s="98" t="s">
        <v>36</v>
      </c>
      <c r="R68" s="98" t="s">
        <v>36</v>
      </c>
      <c r="S68" s="98" t="s">
        <v>36</v>
      </c>
      <c r="T68" s="98" t="s">
        <v>36</v>
      </c>
      <c r="U68" s="95"/>
      <c r="V68" s="95" t="s">
        <v>36</v>
      </c>
      <c r="W68" s="101" t="s">
        <v>36</v>
      </c>
      <c r="X68" s="98" t="s">
        <v>36</v>
      </c>
      <c r="Y68" s="98" t="s">
        <v>36</v>
      </c>
      <c r="Z68" s="98" t="s">
        <v>36</v>
      </c>
      <c r="AA68" s="98" t="s">
        <v>36</v>
      </c>
      <c r="AB68" s="98" t="s">
        <v>36</v>
      </c>
      <c r="AC68" s="98" t="s">
        <v>36</v>
      </c>
      <c r="AD68" s="98" t="s">
        <v>36</v>
      </c>
      <c r="AE68" s="98" t="s">
        <v>36</v>
      </c>
      <c r="AF68" s="98" t="s">
        <v>36</v>
      </c>
      <c r="AG68" s="98" t="s">
        <v>36</v>
      </c>
      <c r="AH68" s="98" t="s">
        <v>36</v>
      </c>
      <c r="AI68" s="98" t="s">
        <v>36</v>
      </c>
      <c r="AJ68" s="98" t="s">
        <v>36</v>
      </c>
      <c r="AK68" s="98" t="s">
        <v>36</v>
      </c>
      <c r="AL68" s="98" t="s">
        <v>36</v>
      </c>
      <c r="AM68" s="98" t="s">
        <v>36</v>
      </c>
      <c r="AN68" s="98" t="s">
        <v>36</v>
      </c>
      <c r="AO68" s="98" t="s">
        <v>36</v>
      </c>
      <c r="AP68" s="98" t="s">
        <v>36</v>
      </c>
      <c r="AQ68" s="98" t="s">
        <v>36</v>
      </c>
      <c r="AR68" s="98" t="s">
        <v>36</v>
      </c>
      <c r="AS68" s="98" t="s">
        <v>36</v>
      </c>
      <c r="AT68" s="98" t="s">
        <v>36</v>
      </c>
      <c r="AU68" s="98" t="s">
        <v>36</v>
      </c>
      <c r="AV68" s="98" t="s">
        <v>36</v>
      </c>
      <c r="AW68" s="98" t="s">
        <v>36</v>
      </c>
      <c r="AX68" s="98" t="s">
        <v>36</v>
      </c>
      <c r="AY68" s="98" t="s">
        <v>36</v>
      </c>
      <c r="AZ68" s="98" t="s">
        <v>36</v>
      </c>
      <c r="BA68" s="98" t="s">
        <v>36</v>
      </c>
      <c r="BB68" s="98" t="s">
        <v>36</v>
      </c>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row>
    <row r="69" spans="1:154" s="61" customFormat="1" ht="40.049999999999997" customHeight="1" x14ac:dyDescent="0.35">
      <c r="A69" s="102"/>
      <c r="B69" s="102"/>
      <c r="C69" s="102"/>
      <c r="D69" s="102"/>
      <c r="E69" s="102"/>
      <c r="F69" s="102"/>
      <c r="G69" s="102"/>
      <c r="H69" s="102"/>
      <c r="I69" s="102"/>
      <c r="J69" s="102"/>
      <c r="K69" s="102"/>
      <c r="L69" s="102"/>
      <c r="M69" s="102"/>
      <c r="N69" s="103" t="s">
        <v>159</v>
      </c>
      <c r="O69" s="102"/>
      <c r="P69" s="102"/>
      <c r="Q69" s="102"/>
      <c r="R69" s="105">
        <f t="shared" ref="R69:W69" si="0">SUM(R11:R67)</f>
        <v>379462.75</v>
      </c>
      <c r="S69" s="105">
        <f t="shared" si="0"/>
        <v>45</v>
      </c>
      <c r="T69" s="105">
        <f t="shared" si="0"/>
        <v>4576219</v>
      </c>
      <c r="U69" s="105">
        <f t="shared" si="0"/>
        <v>7182020</v>
      </c>
      <c r="V69" s="105">
        <f t="shared" si="0"/>
        <v>25492607</v>
      </c>
      <c r="W69" s="105">
        <f t="shared" si="0"/>
        <v>1</v>
      </c>
      <c r="X69" s="105">
        <f>SUM(X11:X67)</f>
        <v>12000</v>
      </c>
      <c r="Y69" s="105">
        <f t="shared" ref="Y69:BB69" si="1">SUM(Y11:Y67)</f>
        <v>818182</v>
      </c>
      <c r="Z69" s="105">
        <f t="shared" si="1"/>
        <v>862459</v>
      </c>
      <c r="AA69" s="105">
        <f t="shared" si="1"/>
        <v>80160</v>
      </c>
      <c r="AB69" s="105">
        <f t="shared" si="1"/>
        <v>1210262</v>
      </c>
      <c r="AC69" s="105">
        <f t="shared" si="1"/>
        <v>917429</v>
      </c>
      <c r="AD69" s="105">
        <f t="shared" si="1"/>
        <v>1681527</v>
      </c>
      <c r="AE69" s="105">
        <f t="shared" si="1"/>
        <v>71248</v>
      </c>
      <c r="AF69" s="105">
        <f t="shared" si="1"/>
        <v>144552</v>
      </c>
      <c r="AG69" s="105">
        <f t="shared" si="1"/>
        <v>40444</v>
      </c>
      <c r="AH69" s="105">
        <f t="shared" si="1"/>
        <v>428822</v>
      </c>
      <c r="AI69" s="105">
        <f t="shared" si="1"/>
        <v>49639</v>
      </c>
      <c r="AJ69" s="105">
        <f t="shared" si="1"/>
        <v>0</v>
      </c>
      <c r="AK69" s="105">
        <f t="shared" si="1"/>
        <v>1140828</v>
      </c>
      <c r="AL69" s="105">
        <f t="shared" si="1"/>
        <v>902666</v>
      </c>
      <c r="AM69" s="105">
        <f t="shared" si="1"/>
        <v>488364</v>
      </c>
      <c r="AN69" s="105">
        <f t="shared" si="1"/>
        <v>492019</v>
      </c>
      <c r="AO69" s="105">
        <f t="shared" si="1"/>
        <v>25125</v>
      </c>
      <c r="AP69" s="105">
        <f t="shared" si="1"/>
        <v>1208946</v>
      </c>
      <c r="AQ69" s="105">
        <f t="shared" si="1"/>
        <v>46140</v>
      </c>
      <c r="AR69" s="105">
        <f t="shared" si="1"/>
        <v>536467</v>
      </c>
      <c r="AS69" s="105">
        <f t="shared" si="1"/>
        <v>1173567</v>
      </c>
      <c r="AT69" s="105">
        <f t="shared" si="1"/>
        <v>2549126</v>
      </c>
      <c r="AU69" s="105">
        <f t="shared" si="1"/>
        <v>220612</v>
      </c>
      <c r="AV69" s="105">
        <f t="shared" si="1"/>
        <v>2536033</v>
      </c>
      <c r="AW69" s="105">
        <f t="shared" si="1"/>
        <v>285952</v>
      </c>
      <c r="AX69" s="105">
        <f t="shared" si="1"/>
        <v>4338821</v>
      </c>
      <c r="AY69" s="105">
        <f t="shared" si="1"/>
        <v>35442</v>
      </c>
      <c r="AZ69" s="105">
        <f t="shared" si="1"/>
        <v>373571</v>
      </c>
      <c r="BA69" s="105">
        <f t="shared" si="1"/>
        <v>1463126</v>
      </c>
      <c r="BB69" s="105">
        <f t="shared" si="1"/>
        <v>1359078</v>
      </c>
      <c r="BC69" s="68">
        <f>SUM(X69:BB69)</f>
        <v>25492607</v>
      </c>
    </row>
    <row r="70" spans="1:154" x14ac:dyDescent="0.3">
      <c r="V70" s="78">
        <f>+Total_Study_Expenditures-BC69</f>
        <v>0</v>
      </c>
    </row>
  </sheetData>
  <mergeCells count="3">
    <mergeCell ref="P7:Q7"/>
    <mergeCell ref="R7:U7"/>
    <mergeCell ref="P8:Q8"/>
  </mergeCells>
  <conditionalFormatting sqref="B8:B10">
    <cfRule type="expression" dxfId="9" priority="22" stopIfTrue="1">
      <formula>AND(NOT(ISBLANK(#REF!)))</formula>
    </cfRule>
  </conditionalFormatting>
  <conditionalFormatting sqref="C8:C10">
    <cfRule type="expression" dxfId="8" priority="19" stopIfTrue="1">
      <formula>AND(NOT(ISBLANK(XFD8)))</formula>
    </cfRule>
  </conditionalFormatting>
  <conditionalFormatting sqref="D8:D10">
    <cfRule type="expression" dxfId="7" priority="15" stopIfTrue="1">
      <formula>AND(NOT(ISBLANK(XFD8)))</formula>
    </cfRule>
  </conditionalFormatting>
  <conditionalFormatting sqref="D10">
    <cfRule type="expression" dxfId="6" priority="18" stopIfTrue="1">
      <formula>ISNA(D10)</formula>
    </cfRule>
  </conditionalFormatting>
  <conditionalFormatting sqref="E8:E10">
    <cfRule type="expression" dxfId="5" priority="12" stopIfTrue="1">
      <formula>AND(NOT(ISBLANK(XFD8)))</formula>
    </cfRule>
  </conditionalFormatting>
  <conditionalFormatting sqref="F8:F10">
    <cfRule type="expression" dxfId="4" priority="9" stopIfTrue="1">
      <formula>AND(NOT(ISBLANK(XFB8)))</formula>
    </cfRule>
  </conditionalFormatting>
  <conditionalFormatting sqref="G8:G10">
    <cfRule type="expression" dxfId="3" priority="6" stopIfTrue="1">
      <formula>AND(NOT(ISBLANK(XEY8)))</formula>
    </cfRule>
  </conditionalFormatting>
  <conditionalFormatting sqref="H8:I10">
    <cfRule type="expression" dxfId="2" priority="3" stopIfTrue="1">
      <formula>AND(NOT(ISBLANK(XET8)))</formula>
    </cfRule>
  </conditionalFormatting>
  <conditionalFormatting sqref="J10">
    <cfRule type="duplicateValues" dxfId="1" priority="2" stopIfTrue="1"/>
  </conditionalFormatting>
  <conditionalFormatting sqref="R7">
    <cfRule type="expression" dxfId="0" priority="1">
      <formula>CELL("width",Print_Hide_PercentDollars)=0</formula>
    </cfRule>
  </conditionalFormatting>
  <pageMargins left="0.7" right="0.7" top="0.75" bottom="0.75" header="0.3" footer="0.3"/>
  <pageSetup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F7474-EA20-9247-BA9B-4E1E54FA82BF}">
  <sheetPr>
    <pageSetUpPr fitToPage="1"/>
  </sheetPr>
  <dimension ref="A1:AJ191"/>
  <sheetViews>
    <sheetView zoomScale="70" zoomScaleNormal="70" workbookViewId="0">
      <selection activeCell="AG91" sqref="AG91"/>
    </sheetView>
  </sheetViews>
  <sheetFormatPr defaultColWidth="8.796875" defaultRowHeight="14.4" x14ac:dyDescent="0.3"/>
  <cols>
    <col min="1" max="1" width="7.296875" style="1" customWidth="1"/>
    <col min="2" max="2" width="7.19921875" style="1" customWidth="1"/>
    <col min="3" max="3" width="46.5" style="1" customWidth="1"/>
    <col min="4" max="20" width="13.796875" style="1" customWidth="1"/>
    <col min="21" max="16384" width="8.796875" style="1"/>
  </cols>
  <sheetData>
    <row r="1" spans="1:20" ht="30" x14ac:dyDescent="0.5">
      <c r="A1" s="228"/>
      <c r="B1" s="228"/>
      <c r="C1" s="229" t="s">
        <v>212</v>
      </c>
      <c r="D1" s="230"/>
      <c r="E1" s="230"/>
      <c r="F1" s="231"/>
      <c r="G1" s="231"/>
      <c r="H1" s="231"/>
      <c r="I1" s="231"/>
      <c r="J1" s="231"/>
      <c r="K1" s="2"/>
      <c r="L1" s="2"/>
      <c r="M1" s="2"/>
      <c r="N1" s="2"/>
      <c r="O1" s="2"/>
      <c r="P1" s="2"/>
      <c r="Q1" s="2"/>
      <c r="R1" s="2"/>
      <c r="S1" s="2"/>
      <c r="T1" s="2"/>
    </row>
    <row r="2" spans="1:20" ht="30" x14ac:dyDescent="0.5">
      <c r="A2" s="228"/>
      <c r="B2" s="228"/>
      <c r="C2" s="232" t="s">
        <v>42</v>
      </c>
      <c r="D2" s="233"/>
      <c r="E2" s="234" t="s">
        <v>42</v>
      </c>
      <c r="F2" s="231"/>
      <c r="G2" s="231"/>
      <c r="H2" s="231"/>
      <c r="I2" s="231"/>
      <c r="J2" s="231"/>
      <c r="K2" s="2"/>
      <c r="L2" s="2"/>
      <c r="M2" s="2"/>
      <c r="N2" s="2"/>
      <c r="O2" s="2"/>
      <c r="P2" s="2"/>
      <c r="Q2" s="2"/>
      <c r="R2" s="2"/>
      <c r="S2" s="2"/>
      <c r="T2" s="2"/>
    </row>
    <row r="3" spans="1:20" ht="20.399999999999999" x14ac:dyDescent="0.35">
      <c r="A3" s="235"/>
      <c r="B3" s="235"/>
      <c r="C3" s="236" t="s">
        <v>213</v>
      </c>
      <c r="D3" s="237"/>
      <c r="E3" s="238" t="s">
        <v>42</v>
      </c>
      <c r="F3" s="2"/>
      <c r="G3" s="2"/>
      <c r="H3" s="2"/>
      <c r="I3" s="2"/>
      <c r="J3" s="2"/>
      <c r="K3" s="2"/>
      <c r="L3" s="2"/>
      <c r="M3" s="2"/>
      <c r="N3" s="2"/>
      <c r="O3" s="2"/>
      <c r="P3" s="2"/>
      <c r="Q3" s="2"/>
      <c r="R3" s="2"/>
      <c r="S3" s="2"/>
      <c r="T3" s="2"/>
    </row>
    <row r="4" spans="1:20" ht="20.399999999999999" x14ac:dyDescent="0.35">
      <c r="A4" s="239"/>
      <c r="B4" s="239"/>
      <c r="C4" s="240" t="s">
        <v>207</v>
      </c>
      <c r="D4" s="241"/>
      <c r="E4" s="235"/>
      <c r="F4" s="3"/>
      <c r="G4" s="242"/>
      <c r="H4" s="242"/>
      <c r="I4" s="242"/>
      <c r="J4" s="242"/>
      <c r="K4" s="2"/>
      <c r="L4" s="2"/>
      <c r="M4" s="2"/>
      <c r="N4" s="2"/>
      <c r="O4" s="2"/>
      <c r="P4" s="2"/>
      <c r="Q4" s="2"/>
      <c r="R4" s="2"/>
      <c r="S4" s="2"/>
      <c r="T4" s="2"/>
    </row>
    <row r="5" spans="1:20" ht="20.399999999999999" x14ac:dyDescent="0.35">
      <c r="A5" s="239" t="s">
        <v>19</v>
      </c>
      <c r="B5" s="239"/>
      <c r="C5" s="240" t="s">
        <v>209</v>
      </c>
      <c r="D5" s="235"/>
      <c r="E5" s="235"/>
      <c r="F5" s="243" t="s">
        <v>214</v>
      </c>
      <c r="G5" s="235"/>
      <c r="H5" s="235"/>
      <c r="I5" s="235"/>
      <c r="J5" s="235"/>
      <c r="K5" s="2"/>
      <c r="L5" s="2"/>
      <c r="M5" s="2"/>
      <c r="N5" s="2"/>
      <c r="O5" s="2"/>
      <c r="P5" s="2"/>
      <c r="Q5" s="2"/>
      <c r="R5" s="2"/>
      <c r="S5" s="2"/>
      <c r="T5" s="2"/>
    </row>
    <row r="6" spans="1:20" ht="21" thickBot="1" x14ac:dyDescent="0.4">
      <c r="A6" s="239"/>
      <c r="B6" s="239"/>
      <c r="C6" s="244" t="s">
        <v>1</v>
      </c>
      <c r="D6" s="241"/>
      <c r="E6" s="245">
        <v>2023</v>
      </c>
      <c r="F6" s="246">
        <v>2024</v>
      </c>
      <c r="G6" s="246">
        <v>2025</v>
      </c>
      <c r="H6" s="246">
        <v>2026</v>
      </c>
      <c r="I6" s="246">
        <v>2027</v>
      </c>
      <c r="J6" s="246">
        <v>2028</v>
      </c>
      <c r="K6" s="246">
        <v>2029</v>
      </c>
      <c r="L6" s="246">
        <v>2030</v>
      </c>
      <c r="M6" s="246">
        <v>2031</v>
      </c>
      <c r="N6" s="246">
        <v>2032</v>
      </c>
      <c r="O6" s="246">
        <v>2033</v>
      </c>
      <c r="P6" s="246">
        <v>2034</v>
      </c>
      <c r="Q6" s="246">
        <v>2035</v>
      </c>
      <c r="R6" s="246">
        <v>2036</v>
      </c>
      <c r="S6" s="246">
        <v>2037</v>
      </c>
      <c r="T6" s="246">
        <v>2038</v>
      </c>
    </row>
    <row r="7" spans="1:20" ht="18" x14ac:dyDescent="0.35">
      <c r="A7" s="239"/>
      <c r="B7" s="247" t="s">
        <v>215</v>
      </c>
      <c r="C7" s="248"/>
      <c r="D7" s="249" t="s">
        <v>216</v>
      </c>
      <c r="E7" s="250" t="e">
        <f>IF(Reserve_Balance_Projected?="Yes","N/A",Funding_Plan_Balance)</f>
        <v>#REF!</v>
      </c>
      <c r="F7" s="251" t="e">
        <f t="shared" ref="F7:T7" si="0">E16</f>
        <v>#REF!</v>
      </c>
      <c r="G7" s="251" t="e">
        <f t="shared" si="0"/>
        <v>#REF!</v>
      </c>
      <c r="H7" s="251" t="e">
        <f t="shared" si="0"/>
        <v>#REF!</v>
      </c>
      <c r="I7" s="251" t="e">
        <f t="shared" si="0"/>
        <v>#REF!</v>
      </c>
      <c r="J7" s="251" t="e">
        <f t="shared" si="0"/>
        <v>#REF!</v>
      </c>
      <c r="K7" s="251" t="e">
        <f t="shared" si="0"/>
        <v>#REF!</v>
      </c>
      <c r="L7" s="251" t="e">
        <f t="shared" si="0"/>
        <v>#REF!</v>
      </c>
      <c r="M7" s="251" t="e">
        <f t="shared" si="0"/>
        <v>#REF!</v>
      </c>
      <c r="N7" s="251" t="e">
        <f t="shared" si="0"/>
        <v>#REF!</v>
      </c>
      <c r="O7" s="251" t="e">
        <f t="shared" si="0"/>
        <v>#REF!</v>
      </c>
      <c r="P7" s="251" t="e">
        <f t="shared" si="0"/>
        <v>#REF!</v>
      </c>
      <c r="Q7" s="251" t="e">
        <f t="shared" si="0"/>
        <v>#REF!</v>
      </c>
      <c r="R7" s="251" t="e">
        <f t="shared" si="0"/>
        <v>#REF!</v>
      </c>
      <c r="S7" s="251" t="e">
        <f t="shared" si="0"/>
        <v>#REF!</v>
      </c>
      <c r="T7" s="251" t="e">
        <f t="shared" si="0"/>
        <v>#REF!</v>
      </c>
    </row>
    <row r="8" spans="1:20" ht="18" x14ac:dyDescent="0.35">
      <c r="A8" s="239"/>
      <c r="B8" s="252"/>
      <c r="C8" s="253" t="s">
        <v>217</v>
      </c>
      <c r="D8" s="254"/>
      <c r="E8" s="255" t="e">
        <f>IF(Reserve_Balance_Projected?="Yes","N/A",Funding_Plan_CurrentContrib/Frequency_of_Contributions_Number*Remaining_Budgeted_Months)</f>
        <v>#REF!</v>
      </c>
      <c r="F8" s="255" t="e">
        <f>IF(First_Year_of_Recommendation=Current_Fiscal_Year+2,E160,E161)</f>
        <v>#REF!</v>
      </c>
      <c r="G8" s="255">
        <v>750000</v>
      </c>
      <c r="H8" s="255">
        <v>776200</v>
      </c>
      <c r="I8" s="255">
        <v>803400</v>
      </c>
      <c r="J8" s="255">
        <v>831500</v>
      </c>
      <c r="K8" s="255">
        <v>860600</v>
      </c>
      <c r="L8" s="255">
        <v>560000</v>
      </c>
      <c r="M8" s="255">
        <v>579600</v>
      </c>
      <c r="N8" s="255">
        <v>599900</v>
      </c>
      <c r="O8" s="255">
        <v>620900</v>
      </c>
      <c r="P8" s="255">
        <v>642600</v>
      </c>
      <c r="Q8" s="255">
        <v>665100</v>
      </c>
      <c r="R8" s="255">
        <v>688400</v>
      </c>
      <c r="S8" s="255">
        <v>712500</v>
      </c>
      <c r="T8" s="255">
        <v>737400</v>
      </c>
    </row>
    <row r="9" spans="1:20" ht="18" x14ac:dyDescent="0.35">
      <c r="A9" s="239"/>
      <c r="B9" s="253"/>
      <c r="C9" s="253" t="s">
        <v>218</v>
      </c>
      <c r="D9" s="256"/>
      <c r="E9" s="257" t="s">
        <v>42</v>
      </c>
      <c r="F9" s="257" t="s">
        <v>42</v>
      </c>
      <c r="G9" s="257" t="s">
        <v>42</v>
      </c>
      <c r="H9" s="257" t="s">
        <v>42</v>
      </c>
      <c r="I9" s="257" t="s">
        <v>42</v>
      </c>
      <c r="J9" s="257" t="s">
        <v>42</v>
      </c>
      <c r="K9" s="257" t="s">
        <v>42</v>
      </c>
      <c r="L9" s="257" t="s">
        <v>42</v>
      </c>
      <c r="M9" s="257" t="s">
        <v>42</v>
      </c>
      <c r="N9" s="257" t="s">
        <v>42</v>
      </c>
      <c r="O9" s="257" t="s">
        <v>42</v>
      </c>
      <c r="P9" s="257" t="s">
        <v>42</v>
      </c>
      <c r="Q9" s="257" t="s">
        <v>42</v>
      </c>
      <c r="R9" s="257" t="s">
        <v>42</v>
      </c>
      <c r="S9" s="257" t="s">
        <v>42</v>
      </c>
      <c r="T9" s="257" t="s">
        <v>42</v>
      </c>
    </row>
    <row r="10" spans="1:20" ht="18" x14ac:dyDescent="0.35">
      <c r="A10" s="239"/>
      <c r="B10" s="258"/>
      <c r="C10" s="258" t="s">
        <v>219</v>
      </c>
      <c r="D10" s="256"/>
      <c r="E10" s="257" t="s">
        <v>42</v>
      </c>
      <c r="F10" s="257" t="s">
        <v>42</v>
      </c>
      <c r="G10" s="257" t="s">
        <v>42</v>
      </c>
      <c r="H10" s="257" t="s">
        <v>42</v>
      </c>
      <c r="I10" s="257" t="s">
        <v>42</v>
      </c>
      <c r="J10" s="257" t="s">
        <v>42</v>
      </c>
      <c r="K10" s="257" t="s">
        <v>42</v>
      </c>
      <c r="L10" s="257" t="s">
        <v>42</v>
      </c>
      <c r="M10" s="257" t="s">
        <v>42</v>
      </c>
      <c r="N10" s="257" t="s">
        <v>42</v>
      </c>
      <c r="O10" s="257" t="s">
        <v>42</v>
      </c>
      <c r="P10" s="257" t="s">
        <v>42</v>
      </c>
      <c r="Q10" s="257" t="s">
        <v>42</v>
      </c>
      <c r="R10" s="257" t="s">
        <v>42</v>
      </c>
      <c r="S10" s="257" t="s">
        <v>42</v>
      </c>
      <c r="T10" s="257" t="s">
        <v>42</v>
      </c>
    </row>
    <row r="11" spans="1:20" ht="18" x14ac:dyDescent="0.35">
      <c r="A11" s="239"/>
      <c r="B11" s="254" t="s">
        <v>220</v>
      </c>
      <c r="C11" s="254"/>
      <c r="D11" s="259" t="s">
        <v>221</v>
      </c>
      <c r="E11" s="260" t="e">
        <f>IF(Reserve_Balance_Projected?="Yes","N/A",SUM(E8,E9,E10))</f>
        <v>#REF!</v>
      </c>
      <c r="F11" s="260" t="e">
        <f t="shared" ref="F11:T11" si="1">SUM(F8,F9,F10)</f>
        <v>#REF!</v>
      </c>
      <c r="G11" s="260">
        <f t="shared" si="1"/>
        <v>750000</v>
      </c>
      <c r="H11" s="260">
        <f t="shared" si="1"/>
        <v>776200</v>
      </c>
      <c r="I11" s="260">
        <f t="shared" si="1"/>
        <v>803400</v>
      </c>
      <c r="J11" s="260">
        <f t="shared" si="1"/>
        <v>831500</v>
      </c>
      <c r="K11" s="260">
        <f t="shared" si="1"/>
        <v>860600</v>
      </c>
      <c r="L11" s="260">
        <f t="shared" si="1"/>
        <v>560000</v>
      </c>
      <c r="M11" s="260">
        <f t="shared" si="1"/>
        <v>579600</v>
      </c>
      <c r="N11" s="260">
        <f t="shared" si="1"/>
        <v>599900</v>
      </c>
      <c r="O11" s="260">
        <f t="shared" si="1"/>
        <v>620900</v>
      </c>
      <c r="P11" s="260">
        <f t="shared" si="1"/>
        <v>642600</v>
      </c>
      <c r="Q11" s="260">
        <f t="shared" si="1"/>
        <v>665100</v>
      </c>
      <c r="R11" s="260">
        <f t="shared" si="1"/>
        <v>688400</v>
      </c>
      <c r="S11" s="260">
        <f t="shared" si="1"/>
        <v>712500</v>
      </c>
      <c r="T11" s="260">
        <f t="shared" si="1"/>
        <v>737400</v>
      </c>
    </row>
    <row r="12" spans="1:20" ht="18" x14ac:dyDescent="0.35">
      <c r="A12" s="239"/>
      <c r="B12" s="261" t="s">
        <v>222</v>
      </c>
      <c r="C12" s="262"/>
      <c r="D12" s="263"/>
      <c r="E12" s="264" t="e">
        <f t="shared" ref="E12:T12" si="2">Interest</f>
        <v>#NAME?</v>
      </c>
      <c r="F12" s="264" t="e">
        <f t="shared" si="2"/>
        <v>#NAME?</v>
      </c>
      <c r="G12" s="264" t="e">
        <f t="shared" si="2"/>
        <v>#NAME?</v>
      </c>
      <c r="H12" s="264" t="e">
        <f t="shared" si="2"/>
        <v>#NAME?</v>
      </c>
      <c r="I12" s="264" t="e">
        <f t="shared" si="2"/>
        <v>#NAME?</v>
      </c>
      <c r="J12" s="264" t="e">
        <f t="shared" si="2"/>
        <v>#NAME?</v>
      </c>
      <c r="K12" s="264" t="e">
        <f t="shared" si="2"/>
        <v>#NAME?</v>
      </c>
      <c r="L12" s="264" t="e">
        <f t="shared" si="2"/>
        <v>#NAME?</v>
      </c>
      <c r="M12" s="264" t="e">
        <f t="shared" si="2"/>
        <v>#NAME?</v>
      </c>
      <c r="N12" s="264" t="e">
        <f t="shared" si="2"/>
        <v>#NAME?</v>
      </c>
      <c r="O12" s="264" t="e">
        <f t="shared" si="2"/>
        <v>#NAME?</v>
      </c>
      <c r="P12" s="264" t="e">
        <f t="shared" si="2"/>
        <v>#NAME?</v>
      </c>
      <c r="Q12" s="264" t="e">
        <f t="shared" si="2"/>
        <v>#NAME?</v>
      </c>
      <c r="R12" s="264" t="e">
        <f t="shared" si="2"/>
        <v>#NAME?</v>
      </c>
      <c r="S12" s="264" t="e">
        <f t="shared" si="2"/>
        <v>#NAME?</v>
      </c>
      <c r="T12" s="264" t="e">
        <f t="shared" si="2"/>
        <v>#NAME?</v>
      </c>
    </row>
    <row r="13" spans="1:20" ht="18" x14ac:dyDescent="0.35">
      <c r="A13" s="239"/>
      <c r="B13" s="265" t="s">
        <v>223</v>
      </c>
      <c r="C13" s="266"/>
      <c r="D13" s="267" t="s">
        <v>224</v>
      </c>
      <c r="E13" s="268" t="e">
        <f>IF(Reserve_Balance_Projected?="Yes","N/A",ROUND(E12*(E7+E14/2+E11/2)*(Remaining_Interest_Months/12),0))</f>
        <v>#REF!</v>
      </c>
      <c r="F13" s="269" t="e">
        <f t="shared" ref="F13:T13" si="3">ROUND(F12*(F7+F14/2+F11/2),0)</f>
        <v>#NAME?</v>
      </c>
      <c r="G13" s="269" t="e">
        <f t="shared" si="3"/>
        <v>#NAME?</v>
      </c>
      <c r="H13" s="269" t="e">
        <f t="shared" si="3"/>
        <v>#NAME?</v>
      </c>
      <c r="I13" s="269" t="e">
        <f t="shared" si="3"/>
        <v>#NAME?</v>
      </c>
      <c r="J13" s="269" t="e">
        <f t="shared" si="3"/>
        <v>#NAME?</v>
      </c>
      <c r="K13" s="269" t="e">
        <f t="shared" si="3"/>
        <v>#NAME?</v>
      </c>
      <c r="L13" s="269" t="e">
        <f t="shared" si="3"/>
        <v>#NAME?</v>
      </c>
      <c r="M13" s="269" t="e">
        <f t="shared" si="3"/>
        <v>#NAME?</v>
      </c>
      <c r="N13" s="269" t="e">
        <f t="shared" si="3"/>
        <v>#NAME?</v>
      </c>
      <c r="O13" s="269" t="e">
        <f t="shared" si="3"/>
        <v>#NAME?</v>
      </c>
      <c r="P13" s="269" t="e">
        <f t="shared" si="3"/>
        <v>#NAME?</v>
      </c>
      <c r="Q13" s="269" t="e">
        <f t="shared" si="3"/>
        <v>#NAME?</v>
      </c>
      <c r="R13" s="269" t="e">
        <f t="shared" si="3"/>
        <v>#NAME?</v>
      </c>
      <c r="S13" s="269" t="e">
        <f t="shared" si="3"/>
        <v>#NAME?</v>
      </c>
      <c r="T13" s="269" t="e">
        <f t="shared" si="3"/>
        <v>#NAME?</v>
      </c>
    </row>
    <row r="14" spans="1:20" ht="18" x14ac:dyDescent="0.35">
      <c r="A14" s="239"/>
      <c r="B14" s="241" t="s">
        <v>225</v>
      </c>
      <c r="C14" s="270"/>
      <c r="D14" s="271"/>
      <c r="E14" s="272" t="e">
        <f>IF(Reserve_Balance_Projected?="Yes","N/A",-expenditures0)</f>
        <v>#REF!</v>
      </c>
      <c r="F14" s="272" t="e">
        <f>-expenditures1</f>
        <v>#REF!</v>
      </c>
      <c r="G14" s="272" t="e">
        <f>-expenditures2</f>
        <v>#REF!</v>
      </c>
      <c r="H14" s="272" t="e">
        <f>-expenditures3</f>
        <v>#REF!</v>
      </c>
      <c r="I14" s="272" t="e">
        <f>-expenditures4</f>
        <v>#REF!</v>
      </c>
      <c r="J14" s="272" t="e">
        <f>-expenditures5</f>
        <v>#REF!</v>
      </c>
      <c r="K14" s="272" t="e">
        <f>-expenditures6</f>
        <v>#REF!</v>
      </c>
      <c r="L14" s="272" t="e">
        <f>-expenditures7</f>
        <v>#REF!</v>
      </c>
      <c r="M14" s="272" t="e">
        <f>-expenditures8</f>
        <v>#REF!</v>
      </c>
      <c r="N14" s="272" t="e">
        <f>-expenditures9</f>
        <v>#REF!</v>
      </c>
      <c r="O14" s="272" t="e">
        <f>-expenditures10</f>
        <v>#REF!</v>
      </c>
      <c r="P14" s="272" t="e">
        <f>-expenditures11</f>
        <v>#REF!</v>
      </c>
      <c r="Q14" s="272" t="e">
        <f>-expenditures12</f>
        <v>#REF!</v>
      </c>
      <c r="R14" s="272" t="e">
        <f>-expenditures13</f>
        <v>#REF!</v>
      </c>
      <c r="S14" s="272" t="e">
        <f>-expenditures14</f>
        <v>#REF!</v>
      </c>
      <c r="T14" s="272" t="e">
        <f>-expenditures15</f>
        <v>#REF!</v>
      </c>
    </row>
    <row r="15" spans="1:20" ht="18" x14ac:dyDescent="0.35">
      <c r="A15" s="239"/>
      <c r="B15" s="273"/>
      <c r="C15" s="270"/>
      <c r="D15" s="274"/>
      <c r="E15" s="275" t="s">
        <v>36</v>
      </c>
      <c r="F15" s="275" t="s">
        <v>36</v>
      </c>
      <c r="G15" s="275" t="s">
        <v>36</v>
      </c>
      <c r="H15" s="275" t="s">
        <v>36</v>
      </c>
      <c r="I15" s="275" t="s">
        <v>36</v>
      </c>
      <c r="J15" s="275" t="s">
        <v>36</v>
      </c>
      <c r="K15" s="275" t="s">
        <v>36</v>
      </c>
      <c r="L15" s="275" t="s">
        <v>36</v>
      </c>
      <c r="M15" s="275" t="s">
        <v>36</v>
      </c>
      <c r="N15" s="275" t="s">
        <v>36</v>
      </c>
      <c r="O15" s="275" t="s">
        <v>36</v>
      </c>
      <c r="P15" s="275" t="s">
        <v>36</v>
      </c>
      <c r="Q15" s="275" t="s">
        <v>36</v>
      </c>
      <c r="R15" s="275" t="s">
        <v>36</v>
      </c>
      <c r="S15" s="275" t="s">
        <v>36</v>
      </c>
      <c r="T15" s="275" t="s">
        <v>36</v>
      </c>
    </row>
    <row r="16" spans="1:20" ht="18" x14ac:dyDescent="0.35">
      <c r="A16" s="239"/>
      <c r="B16" s="241" t="s">
        <v>226</v>
      </c>
      <c r="C16" s="270"/>
      <c r="D16" s="276"/>
      <c r="E16" s="277" t="e">
        <f>IF(Reserve_Balance_Projected?="Yes",Funding_Plan_Balance,SUM(E7,E11,E13,E14))</f>
        <v>#REF!</v>
      </c>
      <c r="F16" s="277" t="e">
        <f t="shared" ref="F16:T16" si="4">SUM(F7,F11,F13,F14)</f>
        <v>#REF!</v>
      </c>
      <c r="G16" s="277" t="e">
        <f t="shared" si="4"/>
        <v>#REF!</v>
      </c>
      <c r="H16" s="277" t="e">
        <f t="shared" si="4"/>
        <v>#REF!</v>
      </c>
      <c r="I16" s="277" t="e">
        <f t="shared" si="4"/>
        <v>#REF!</v>
      </c>
      <c r="J16" s="277" t="e">
        <f t="shared" si="4"/>
        <v>#REF!</v>
      </c>
      <c r="K16" s="277" t="e">
        <f t="shared" si="4"/>
        <v>#REF!</v>
      </c>
      <c r="L16" s="277" t="e">
        <f t="shared" si="4"/>
        <v>#REF!</v>
      </c>
      <c r="M16" s="277" t="e">
        <f t="shared" si="4"/>
        <v>#REF!</v>
      </c>
      <c r="N16" s="277" t="e">
        <f t="shared" si="4"/>
        <v>#REF!</v>
      </c>
      <c r="O16" s="277" t="e">
        <f t="shared" si="4"/>
        <v>#REF!</v>
      </c>
      <c r="P16" s="277" t="e">
        <f t="shared" si="4"/>
        <v>#REF!</v>
      </c>
      <c r="Q16" s="277" t="e">
        <f t="shared" si="4"/>
        <v>#REF!</v>
      </c>
      <c r="R16" s="277" t="e">
        <f t="shared" si="4"/>
        <v>#REF!</v>
      </c>
      <c r="S16" s="277" t="e">
        <f t="shared" si="4"/>
        <v>#REF!</v>
      </c>
      <c r="T16" s="277" t="e">
        <f t="shared" si="4"/>
        <v>#REF!</v>
      </c>
    </row>
    <row r="17" spans="1:20" ht="18" x14ac:dyDescent="0.35">
      <c r="A17" s="278"/>
      <c r="B17" s="278"/>
      <c r="C17" s="235"/>
      <c r="D17" s="276"/>
      <c r="E17" s="279" t="s">
        <v>42</v>
      </c>
      <c r="F17" s="279" t="s">
        <v>42</v>
      </c>
      <c r="G17" s="279" t="s">
        <v>42</v>
      </c>
      <c r="H17" s="279" t="s">
        <v>42</v>
      </c>
      <c r="I17" s="279" t="s">
        <v>42</v>
      </c>
      <c r="J17" s="279" t="s">
        <v>42</v>
      </c>
      <c r="K17" s="279" t="s">
        <v>227</v>
      </c>
      <c r="L17" s="279" t="s">
        <v>42</v>
      </c>
      <c r="M17" s="279" t="s">
        <v>42</v>
      </c>
      <c r="N17" s="279" t="s">
        <v>42</v>
      </c>
      <c r="O17" s="279" t="s">
        <v>42</v>
      </c>
      <c r="P17" s="279" t="s">
        <v>42</v>
      </c>
      <c r="Q17" s="279" t="s">
        <v>42</v>
      </c>
      <c r="R17" s="279" t="s">
        <v>42</v>
      </c>
      <c r="S17" s="279" t="s">
        <v>42</v>
      </c>
      <c r="T17" s="279" t="s">
        <v>42</v>
      </c>
    </row>
    <row r="18" spans="1:20" ht="18" x14ac:dyDescent="0.35">
      <c r="A18" s="278"/>
      <c r="B18" s="280"/>
      <c r="C18" s="281"/>
      <c r="D18" s="282"/>
      <c r="E18" s="283"/>
      <c r="F18" s="283"/>
      <c r="G18" s="283"/>
      <c r="H18" s="283"/>
      <c r="I18" s="283"/>
      <c r="J18" s="283"/>
      <c r="K18" s="283"/>
      <c r="L18" s="283"/>
      <c r="M18" s="283"/>
      <c r="N18" s="283"/>
      <c r="O18" s="283"/>
      <c r="P18" s="283"/>
      <c r="Q18" s="283" t="s">
        <v>42</v>
      </c>
      <c r="R18" s="283" t="s">
        <v>42</v>
      </c>
      <c r="S18" s="283" t="s">
        <v>42</v>
      </c>
      <c r="T18" s="283" t="s">
        <v>42</v>
      </c>
    </row>
    <row r="19" spans="1:20" ht="18" x14ac:dyDescent="0.35">
      <c r="A19" s="284"/>
      <c r="B19" s="284"/>
      <c r="C19" s="2"/>
      <c r="D19" s="2"/>
      <c r="E19" s="2"/>
      <c r="F19" s="2"/>
    </row>
    <row r="20" spans="1:20" ht="18" x14ac:dyDescent="0.35">
      <c r="A20" s="284"/>
      <c r="B20" s="284"/>
      <c r="C20" s="2"/>
      <c r="D20" s="2"/>
      <c r="E20" s="2"/>
      <c r="F20" s="2"/>
    </row>
    <row r="21" spans="1:20" ht="18" x14ac:dyDescent="0.35">
      <c r="A21" s="284"/>
      <c r="B21" s="284"/>
      <c r="C21" s="2"/>
      <c r="D21" s="2"/>
      <c r="E21" s="2"/>
      <c r="F21" s="2"/>
    </row>
    <row r="22" spans="1:20" ht="18" x14ac:dyDescent="0.35">
      <c r="A22" s="284"/>
      <c r="B22" s="284"/>
      <c r="C22" s="2"/>
      <c r="D22" s="2"/>
      <c r="E22" s="2"/>
      <c r="F22" s="2"/>
    </row>
    <row r="23" spans="1:20" ht="18" x14ac:dyDescent="0.35">
      <c r="A23" s="284"/>
      <c r="B23" s="284"/>
      <c r="C23" s="2"/>
      <c r="D23" s="2"/>
      <c r="E23" s="2"/>
      <c r="F23" s="2"/>
    </row>
    <row r="24" spans="1:20" ht="18" x14ac:dyDescent="0.35">
      <c r="A24" s="284"/>
      <c r="B24" s="284"/>
      <c r="C24" s="2"/>
      <c r="D24" s="2"/>
      <c r="E24" s="2"/>
      <c r="F24" s="2"/>
    </row>
    <row r="25" spans="1:20" ht="18" x14ac:dyDescent="0.35">
      <c r="A25" s="284"/>
      <c r="B25" s="284"/>
      <c r="C25" s="39"/>
      <c r="D25" s="2"/>
      <c r="E25" s="2"/>
      <c r="F25" s="2"/>
      <c r="G25" s="2"/>
      <c r="H25" s="2"/>
      <c r="I25" s="2"/>
      <c r="J25" s="285"/>
      <c r="K25" s="286"/>
      <c r="L25" s="287"/>
      <c r="M25" s="288"/>
      <c r="N25" s="289"/>
      <c r="O25" s="289"/>
      <c r="P25" s="289"/>
      <c r="Q25" s="289"/>
      <c r="R25" s="289"/>
      <c r="S25" s="289"/>
      <c r="T25" s="289"/>
    </row>
    <row r="26" spans="1:20" ht="18" x14ac:dyDescent="0.35">
      <c r="A26" s="278"/>
      <c r="B26" s="278"/>
      <c r="C26" s="47" t="s">
        <v>228</v>
      </c>
      <c r="D26" s="235"/>
      <c r="E26" s="235"/>
      <c r="F26" s="290" t="s">
        <v>229</v>
      </c>
      <c r="G26" s="291"/>
      <c r="H26" s="291"/>
      <c r="I26" s="291"/>
      <c r="J26" s="291"/>
      <c r="K26" s="291"/>
      <c r="L26" s="291"/>
      <c r="M26" s="291"/>
      <c r="N26" s="291"/>
      <c r="O26" s="291"/>
      <c r="P26" s="291"/>
      <c r="Q26" s="291"/>
      <c r="R26" s="291"/>
      <c r="S26" s="291"/>
      <c r="T26" s="291"/>
    </row>
    <row r="27" spans="1:20" ht="21" thickBot="1" x14ac:dyDescent="0.4">
      <c r="A27" s="284"/>
      <c r="B27" s="278"/>
      <c r="C27" s="292" t="s">
        <v>42</v>
      </c>
      <c r="D27" s="241"/>
      <c r="E27" s="293"/>
      <c r="F27" s="294">
        <v>2039</v>
      </c>
      <c r="G27" s="294">
        <v>2040</v>
      </c>
      <c r="H27" s="294">
        <v>2041</v>
      </c>
      <c r="I27" s="294">
        <v>2042</v>
      </c>
      <c r="J27" s="294">
        <v>2043</v>
      </c>
      <c r="K27" s="294">
        <v>2044</v>
      </c>
      <c r="L27" s="294">
        <v>2045</v>
      </c>
      <c r="M27" s="294">
        <v>2046</v>
      </c>
      <c r="N27" s="294">
        <v>2047</v>
      </c>
      <c r="O27" s="294">
        <v>2048</v>
      </c>
      <c r="P27" s="294">
        <v>2049</v>
      </c>
      <c r="Q27" s="294">
        <v>2050</v>
      </c>
      <c r="R27" s="294">
        <v>2051</v>
      </c>
      <c r="S27" s="294">
        <v>2052</v>
      </c>
      <c r="T27" s="294">
        <v>2053</v>
      </c>
    </row>
    <row r="28" spans="1:20" ht="18" x14ac:dyDescent="0.35">
      <c r="A28" s="284"/>
      <c r="B28" s="247" t="s">
        <v>215</v>
      </c>
      <c r="C28" s="248"/>
      <c r="D28" s="295"/>
      <c r="E28" s="296"/>
      <c r="F28" s="251" t="e">
        <f>T16</f>
        <v>#REF!</v>
      </c>
      <c r="G28" s="251" t="e">
        <f t="shared" ref="G28:T28" si="5">F37</f>
        <v>#REF!</v>
      </c>
      <c r="H28" s="251" t="e">
        <f t="shared" si="5"/>
        <v>#REF!</v>
      </c>
      <c r="I28" s="251" t="e">
        <f t="shared" si="5"/>
        <v>#REF!</v>
      </c>
      <c r="J28" s="251" t="e">
        <f t="shared" si="5"/>
        <v>#REF!</v>
      </c>
      <c r="K28" s="251" t="e">
        <f t="shared" si="5"/>
        <v>#REF!</v>
      </c>
      <c r="L28" s="251" t="e">
        <f t="shared" si="5"/>
        <v>#REF!</v>
      </c>
      <c r="M28" s="251" t="e">
        <f t="shared" si="5"/>
        <v>#REF!</v>
      </c>
      <c r="N28" s="251" t="e">
        <f t="shared" si="5"/>
        <v>#REF!</v>
      </c>
      <c r="O28" s="251" t="e">
        <f t="shared" si="5"/>
        <v>#REF!</v>
      </c>
      <c r="P28" s="251" t="e">
        <f t="shared" si="5"/>
        <v>#REF!</v>
      </c>
      <c r="Q28" s="251" t="e">
        <f t="shared" si="5"/>
        <v>#REF!</v>
      </c>
      <c r="R28" s="251" t="e">
        <f t="shared" si="5"/>
        <v>#REF!</v>
      </c>
      <c r="S28" s="251" t="e">
        <f t="shared" si="5"/>
        <v>#REF!</v>
      </c>
      <c r="T28" s="251" t="e">
        <f t="shared" si="5"/>
        <v>#REF!</v>
      </c>
    </row>
    <row r="29" spans="1:20" ht="18" x14ac:dyDescent="0.35">
      <c r="A29" s="284"/>
      <c r="B29" s="297"/>
      <c r="C29" s="253" t="s">
        <v>217</v>
      </c>
      <c r="D29" s="254"/>
      <c r="E29" s="298"/>
      <c r="F29" s="255">
        <v>763200</v>
      </c>
      <c r="G29" s="255">
        <v>789900</v>
      </c>
      <c r="H29" s="255">
        <v>817500</v>
      </c>
      <c r="I29" s="255">
        <v>846100</v>
      </c>
      <c r="J29" s="255">
        <v>875700</v>
      </c>
      <c r="K29" s="255">
        <v>906300</v>
      </c>
      <c r="L29" s="255">
        <v>938000</v>
      </c>
      <c r="M29" s="255">
        <v>970800</v>
      </c>
      <c r="N29" s="255">
        <v>1004800</v>
      </c>
      <c r="O29" s="255">
        <v>1040000</v>
      </c>
      <c r="P29" s="255">
        <v>1076400</v>
      </c>
      <c r="Q29" s="255">
        <v>1114100</v>
      </c>
      <c r="R29" s="255">
        <v>1153100</v>
      </c>
      <c r="S29" s="255">
        <v>1193500</v>
      </c>
      <c r="T29" s="255">
        <v>1235300</v>
      </c>
    </row>
    <row r="30" spans="1:20" ht="18" x14ac:dyDescent="0.35">
      <c r="A30" s="284"/>
      <c r="B30" s="253"/>
      <c r="C30" s="253" t="s">
        <v>218</v>
      </c>
      <c r="D30" s="256"/>
      <c r="E30" s="299"/>
      <c r="F30" s="257" t="s">
        <v>42</v>
      </c>
      <c r="G30" s="257" t="s">
        <v>42</v>
      </c>
      <c r="H30" s="257" t="s">
        <v>42</v>
      </c>
      <c r="I30" s="257" t="s">
        <v>42</v>
      </c>
      <c r="J30" s="257" t="s">
        <v>42</v>
      </c>
      <c r="K30" s="257" t="s">
        <v>42</v>
      </c>
      <c r="L30" s="257" t="s">
        <v>42</v>
      </c>
      <c r="M30" s="257" t="s">
        <v>42</v>
      </c>
      <c r="N30" s="257" t="s">
        <v>42</v>
      </c>
      <c r="O30" s="257" t="s">
        <v>42</v>
      </c>
      <c r="P30" s="257" t="s">
        <v>42</v>
      </c>
      <c r="Q30" s="257" t="s">
        <v>42</v>
      </c>
      <c r="R30" s="257" t="s">
        <v>42</v>
      </c>
      <c r="S30" s="257" t="s">
        <v>42</v>
      </c>
      <c r="T30" s="257" t="s">
        <v>42</v>
      </c>
    </row>
    <row r="31" spans="1:20" ht="18" x14ac:dyDescent="0.35">
      <c r="A31" s="284"/>
      <c r="B31" s="300"/>
      <c r="C31" s="253" t="s">
        <v>219</v>
      </c>
      <c r="D31" s="256"/>
      <c r="E31" s="299"/>
      <c r="F31" s="257" t="s">
        <v>42</v>
      </c>
      <c r="G31" s="257" t="s">
        <v>42</v>
      </c>
      <c r="H31" s="257" t="s">
        <v>42</v>
      </c>
      <c r="I31" s="257" t="s">
        <v>42</v>
      </c>
      <c r="J31" s="257" t="s">
        <v>42</v>
      </c>
      <c r="K31" s="257" t="s">
        <v>42</v>
      </c>
      <c r="L31" s="257" t="s">
        <v>42</v>
      </c>
      <c r="M31" s="257" t="s">
        <v>42</v>
      </c>
      <c r="N31" s="257" t="s">
        <v>42</v>
      </c>
      <c r="O31" s="257" t="s">
        <v>42</v>
      </c>
      <c r="P31" s="257" t="s">
        <v>42</v>
      </c>
      <c r="Q31" s="257" t="s">
        <v>42</v>
      </c>
      <c r="R31" s="257" t="s">
        <v>42</v>
      </c>
      <c r="S31" s="257" t="s">
        <v>42</v>
      </c>
      <c r="T31" s="257" t="s">
        <v>42</v>
      </c>
    </row>
    <row r="32" spans="1:20" ht="18" x14ac:dyDescent="0.35">
      <c r="A32" s="284"/>
      <c r="B32" s="301" t="s">
        <v>230</v>
      </c>
      <c r="C32" s="254"/>
      <c r="D32" s="254"/>
      <c r="E32" s="298"/>
      <c r="F32" s="260">
        <f t="shared" ref="F32:T32" si="6">SUM(F29,F30,F31)</f>
        <v>763200</v>
      </c>
      <c r="G32" s="260">
        <f t="shared" si="6"/>
        <v>789900</v>
      </c>
      <c r="H32" s="260">
        <f t="shared" si="6"/>
        <v>817500</v>
      </c>
      <c r="I32" s="260">
        <f t="shared" si="6"/>
        <v>846100</v>
      </c>
      <c r="J32" s="260">
        <f t="shared" si="6"/>
        <v>875700</v>
      </c>
      <c r="K32" s="260">
        <f t="shared" si="6"/>
        <v>906300</v>
      </c>
      <c r="L32" s="260">
        <f t="shared" si="6"/>
        <v>938000</v>
      </c>
      <c r="M32" s="260">
        <f t="shared" si="6"/>
        <v>970800</v>
      </c>
      <c r="N32" s="260">
        <f t="shared" si="6"/>
        <v>1004800</v>
      </c>
      <c r="O32" s="260">
        <f t="shared" si="6"/>
        <v>1040000</v>
      </c>
      <c r="P32" s="260">
        <f t="shared" si="6"/>
        <v>1076400</v>
      </c>
      <c r="Q32" s="260">
        <f t="shared" si="6"/>
        <v>1114100</v>
      </c>
      <c r="R32" s="260">
        <f t="shared" si="6"/>
        <v>1153100</v>
      </c>
      <c r="S32" s="260">
        <f t="shared" si="6"/>
        <v>1193500</v>
      </c>
      <c r="T32" s="260">
        <f t="shared" si="6"/>
        <v>1235300</v>
      </c>
    </row>
    <row r="33" spans="1:20" ht="18" x14ac:dyDescent="0.35">
      <c r="A33" s="284"/>
      <c r="B33" s="261" t="s">
        <v>222</v>
      </c>
      <c r="C33" s="262"/>
      <c r="D33" s="263"/>
      <c r="E33" s="302"/>
      <c r="F33" s="303" t="e">
        <f t="shared" ref="F33:T33" si="7">Interest</f>
        <v>#NAME?</v>
      </c>
      <c r="G33" s="303" t="e">
        <f t="shared" si="7"/>
        <v>#NAME?</v>
      </c>
      <c r="H33" s="303" t="e">
        <f t="shared" si="7"/>
        <v>#NAME?</v>
      </c>
      <c r="I33" s="303" t="e">
        <f t="shared" si="7"/>
        <v>#NAME?</v>
      </c>
      <c r="J33" s="303" t="e">
        <f t="shared" si="7"/>
        <v>#NAME?</v>
      </c>
      <c r="K33" s="303" t="e">
        <f t="shared" si="7"/>
        <v>#NAME?</v>
      </c>
      <c r="L33" s="303" t="e">
        <f t="shared" si="7"/>
        <v>#NAME?</v>
      </c>
      <c r="M33" s="303" t="e">
        <f t="shared" si="7"/>
        <v>#NAME?</v>
      </c>
      <c r="N33" s="303" t="e">
        <f t="shared" si="7"/>
        <v>#NAME?</v>
      </c>
      <c r="O33" s="303" t="e">
        <f t="shared" si="7"/>
        <v>#NAME?</v>
      </c>
      <c r="P33" s="303" t="e">
        <f t="shared" si="7"/>
        <v>#NAME?</v>
      </c>
      <c r="Q33" s="303" t="e">
        <f t="shared" si="7"/>
        <v>#NAME?</v>
      </c>
      <c r="R33" s="303" t="e">
        <f t="shared" si="7"/>
        <v>#NAME?</v>
      </c>
      <c r="S33" s="303" t="e">
        <f t="shared" si="7"/>
        <v>#NAME?</v>
      </c>
      <c r="T33" s="303" t="e">
        <f t="shared" si="7"/>
        <v>#NAME?</v>
      </c>
    </row>
    <row r="34" spans="1:20" ht="18" x14ac:dyDescent="0.35">
      <c r="A34" s="284"/>
      <c r="B34" s="265" t="s">
        <v>223</v>
      </c>
      <c r="C34" s="266"/>
      <c r="D34" s="304"/>
      <c r="E34" s="305"/>
      <c r="F34" s="269" t="e">
        <f t="shared" ref="F34:T34" si="8">ROUND(F33*(F28+F35/2+F32/2),0)</f>
        <v>#NAME?</v>
      </c>
      <c r="G34" s="269" t="e">
        <f t="shared" si="8"/>
        <v>#NAME?</v>
      </c>
      <c r="H34" s="269" t="e">
        <f t="shared" si="8"/>
        <v>#NAME?</v>
      </c>
      <c r="I34" s="269" t="e">
        <f t="shared" si="8"/>
        <v>#NAME?</v>
      </c>
      <c r="J34" s="269" t="e">
        <f t="shared" si="8"/>
        <v>#NAME?</v>
      </c>
      <c r="K34" s="269" t="e">
        <f t="shared" si="8"/>
        <v>#NAME?</v>
      </c>
      <c r="L34" s="269" t="e">
        <f t="shared" si="8"/>
        <v>#NAME?</v>
      </c>
      <c r="M34" s="269" t="e">
        <f t="shared" si="8"/>
        <v>#NAME?</v>
      </c>
      <c r="N34" s="269" t="e">
        <f t="shared" si="8"/>
        <v>#NAME?</v>
      </c>
      <c r="O34" s="269" t="e">
        <f t="shared" si="8"/>
        <v>#NAME?</v>
      </c>
      <c r="P34" s="269" t="e">
        <f t="shared" si="8"/>
        <v>#NAME?</v>
      </c>
      <c r="Q34" s="269" t="e">
        <f t="shared" si="8"/>
        <v>#NAME?</v>
      </c>
      <c r="R34" s="269" t="e">
        <f t="shared" si="8"/>
        <v>#NAME?</v>
      </c>
      <c r="S34" s="269" t="e">
        <f t="shared" si="8"/>
        <v>#NAME?</v>
      </c>
      <c r="T34" s="269" t="e">
        <f t="shared" si="8"/>
        <v>#NAME?</v>
      </c>
    </row>
    <row r="35" spans="1:20" ht="18" x14ac:dyDescent="0.35">
      <c r="A35" s="284"/>
      <c r="B35" s="241" t="s">
        <v>225</v>
      </c>
      <c r="C35" s="270"/>
      <c r="D35" s="271"/>
      <c r="E35" s="235"/>
      <c r="F35" s="272" t="e">
        <f>-expenditures16</f>
        <v>#REF!</v>
      </c>
      <c r="G35" s="272" t="e">
        <f>-expenditures17</f>
        <v>#REF!</v>
      </c>
      <c r="H35" s="272" t="e">
        <f>-expenditures18</f>
        <v>#REF!</v>
      </c>
      <c r="I35" s="272" t="e">
        <f>-expenditures19</f>
        <v>#REF!</v>
      </c>
      <c r="J35" s="272" t="e">
        <f>-expenditures20</f>
        <v>#REF!</v>
      </c>
      <c r="K35" s="272" t="e">
        <f>-expenditures21</f>
        <v>#REF!</v>
      </c>
      <c r="L35" s="272" t="e">
        <f>-expenditures22</f>
        <v>#REF!</v>
      </c>
      <c r="M35" s="272" t="e">
        <f>-expenditures23</f>
        <v>#REF!</v>
      </c>
      <c r="N35" s="272" t="e">
        <f>-expenditures24</f>
        <v>#REF!</v>
      </c>
      <c r="O35" s="272" t="e">
        <f>-expenditures25</f>
        <v>#REF!</v>
      </c>
      <c r="P35" s="272" t="e">
        <f>-expenditures26</f>
        <v>#REF!</v>
      </c>
      <c r="Q35" s="272" t="e">
        <f>-expenditures27</f>
        <v>#REF!</v>
      </c>
      <c r="R35" s="272" t="e">
        <f>-expenditures28</f>
        <v>#REF!</v>
      </c>
      <c r="S35" s="272" t="e">
        <f>-expenditures29</f>
        <v>#REF!</v>
      </c>
      <c r="T35" s="272" t="e">
        <f>-expenditures30</f>
        <v>#REF!</v>
      </c>
    </row>
    <row r="36" spans="1:20" ht="18" x14ac:dyDescent="0.35">
      <c r="A36" s="284"/>
      <c r="B36" s="273"/>
      <c r="C36" s="270"/>
      <c r="D36" s="274"/>
      <c r="E36" s="275"/>
      <c r="F36" s="275" t="s">
        <v>36</v>
      </c>
      <c r="G36" s="275" t="s">
        <v>36</v>
      </c>
      <c r="H36" s="275" t="s">
        <v>36</v>
      </c>
      <c r="I36" s="275" t="s">
        <v>36</v>
      </c>
      <c r="J36" s="275" t="s">
        <v>36</v>
      </c>
      <c r="K36" s="275" t="s">
        <v>36</v>
      </c>
      <c r="L36" s="275" t="s">
        <v>36</v>
      </c>
      <c r="M36" s="275" t="s">
        <v>36</v>
      </c>
      <c r="N36" s="275" t="s">
        <v>36</v>
      </c>
      <c r="O36" s="275" t="s">
        <v>36</v>
      </c>
      <c r="P36" s="275" t="s">
        <v>36</v>
      </c>
      <c r="Q36" s="275" t="s">
        <v>36</v>
      </c>
      <c r="R36" s="275" t="s">
        <v>36</v>
      </c>
      <c r="S36" s="275" t="s">
        <v>36</v>
      </c>
      <c r="T36" s="275" t="s">
        <v>36</v>
      </c>
    </row>
    <row r="37" spans="1:20" ht="18" x14ac:dyDescent="0.35">
      <c r="A37" s="284"/>
      <c r="B37" s="241" t="s">
        <v>226</v>
      </c>
      <c r="C37" s="270"/>
      <c r="D37" s="306"/>
      <c r="E37" s="307"/>
      <c r="F37" s="277" t="e">
        <f t="shared" ref="F37:T37" si="9">SUM(F28,F32,F34,F35)</f>
        <v>#REF!</v>
      </c>
      <c r="G37" s="277" t="e">
        <f t="shared" si="9"/>
        <v>#REF!</v>
      </c>
      <c r="H37" s="277" t="e">
        <f t="shared" si="9"/>
        <v>#REF!</v>
      </c>
      <c r="I37" s="277" t="e">
        <f t="shared" si="9"/>
        <v>#REF!</v>
      </c>
      <c r="J37" s="277" t="e">
        <f t="shared" si="9"/>
        <v>#REF!</v>
      </c>
      <c r="K37" s="277" t="e">
        <f t="shared" si="9"/>
        <v>#REF!</v>
      </c>
      <c r="L37" s="277" t="e">
        <f t="shared" si="9"/>
        <v>#REF!</v>
      </c>
      <c r="M37" s="277" t="e">
        <f t="shared" si="9"/>
        <v>#REF!</v>
      </c>
      <c r="N37" s="277" t="e">
        <f t="shared" si="9"/>
        <v>#REF!</v>
      </c>
      <c r="O37" s="277" t="e">
        <f t="shared" si="9"/>
        <v>#REF!</v>
      </c>
      <c r="P37" s="277" t="e">
        <f t="shared" si="9"/>
        <v>#REF!</v>
      </c>
      <c r="Q37" s="277" t="e">
        <f t="shared" si="9"/>
        <v>#REF!</v>
      </c>
      <c r="R37" s="277" t="e">
        <f t="shared" si="9"/>
        <v>#REF!</v>
      </c>
      <c r="S37" s="277" t="e">
        <f t="shared" si="9"/>
        <v>#REF!</v>
      </c>
      <c r="T37" s="277" t="e">
        <f t="shared" si="9"/>
        <v>#REF!</v>
      </c>
    </row>
    <row r="38" spans="1:20" ht="18" x14ac:dyDescent="0.35">
      <c r="A38" s="278"/>
      <c r="B38" s="278"/>
      <c r="C38" s="235"/>
      <c r="D38" s="276"/>
      <c r="E38" s="291"/>
      <c r="F38" s="279" t="s">
        <v>42</v>
      </c>
      <c r="G38" s="279" t="s">
        <v>42</v>
      </c>
      <c r="H38" s="279" t="s">
        <v>42</v>
      </c>
      <c r="I38" s="279" t="s">
        <v>42</v>
      </c>
      <c r="J38" s="279" t="s">
        <v>42</v>
      </c>
      <c r="K38" s="279" t="s">
        <v>42</v>
      </c>
      <c r="L38" s="279" t="s">
        <v>42</v>
      </c>
      <c r="M38" s="279" t="s">
        <v>42</v>
      </c>
      <c r="N38" s="279" t="s">
        <v>42</v>
      </c>
      <c r="O38" s="279" t="s">
        <v>42</v>
      </c>
      <c r="P38" s="279" t="s">
        <v>227</v>
      </c>
      <c r="Q38" s="279" t="s">
        <v>42</v>
      </c>
      <c r="R38" s="279" t="s">
        <v>42</v>
      </c>
      <c r="S38" s="279" t="s">
        <v>42</v>
      </c>
      <c r="T38" s="279" t="s">
        <v>231</v>
      </c>
    </row>
    <row r="39" spans="1:20" ht="18" hidden="1" x14ac:dyDescent="0.35">
      <c r="A39" s="278"/>
      <c r="B39" s="308"/>
      <c r="C39" s="309" t="s">
        <v>42</v>
      </c>
      <c r="D39" s="282" t="s">
        <v>42</v>
      </c>
      <c r="E39" s="310"/>
      <c r="F39" s="283" t="s">
        <v>42</v>
      </c>
      <c r="G39" s="283" t="s">
        <v>42</v>
      </c>
      <c r="H39" s="283" t="s">
        <v>42</v>
      </c>
      <c r="I39" s="283" t="s">
        <v>42</v>
      </c>
      <c r="J39" s="283" t="s">
        <v>42</v>
      </c>
      <c r="K39" s="283" t="s">
        <v>42</v>
      </c>
      <c r="L39" s="283" t="s">
        <v>42</v>
      </c>
      <c r="M39" s="283" t="s">
        <v>42</v>
      </c>
      <c r="N39" s="283" t="s">
        <v>42</v>
      </c>
      <c r="O39" s="283" t="s">
        <v>42</v>
      </c>
      <c r="P39" s="283" t="s">
        <v>42</v>
      </c>
      <c r="Q39" s="283" t="s">
        <v>42</v>
      </c>
      <c r="R39" s="283" t="s">
        <v>42</v>
      </c>
      <c r="S39" s="283" t="s">
        <v>42</v>
      </c>
      <c r="T39" s="283" t="s">
        <v>42</v>
      </c>
    </row>
    <row r="40" spans="1:20" ht="18" x14ac:dyDescent="0.35">
      <c r="A40" s="278"/>
      <c r="B40" s="2"/>
      <c r="C40" s="2"/>
      <c r="D40" s="2"/>
      <c r="E40" s="2"/>
      <c r="F40" s="2"/>
      <c r="G40" s="2"/>
      <c r="H40" s="270"/>
      <c r="I40" s="270"/>
      <c r="J40" s="270"/>
      <c r="K40" s="270"/>
      <c r="L40" s="270"/>
      <c r="M40" s="270"/>
      <c r="N40" s="270"/>
      <c r="O40" s="270"/>
      <c r="P40" s="270"/>
      <c r="Q40" s="270"/>
      <c r="R40" s="270"/>
      <c r="S40" s="270"/>
      <c r="T40" s="311"/>
    </row>
    <row r="41" spans="1:20" ht="18" x14ac:dyDescent="0.35">
      <c r="A41" s="278"/>
      <c r="B41" s="2"/>
      <c r="C41" s="2"/>
      <c r="D41" s="2"/>
      <c r="E41" s="2"/>
      <c r="F41" s="2"/>
      <c r="G41" s="2"/>
      <c r="H41" s="312"/>
      <c r="I41" s="2"/>
      <c r="J41" s="2"/>
      <c r="K41" s="2"/>
      <c r="L41" s="2"/>
      <c r="M41" s="2"/>
      <c r="N41" s="2"/>
      <c r="O41" s="2"/>
      <c r="P41" s="2"/>
      <c r="Q41" s="2"/>
      <c r="R41" s="2"/>
      <c r="S41" s="2"/>
      <c r="T41" s="2"/>
    </row>
    <row r="42" spans="1:20" ht="18" x14ac:dyDescent="0.35">
      <c r="A42" s="278"/>
      <c r="B42" s="2"/>
      <c r="C42" s="2"/>
      <c r="D42" s="2"/>
      <c r="E42" s="2"/>
      <c r="F42" s="2"/>
      <c r="G42" s="2"/>
      <c r="H42" s="312"/>
      <c r="I42" s="2"/>
      <c r="J42" s="2"/>
      <c r="K42" s="2"/>
      <c r="L42" s="2"/>
      <c r="M42" s="2"/>
      <c r="N42" s="2"/>
      <c r="O42" s="2"/>
      <c r="P42" s="2"/>
      <c r="Q42" s="2"/>
      <c r="R42" s="2"/>
      <c r="S42" s="2"/>
      <c r="T42" s="2"/>
    </row>
    <row r="43" spans="1:20" ht="18" x14ac:dyDescent="0.35">
      <c r="A43" s="2"/>
      <c r="B43" s="313" t="s">
        <v>232</v>
      </c>
      <c r="C43" s="278"/>
      <c r="D43" s="239"/>
      <c r="E43" s="314"/>
      <c r="F43" s="239"/>
      <c r="G43" s="239"/>
      <c r="H43" s="239"/>
      <c r="I43" s="2"/>
      <c r="J43" s="2"/>
      <c r="K43" s="2"/>
      <c r="L43" s="2"/>
      <c r="M43" s="2"/>
      <c r="N43" s="2"/>
      <c r="O43" s="2"/>
      <c r="P43" s="2"/>
      <c r="Q43" s="2"/>
      <c r="R43" s="2"/>
      <c r="S43" s="2"/>
      <c r="T43" s="2"/>
    </row>
    <row r="44" spans="1:20" ht="18" x14ac:dyDescent="0.35">
      <c r="A44" s="315" t="s">
        <v>152</v>
      </c>
      <c r="B44" s="280" t="s">
        <v>233</v>
      </c>
      <c r="C44" s="2"/>
      <c r="D44" s="235"/>
      <c r="E44" s="270"/>
      <c r="F44" s="270"/>
      <c r="G44" s="270"/>
      <c r="H44" s="270"/>
      <c r="I44" s="2"/>
      <c r="J44" s="2"/>
      <c r="K44" s="2"/>
      <c r="L44" s="2"/>
      <c r="M44" s="2"/>
      <c r="N44" s="2"/>
      <c r="O44" s="2"/>
      <c r="P44" s="2"/>
      <c r="Q44" s="2"/>
      <c r="R44" s="2"/>
      <c r="S44" s="2"/>
      <c r="T44" s="2"/>
    </row>
    <row r="45" spans="1:20" ht="18" x14ac:dyDescent="0.35">
      <c r="A45" s="315" t="s">
        <v>154</v>
      </c>
      <c r="B45" s="291" t="e">
        <f>IF(Remaining_Budgeted_Months=0,"",IF(Remaining_Budgeted_Months/Frequency_of_Contributions_Number=1,"Reserve Contributions for "&amp;Current_Fiscal_Year&amp;" are budgeted; ","Reserve Contributions for "&amp;Current_Fiscal_Year&amp;" are the remaining budgeted; "))&amp;IF(First_Year_of_Recommendation=Current_Fiscal_Year+1,First_Year_of_Recommendation&amp;" is the first year of recommended contributions.",Current_Fiscal_Year+1&amp;" contributions are budgeted; "&amp;First_Year_of_Recommendation&amp;" is the first year of recommended contributions.")</f>
        <v>#REF!</v>
      </c>
      <c r="C45" s="2"/>
      <c r="D45" s="270"/>
      <c r="E45" s="276"/>
      <c r="F45" s="235"/>
      <c r="G45" s="235"/>
      <c r="H45" s="235"/>
      <c r="I45" s="2"/>
      <c r="J45" s="2"/>
      <c r="K45" s="2"/>
      <c r="L45" s="2"/>
      <c r="M45" s="2"/>
      <c r="N45" s="2"/>
      <c r="O45" s="2"/>
      <c r="P45" s="2"/>
      <c r="Q45" s="2"/>
      <c r="R45" s="2"/>
      <c r="S45" s="2"/>
      <c r="T45" s="2"/>
    </row>
    <row r="46" spans="1:20" ht="18" x14ac:dyDescent="0.35">
      <c r="A46" s="315" t="s">
        <v>234</v>
      </c>
      <c r="B46" s="316" t="e">
        <f>[1]!Interest</f>
        <v>#NAME?</v>
      </c>
      <c r="C46" s="291" t="e">
        <f>"is the estimated annual rate of return on invested reserves"&amp;IF(Remaining_Interest_Months&lt;12,CONCATENATE("; ",Current_Fiscal_Year," is a partial year of interest earned."),".")</f>
        <v>#REF!</v>
      </c>
      <c r="D46" s="2"/>
      <c r="E46" s="276"/>
      <c r="F46" s="270"/>
      <c r="G46" s="235"/>
      <c r="H46" s="235"/>
      <c r="I46" s="2"/>
      <c r="J46" s="2"/>
      <c r="K46" s="2"/>
      <c r="L46" s="2"/>
      <c r="M46" s="2"/>
      <c r="N46" s="2"/>
      <c r="O46" s="2"/>
      <c r="P46" s="2"/>
      <c r="Q46" s="2"/>
      <c r="R46" s="2"/>
      <c r="S46" s="2"/>
      <c r="T46" s="2"/>
    </row>
    <row r="47" spans="1:20" ht="18" x14ac:dyDescent="0.35">
      <c r="A47" s="315" t="s">
        <v>235</v>
      </c>
      <c r="B47" s="291" t="s">
        <v>236</v>
      </c>
      <c r="C47" s="2"/>
      <c r="D47" s="270"/>
      <c r="E47" s="270"/>
      <c r="F47" s="270"/>
      <c r="G47" s="270"/>
      <c r="H47" s="270"/>
      <c r="I47" s="2"/>
      <c r="J47" s="2"/>
      <c r="K47" s="2"/>
      <c r="L47" s="2"/>
      <c r="M47" s="2"/>
      <c r="N47" s="2"/>
      <c r="O47" s="2"/>
      <c r="P47" s="2"/>
      <c r="Q47" s="2"/>
      <c r="R47" s="2"/>
      <c r="S47" s="2"/>
      <c r="T47" s="2"/>
    </row>
    <row r="48" spans="1:20" ht="18" x14ac:dyDescent="0.35">
      <c r="A48" s="315" t="str">
        <f>IF(OR(COUNTIF(A1:T40,"(NOTE 5)")&gt;0,COUNTIF(A1:T40,"(NOTES 4&amp;5)")&gt;0),"5)","")</f>
        <v>5)</v>
      </c>
      <c r="B48" s="291" t="str">
        <f>IF(OR(COUNTIF(A1:T40,"(NOTE 5)")&gt;0,COUNTIF(A1:T40,"(NOTES 4&amp;5)")&gt;0),"Threshold Funding Year (reserve balance at critical point).","")</f>
        <v>Threshold Funding Year (reserve balance at critical point).</v>
      </c>
      <c r="C48" s="2"/>
      <c r="D48" s="317"/>
      <c r="E48" s="270"/>
      <c r="F48" s="270"/>
      <c r="G48" s="270"/>
      <c r="H48" s="270"/>
      <c r="I48" s="2"/>
      <c r="J48" s="2"/>
      <c r="K48" s="2"/>
      <c r="L48" s="2"/>
      <c r="M48" s="2"/>
      <c r="N48" s="2"/>
      <c r="O48" s="2"/>
      <c r="P48" s="2"/>
      <c r="Q48" s="2"/>
      <c r="R48" s="2"/>
      <c r="S48" s="2"/>
      <c r="T48" s="2"/>
    </row>
    <row r="49" spans="2:19" ht="18" x14ac:dyDescent="0.35">
      <c r="B49" s="61"/>
    </row>
    <row r="50" spans="2:19" ht="15" thickBot="1" x14ac:dyDescent="0.35"/>
    <row r="51" spans="2:19" ht="15" thickTop="1" x14ac:dyDescent="0.3">
      <c r="K51" s="332" t="s">
        <v>237</v>
      </c>
      <c r="L51" s="333"/>
      <c r="M51" s="333"/>
      <c r="N51" s="333"/>
      <c r="O51" s="333"/>
      <c r="P51" s="333"/>
      <c r="Q51" s="333"/>
      <c r="R51" s="333"/>
      <c r="S51" s="334"/>
    </row>
    <row r="52" spans="2:19" x14ac:dyDescent="0.3">
      <c r="K52" s="335"/>
      <c r="L52" s="336"/>
      <c r="M52" s="336"/>
      <c r="N52" s="336"/>
      <c r="O52" s="336"/>
      <c r="P52" s="336"/>
      <c r="Q52" s="336"/>
      <c r="R52" s="336"/>
      <c r="S52" s="337"/>
    </row>
    <row r="53" spans="2:19" ht="15" thickBot="1" x14ac:dyDescent="0.35">
      <c r="K53" s="338"/>
      <c r="L53" s="339"/>
      <c r="M53" s="339"/>
      <c r="N53" s="339"/>
      <c r="O53" s="339"/>
      <c r="P53" s="339"/>
      <c r="Q53" s="339"/>
      <c r="R53" s="339"/>
      <c r="S53" s="340"/>
    </row>
    <row r="54" spans="2:19" ht="15" thickTop="1" x14ac:dyDescent="0.3">
      <c r="K54" s="341" t="s">
        <v>238</v>
      </c>
      <c r="L54" s="343" t="s">
        <v>239</v>
      </c>
      <c r="M54" s="345" t="s">
        <v>240</v>
      </c>
      <c r="N54" s="341" t="s">
        <v>238</v>
      </c>
      <c r="O54" s="343" t="s">
        <v>239</v>
      </c>
      <c r="P54" s="345" t="s">
        <v>240</v>
      </c>
      <c r="Q54" s="341" t="s">
        <v>238</v>
      </c>
      <c r="R54" s="343" t="s">
        <v>239</v>
      </c>
      <c r="S54" s="345" t="s">
        <v>240</v>
      </c>
    </row>
    <row r="55" spans="2:19" x14ac:dyDescent="0.3">
      <c r="K55" s="342"/>
      <c r="L55" s="344"/>
      <c r="M55" s="346"/>
      <c r="N55" s="342"/>
      <c r="O55" s="344"/>
      <c r="P55" s="346"/>
      <c r="Q55" s="342"/>
      <c r="R55" s="344"/>
      <c r="S55" s="346"/>
    </row>
    <row r="56" spans="2:19" x14ac:dyDescent="0.3">
      <c r="K56" s="342"/>
      <c r="L56" s="344"/>
      <c r="M56" s="346"/>
      <c r="N56" s="342"/>
      <c r="O56" s="344"/>
      <c r="P56" s="346"/>
      <c r="Q56" s="342"/>
      <c r="R56" s="344"/>
      <c r="S56" s="346"/>
    </row>
    <row r="57" spans="2:19" x14ac:dyDescent="0.3">
      <c r="K57" s="347" t="e">
        <f>Current_Fiscal_Year+1</f>
        <v>#REF!</v>
      </c>
      <c r="L57" s="348" t="e">
        <f>F11</f>
        <v>#REF!</v>
      </c>
      <c r="M57" s="350" t="e">
        <f>F16</f>
        <v>#REF!</v>
      </c>
      <c r="N57" s="347" t="e">
        <f>K57+10</f>
        <v>#REF!</v>
      </c>
      <c r="O57" s="348">
        <f>P11</f>
        <v>642600</v>
      </c>
      <c r="P57" s="350" t="e">
        <f>P16</f>
        <v>#REF!</v>
      </c>
      <c r="Q57" s="347" t="e">
        <f>N57+10</f>
        <v>#REF!</v>
      </c>
      <c r="R57" s="348">
        <f>K32</f>
        <v>906300</v>
      </c>
      <c r="S57" s="350" t="e">
        <f>K37</f>
        <v>#REF!</v>
      </c>
    </row>
    <row r="58" spans="2:19" x14ac:dyDescent="0.3">
      <c r="K58" s="347"/>
      <c r="L58" s="349"/>
      <c r="M58" s="351"/>
      <c r="N58" s="347"/>
      <c r="O58" s="349"/>
      <c r="P58" s="351"/>
      <c r="Q58" s="347"/>
      <c r="R58" s="349"/>
      <c r="S58" s="351"/>
    </row>
    <row r="59" spans="2:19" x14ac:dyDescent="0.3">
      <c r="K59" s="347" t="e">
        <f>K57+1</f>
        <v>#REF!</v>
      </c>
      <c r="L59" s="348">
        <f>G11</f>
        <v>750000</v>
      </c>
      <c r="M59" s="350" t="e">
        <f>G16</f>
        <v>#REF!</v>
      </c>
      <c r="N59" s="347" t="e">
        <f>N57+1</f>
        <v>#REF!</v>
      </c>
      <c r="O59" s="348">
        <f>Q11</f>
        <v>665100</v>
      </c>
      <c r="P59" s="350" t="e">
        <f>Q16</f>
        <v>#REF!</v>
      </c>
      <c r="Q59" s="347" t="e">
        <f>Q57+1</f>
        <v>#REF!</v>
      </c>
      <c r="R59" s="348">
        <f>L32</f>
        <v>938000</v>
      </c>
      <c r="S59" s="350" t="e">
        <f>L37</f>
        <v>#REF!</v>
      </c>
    </row>
    <row r="60" spans="2:19" x14ac:dyDescent="0.3">
      <c r="K60" s="347"/>
      <c r="L60" s="349"/>
      <c r="M60" s="351"/>
      <c r="N60" s="347"/>
      <c r="O60" s="349"/>
      <c r="P60" s="351"/>
      <c r="Q60" s="347"/>
      <c r="R60" s="349"/>
      <c r="S60" s="351"/>
    </row>
    <row r="61" spans="2:19" x14ac:dyDescent="0.3">
      <c r="K61" s="347" t="e">
        <f>K59+1</f>
        <v>#REF!</v>
      </c>
      <c r="L61" s="348">
        <f>H11</f>
        <v>776200</v>
      </c>
      <c r="M61" s="350" t="e">
        <f>H16</f>
        <v>#REF!</v>
      </c>
      <c r="N61" s="347" t="e">
        <f>N59+1</f>
        <v>#REF!</v>
      </c>
      <c r="O61" s="348">
        <f>R11</f>
        <v>688400</v>
      </c>
      <c r="P61" s="350" t="e">
        <f>R16</f>
        <v>#REF!</v>
      </c>
      <c r="Q61" s="347" t="e">
        <f>Q59+1</f>
        <v>#REF!</v>
      </c>
      <c r="R61" s="348">
        <f>M32</f>
        <v>970800</v>
      </c>
      <c r="S61" s="350" t="e">
        <f>M37</f>
        <v>#REF!</v>
      </c>
    </row>
    <row r="62" spans="2:19" x14ac:dyDescent="0.3">
      <c r="K62" s="347"/>
      <c r="L62" s="349"/>
      <c r="M62" s="351"/>
      <c r="N62" s="347"/>
      <c r="O62" s="349"/>
      <c r="P62" s="351"/>
      <c r="Q62" s="347"/>
      <c r="R62" s="349"/>
      <c r="S62" s="351"/>
    </row>
    <row r="63" spans="2:19" x14ac:dyDescent="0.3">
      <c r="K63" s="347" t="e">
        <f>K61+1</f>
        <v>#REF!</v>
      </c>
      <c r="L63" s="348">
        <f>I11</f>
        <v>803400</v>
      </c>
      <c r="M63" s="350" t="e">
        <f>I16</f>
        <v>#REF!</v>
      </c>
      <c r="N63" s="347" t="e">
        <f>N61+1</f>
        <v>#REF!</v>
      </c>
      <c r="O63" s="348">
        <f>S11</f>
        <v>712500</v>
      </c>
      <c r="P63" s="350" t="e">
        <f>S16</f>
        <v>#REF!</v>
      </c>
      <c r="Q63" s="347" t="e">
        <f>Q61+1</f>
        <v>#REF!</v>
      </c>
      <c r="R63" s="348">
        <f>N32</f>
        <v>1004800</v>
      </c>
      <c r="S63" s="350" t="e">
        <f>N37</f>
        <v>#REF!</v>
      </c>
    </row>
    <row r="64" spans="2:19" x14ac:dyDescent="0.3">
      <c r="K64" s="347"/>
      <c r="L64" s="349"/>
      <c r="M64" s="351"/>
      <c r="N64" s="347"/>
      <c r="O64" s="349"/>
      <c r="P64" s="351"/>
      <c r="Q64" s="347"/>
      <c r="R64" s="349"/>
      <c r="S64" s="351"/>
    </row>
    <row r="65" spans="11:19" x14ac:dyDescent="0.3">
      <c r="K65" s="347" t="e">
        <f>K63+1</f>
        <v>#REF!</v>
      </c>
      <c r="L65" s="348">
        <f>J11</f>
        <v>831500</v>
      </c>
      <c r="M65" s="350" t="e">
        <f>J16</f>
        <v>#REF!</v>
      </c>
      <c r="N65" s="347" t="e">
        <f>N63+1</f>
        <v>#REF!</v>
      </c>
      <c r="O65" s="348">
        <f>T11</f>
        <v>737400</v>
      </c>
      <c r="P65" s="350" t="e">
        <f>T16</f>
        <v>#REF!</v>
      </c>
      <c r="Q65" s="347" t="e">
        <f>Q63+1</f>
        <v>#REF!</v>
      </c>
      <c r="R65" s="348">
        <f>O32</f>
        <v>1040000</v>
      </c>
      <c r="S65" s="350" t="e">
        <f>O37</f>
        <v>#REF!</v>
      </c>
    </row>
    <row r="66" spans="11:19" x14ac:dyDescent="0.3">
      <c r="K66" s="347"/>
      <c r="L66" s="349"/>
      <c r="M66" s="351"/>
      <c r="N66" s="347"/>
      <c r="O66" s="349"/>
      <c r="P66" s="351"/>
      <c r="Q66" s="347"/>
      <c r="R66" s="349"/>
      <c r="S66" s="351"/>
    </row>
    <row r="67" spans="11:19" x14ac:dyDescent="0.3">
      <c r="K67" s="347" t="e">
        <f>K65+1</f>
        <v>#REF!</v>
      </c>
      <c r="L67" s="348">
        <f>K11</f>
        <v>860600</v>
      </c>
      <c r="M67" s="350" t="e">
        <f>K16</f>
        <v>#REF!</v>
      </c>
      <c r="N67" s="347" t="e">
        <f>N65+1</f>
        <v>#REF!</v>
      </c>
      <c r="O67" s="348">
        <f>F32</f>
        <v>763200</v>
      </c>
      <c r="P67" s="350" t="e">
        <f>F37</f>
        <v>#REF!</v>
      </c>
      <c r="Q67" s="347" t="e">
        <f>Q65+1</f>
        <v>#REF!</v>
      </c>
      <c r="R67" s="348">
        <f>P32</f>
        <v>1076400</v>
      </c>
      <c r="S67" s="350" t="e">
        <f>P37</f>
        <v>#REF!</v>
      </c>
    </row>
    <row r="68" spans="11:19" x14ac:dyDescent="0.3">
      <c r="K68" s="347"/>
      <c r="L68" s="349"/>
      <c r="M68" s="351"/>
      <c r="N68" s="347"/>
      <c r="O68" s="349"/>
      <c r="P68" s="351"/>
      <c r="Q68" s="347"/>
      <c r="R68" s="349"/>
      <c r="S68" s="351"/>
    </row>
    <row r="69" spans="11:19" x14ac:dyDescent="0.3">
      <c r="K69" s="347" t="e">
        <f>K67+1</f>
        <v>#REF!</v>
      </c>
      <c r="L69" s="348">
        <f>L11</f>
        <v>560000</v>
      </c>
      <c r="M69" s="350" t="e">
        <f>L16</f>
        <v>#REF!</v>
      </c>
      <c r="N69" s="347" t="e">
        <f>N67+1</f>
        <v>#REF!</v>
      </c>
      <c r="O69" s="348">
        <f>G32</f>
        <v>789900</v>
      </c>
      <c r="P69" s="350" t="e">
        <f>G37</f>
        <v>#REF!</v>
      </c>
      <c r="Q69" s="347" t="e">
        <f>Q67+1</f>
        <v>#REF!</v>
      </c>
      <c r="R69" s="348">
        <f>Q32</f>
        <v>1114100</v>
      </c>
      <c r="S69" s="350" t="e">
        <f>Q37</f>
        <v>#REF!</v>
      </c>
    </row>
    <row r="70" spans="11:19" x14ac:dyDescent="0.3">
      <c r="K70" s="347"/>
      <c r="L70" s="349"/>
      <c r="M70" s="351"/>
      <c r="N70" s="347"/>
      <c r="O70" s="349"/>
      <c r="P70" s="351"/>
      <c r="Q70" s="347"/>
      <c r="R70" s="349"/>
      <c r="S70" s="351"/>
    </row>
    <row r="71" spans="11:19" x14ac:dyDescent="0.3">
      <c r="K71" s="347" t="e">
        <f>K69+1</f>
        <v>#REF!</v>
      </c>
      <c r="L71" s="348">
        <f>M11</f>
        <v>579600</v>
      </c>
      <c r="M71" s="350" t="e">
        <f>M16</f>
        <v>#REF!</v>
      </c>
      <c r="N71" s="347" t="e">
        <f>N69+1</f>
        <v>#REF!</v>
      </c>
      <c r="O71" s="348">
        <f>H32</f>
        <v>817500</v>
      </c>
      <c r="P71" s="350" t="e">
        <f>H37</f>
        <v>#REF!</v>
      </c>
      <c r="Q71" s="347" t="e">
        <f>Q69+1</f>
        <v>#REF!</v>
      </c>
      <c r="R71" s="348">
        <f>R32</f>
        <v>1153100</v>
      </c>
      <c r="S71" s="350" t="e">
        <f>R37</f>
        <v>#REF!</v>
      </c>
    </row>
    <row r="72" spans="11:19" x14ac:dyDescent="0.3">
      <c r="K72" s="347"/>
      <c r="L72" s="349"/>
      <c r="M72" s="351"/>
      <c r="N72" s="347"/>
      <c r="O72" s="349"/>
      <c r="P72" s="351"/>
      <c r="Q72" s="347"/>
      <c r="R72" s="349"/>
      <c r="S72" s="351"/>
    </row>
    <row r="73" spans="11:19" x14ac:dyDescent="0.3">
      <c r="K73" s="347" t="e">
        <f>K71+1</f>
        <v>#REF!</v>
      </c>
      <c r="L73" s="348">
        <f>N11</f>
        <v>599900</v>
      </c>
      <c r="M73" s="350" t="e">
        <f>N16</f>
        <v>#REF!</v>
      </c>
      <c r="N73" s="347" t="e">
        <f>N71+1</f>
        <v>#REF!</v>
      </c>
      <c r="O73" s="348">
        <f>I32</f>
        <v>846100</v>
      </c>
      <c r="P73" s="350" t="e">
        <f>I37</f>
        <v>#REF!</v>
      </c>
      <c r="Q73" s="347" t="e">
        <f>Q71+1</f>
        <v>#REF!</v>
      </c>
      <c r="R73" s="348">
        <f>S32</f>
        <v>1193500</v>
      </c>
      <c r="S73" s="350" t="e">
        <f>S37</f>
        <v>#REF!</v>
      </c>
    </row>
    <row r="74" spans="11:19" x14ac:dyDescent="0.3">
      <c r="K74" s="347"/>
      <c r="L74" s="349"/>
      <c r="M74" s="351"/>
      <c r="N74" s="347"/>
      <c r="O74" s="349"/>
      <c r="P74" s="351"/>
      <c r="Q74" s="347"/>
      <c r="R74" s="349"/>
      <c r="S74" s="351"/>
    </row>
    <row r="75" spans="11:19" x14ac:dyDescent="0.3">
      <c r="K75" s="347" t="e">
        <f>K73+1</f>
        <v>#REF!</v>
      </c>
      <c r="L75" s="348">
        <f>O11</f>
        <v>620900</v>
      </c>
      <c r="M75" s="350" t="e">
        <f>O16</f>
        <v>#REF!</v>
      </c>
      <c r="N75" s="347" t="e">
        <f>N73+1</f>
        <v>#REF!</v>
      </c>
      <c r="O75" s="348">
        <f>J32</f>
        <v>875700</v>
      </c>
      <c r="P75" s="350" t="e">
        <f>J37</f>
        <v>#REF!</v>
      </c>
      <c r="Q75" s="347" t="e">
        <f>Q73+1</f>
        <v>#REF!</v>
      </c>
      <c r="R75" s="348">
        <f>T32</f>
        <v>1235300</v>
      </c>
      <c r="S75" s="350" t="e">
        <f>T37</f>
        <v>#REF!</v>
      </c>
    </row>
    <row r="76" spans="11:19" ht="15" thickBot="1" x14ac:dyDescent="0.35">
      <c r="K76" s="353"/>
      <c r="L76" s="354"/>
      <c r="M76" s="352"/>
      <c r="N76" s="353"/>
      <c r="O76" s="354"/>
      <c r="P76" s="352"/>
      <c r="Q76" s="353"/>
      <c r="R76" s="354"/>
      <c r="S76" s="352"/>
    </row>
    <row r="77" spans="11:19" ht="15" thickTop="1" x14ac:dyDescent="0.3"/>
    <row r="159" spans="4:20" x14ac:dyDescent="0.3">
      <c r="D159" s="318"/>
      <c r="E159" s="318"/>
      <c r="F159" s="318"/>
      <c r="G159" s="318"/>
      <c r="H159" s="318"/>
      <c r="I159" s="318"/>
      <c r="J159" s="318"/>
      <c r="K159" s="318"/>
      <c r="L159" s="318"/>
      <c r="M159" s="318"/>
      <c r="N159" s="318"/>
      <c r="O159" s="318"/>
      <c r="P159" s="318"/>
      <c r="Q159" s="318"/>
      <c r="R159" s="318"/>
      <c r="S159" s="318"/>
      <c r="T159" s="318"/>
    </row>
    <row r="160" spans="4:20" hidden="1" x14ac:dyDescent="0.3">
      <c r="D160" s="1" t="e">
        <f>Funding_Plan_CurrentContrib</f>
        <v>#REF!</v>
      </c>
      <c r="E160" s="1" t="e">
        <f>Funding_Plan_NextContrib</f>
        <v>#REF!</v>
      </c>
      <c r="F160" s="1">
        <v>381000</v>
      </c>
      <c r="G160" s="1">
        <v>750000</v>
      </c>
      <c r="H160" s="1">
        <v>776200</v>
      </c>
      <c r="I160" s="1">
        <v>803400</v>
      </c>
      <c r="J160" s="1">
        <v>831500</v>
      </c>
      <c r="K160" s="1">
        <v>860600</v>
      </c>
      <c r="L160" s="1">
        <v>560000</v>
      </c>
      <c r="M160" s="1">
        <v>579600</v>
      </c>
      <c r="N160" s="1">
        <v>599900</v>
      </c>
      <c r="O160" s="1">
        <v>620900</v>
      </c>
      <c r="P160" s="1">
        <v>642600</v>
      </c>
      <c r="Q160" s="1">
        <v>665100</v>
      </c>
      <c r="R160" s="1">
        <v>688400</v>
      </c>
      <c r="S160" s="1">
        <v>712500</v>
      </c>
      <c r="T160" s="1">
        <v>737400</v>
      </c>
    </row>
    <row r="161" spans="5:36" hidden="1" x14ac:dyDescent="0.3">
      <c r="E161" s="1">
        <v>381000</v>
      </c>
    </row>
    <row r="162" spans="5:36" hidden="1" x14ac:dyDescent="0.3"/>
    <row r="163" spans="5:36" hidden="1" x14ac:dyDescent="0.3">
      <c r="F163" s="1">
        <v>763200</v>
      </c>
      <c r="G163" s="1">
        <v>789900</v>
      </c>
      <c r="H163" s="1">
        <v>817500</v>
      </c>
      <c r="I163" s="1">
        <v>846100</v>
      </c>
      <c r="J163" s="1">
        <v>875700</v>
      </c>
      <c r="K163" s="1">
        <v>906300</v>
      </c>
      <c r="L163" s="1">
        <v>938000</v>
      </c>
      <c r="M163" s="1">
        <v>970800</v>
      </c>
      <c r="N163" s="1">
        <v>1004800</v>
      </c>
      <c r="O163" s="1">
        <v>1040000</v>
      </c>
      <c r="P163" s="1">
        <v>1076400</v>
      </c>
      <c r="Q163" s="1">
        <v>1114100</v>
      </c>
      <c r="R163" s="1">
        <v>1153100</v>
      </c>
      <c r="S163" s="1">
        <v>1193500</v>
      </c>
      <c r="T163" s="1">
        <v>1235300</v>
      </c>
    </row>
    <row r="164" spans="5:36" hidden="1" x14ac:dyDescent="0.3"/>
    <row r="165" spans="5:36" hidden="1" x14ac:dyDescent="0.3"/>
    <row r="166" spans="5:36" hidden="1" x14ac:dyDescent="0.3">
      <c r="T166" s="1">
        <v>2313363.66</v>
      </c>
    </row>
    <row r="167" spans="5:36" hidden="1" x14ac:dyDescent="0.3">
      <c r="F167" s="1" t="e">
        <f>Current_Fiscal_Year + 1</f>
        <v>#REF!</v>
      </c>
      <c r="G167" s="1" t="e">
        <f t="shared" ref="G167:AI167" si="10">F167 + 1</f>
        <v>#REF!</v>
      </c>
      <c r="H167" s="1" t="e">
        <f t="shared" si="10"/>
        <v>#REF!</v>
      </c>
      <c r="I167" s="1" t="e">
        <f t="shared" si="10"/>
        <v>#REF!</v>
      </c>
      <c r="J167" s="1" t="e">
        <f t="shared" si="10"/>
        <v>#REF!</v>
      </c>
      <c r="K167" s="1" t="e">
        <f t="shared" si="10"/>
        <v>#REF!</v>
      </c>
      <c r="L167" s="1" t="e">
        <f t="shared" si="10"/>
        <v>#REF!</v>
      </c>
      <c r="M167" s="1" t="e">
        <f t="shared" si="10"/>
        <v>#REF!</v>
      </c>
      <c r="N167" s="1" t="e">
        <f t="shared" si="10"/>
        <v>#REF!</v>
      </c>
      <c r="O167" s="1" t="e">
        <f t="shared" si="10"/>
        <v>#REF!</v>
      </c>
      <c r="P167" s="1" t="e">
        <f t="shared" si="10"/>
        <v>#REF!</v>
      </c>
      <c r="Q167" s="1" t="e">
        <f t="shared" si="10"/>
        <v>#REF!</v>
      </c>
      <c r="R167" s="1" t="e">
        <f t="shared" si="10"/>
        <v>#REF!</v>
      </c>
      <c r="S167" s="1" t="e">
        <f t="shared" si="10"/>
        <v>#REF!</v>
      </c>
      <c r="T167" s="1" t="e">
        <f t="shared" si="10"/>
        <v>#REF!</v>
      </c>
      <c r="U167" s="1" t="e">
        <f t="shared" si="10"/>
        <v>#REF!</v>
      </c>
      <c r="V167" s="1" t="e">
        <f t="shared" si="10"/>
        <v>#REF!</v>
      </c>
      <c r="W167" s="1" t="e">
        <f t="shared" si="10"/>
        <v>#REF!</v>
      </c>
      <c r="X167" s="1" t="e">
        <f t="shared" si="10"/>
        <v>#REF!</v>
      </c>
      <c r="Y167" s="1" t="e">
        <f t="shared" si="10"/>
        <v>#REF!</v>
      </c>
      <c r="Z167" s="1" t="e">
        <f t="shared" si="10"/>
        <v>#REF!</v>
      </c>
      <c r="AA167" s="1" t="e">
        <f t="shared" si="10"/>
        <v>#REF!</v>
      </c>
      <c r="AB167" s="1" t="e">
        <f t="shared" si="10"/>
        <v>#REF!</v>
      </c>
      <c r="AC167" s="1" t="e">
        <f t="shared" si="10"/>
        <v>#REF!</v>
      </c>
      <c r="AD167" s="1" t="e">
        <f t="shared" si="10"/>
        <v>#REF!</v>
      </c>
      <c r="AE167" s="1" t="e">
        <f t="shared" si="10"/>
        <v>#REF!</v>
      </c>
      <c r="AF167" s="1" t="e">
        <f t="shared" si="10"/>
        <v>#REF!</v>
      </c>
      <c r="AG167" s="1" t="e">
        <f t="shared" si="10"/>
        <v>#REF!</v>
      </c>
      <c r="AH167" s="1" t="e">
        <f t="shared" si="10"/>
        <v>#REF!</v>
      </c>
      <c r="AI167" s="1" t="e">
        <f t="shared" si="10"/>
        <v>#REF!</v>
      </c>
    </row>
    <row r="168" spans="5:36" hidden="1" x14ac:dyDescent="0.3">
      <c r="F168" s="1" t="s">
        <v>241</v>
      </c>
      <c r="G168" s="1" t="s">
        <v>241</v>
      </c>
      <c r="H168" s="1" t="s">
        <v>241</v>
      </c>
      <c r="I168" s="1" t="s">
        <v>241</v>
      </c>
      <c r="J168" s="1" t="s">
        <v>241</v>
      </c>
      <c r="K168" s="1" t="s">
        <v>241</v>
      </c>
      <c r="L168" s="1" t="s">
        <v>241</v>
      </c>
      <c r="M168" s="1" t="s">
        <v>241</v>
      </c>
      <c r="N168" s="1" t="s">
        <v>241</v>
      </c>
      <c r="O168" s="1" t="s">
        <v>241</v>
      </c>
      <c r="P168" s="1" t="s">
        <v>241</v>
      </c>
      <c r="Q168" s="1" t="s">
        <v>241</v>
      </c>
      <c r="R168" s="1" t="s">
        <v>241</v>
      </c>
      <c r="S168" s="1" t="s">
        <v>241</v>
      </c>
      <c r="T168" s="1" t="s">
        <v>241</v>
      </c>
      <c r="U168" s="1" t="s">
        <v>241</v>
      </c>
      <c r="V168" s="1" t="s">
        <v>241</v>
      </c>
      <c r="W168" s="1" t="s">
        <v>241</v>
      </c>
      <c r="X168" s="1" t="s">
        <v>241</v>
      </c>
      <c r="Y168" s="1" t="s">
        <v>241</v>
      </c>
      <c r="Z168" s="1" t="s">
        <v>241</v>
      </c>
      <c r="AA168" s="1" t="s">
        <v>241</v>
      </c>
      <c r="AB168" s="1" t="s">
        <v>241</v>
      </c>
      <c r="AC168" s="1" t="s">
        <v>241</v>
      </c>
      <c r="AD168" s="1" t="s">
        <v>241</v>
      </c>
      <c r="AE168" s="1" t="s">
        <v>241</v>
      </c>
      <c r="AF168" s="1" t="s">
        <v>241</v>
      </c>
      <c r="AG168" s="1" t="s">
        <v>241</v>
      </c>
      <c r="AH168" s="1" t="s">
        <v>241</v>
      </c>
      <c r="AI168" s="1" t="s">
        <v>241</v>
      </c>
    </row>
    <row r="169" spans="5:36" hidden="1" x14ac:dyDescent="0.3">
      <c r="F169" s="319">
        <v>750000</v>
      </c>
      <c r="O169" s="319">
        <v>560000</v>
      </c>
      <c r="P169" s="1">
        <v>2030</v>
      </c>
    </row>
    <row r="170" spans="5:36" hidden="1" x14ac:dyDescent="0.3">
      <c r="F170" s="319">
        <v>750000</v>
      </c>
      <c r="O170" s="319">
        <v>560000</v>
      </c>
      <c r="P170" s="1">
        <v>2030</v>
      </c>
    </row>
    <row r="172" spans="5:36" x14ac:dyDescent="0.3">
      <c r="E172" s="1" t="s">
        <v>238</v>
      </c>
      <c r="F172" s="320">
        <f t="shared" ref="F172:U172" si="11">E6</f>
        <v>2023</v>
      </c>
      <c r="G172" s="321">
        <f t="shared" si="11"/>
        <v>2024</v>
      </c>
      <c r="H172" s="321">
        <f t="shared" si="11"/>
        <v>2025</v>
      </c>
      <c r="I172" s="321">
        <f t="shared" si="11"/>
        <v>2026</v>
      </c>
      <c r="J172" s="321">
        <f t="shared" si="11"/>
        <v>2027</v>
      </c>
      <c r="K172" s="321">
        <f t="shared" si="11"/>
        <v>2028</v>
      </c>
      <c r="L172" s="321">
        <f t="shared" si="11"/>
        <v>2029</v>
      </c>
      <c r="M172" s="321">
        <f t="shared" si="11"/>
        <v>2030</v>
      </c>
      <c r="N172" s="321">
        <f t="shared" si="11"/>
        <v>2031</v>
      </c>
      <c r="O172" s="321">
        <f t="shared" si="11"/>
        <v>2032</v>
      </c>
      <c r="P172" s="321">
        <f t="shared" si="11"/>
        <v>2033</v>
      </c>
      <c r="Q172" s="321">
        <f t="shared" si="11"/>
        <v>2034</v>
      </c>
      <c r="R172" s="321">
        <f t="shared" si="11"/>
        <v>2035</v>
      </c>
      <c r="S172" s="321">
        <f t="shared" si="11"/>
        <v>2036</v>
      </c>
      <c r="T172" s="321">
        <f t="shared" si="11"/>
        <v>2037</v>
      </c>
      <c r="U172" s="321">
        <f t="shared" si="11"/>
        <v>2038</v>
      </c>
      <c r="V172" s="321">
        <f t="shared" ref="V172:AJ172" si="12">F27</f>
        <v>2039</v>
      </c>
      <c r="W172" s="321">
        <f t="shared" si="12"/>
        <v>2040</v>
      </c>
      <c r="X172" s="321">
        <f t="shared" si="12"/>
        <v>2041</v>
      </c>
      <c r="Y172" s="321">
        <f t="shared" si="12"/>
        <v>2042</v>
      </c>
      <c r="Z172" s="321">
        <f t="shared" si="12"/>
        <v>2043</v>
      </c>
      <c r="AA172" s="321">
        <f t="shared" si="12"/>
        <v>2044</v>
      </c>
      <c r="AB172" s="321">
        <f t="shared" si="12"/>
        <v>2045</v>
      </c>
      <c r="AC172" s="321">
        <f t="shared" si="12"/>
        <v>2046</v>
      </c>
      <c r="AD172" s="321">
        <f t="shared" si="12"/>
        <v>2047</v>
      </c>
      <c r="AE172" s="321">
        <f t="shared" si="12"/>
        <v>2048</v>
      </c>
      <c r="AF172" s="321">
        <f t="shared" si="12"/>
        <v>2049</v>
      </c>
      <c r="AG172" s="321">
        <f t="shared" si="12"/>
        <v>2050</v>
      </c>
      <c r="AH172" s="321">
        <f t="shared" si="12"/>
        <v>2051</v>
      </c>
      <c r="AI172" s="321">
        <f t="shared" si="12"/>
        <v>2052</v>
      </c>
      <c r="AJ172" s="321">
        <f t="shared" si="12"/>
        <v>2053</v>
      </c>
    </row>
    <row r="173" spans="5:36" x14ac:dyDescent="0.3">
      <c r="E173" s="1" t="s">
        <v>242</v>
      </c>
      <c r="F173" s="1" t="e">
        <f t="shared" ref="F173:U173" si="13">E14/1000</f>
        <v>#REF!</v>
      </c>
      <c r="G173" s="1" t="e">
        <f t="shared" si="13"/>
        <v>#REF!</v>
      </c>
      <c r="H173" s="1" t="e">
        <f t="shared" si="13"/>
        <v>#REF!</v>
      </c>
      <c r="I173" s="1" t="e">
        <f t="shared" si="13"/>
        <v>#REF!</v>
      </c>
      <c r="J173" s="1" t="e">
        <f t="shared" si="13"/>
        <v>#REF!</v>
      </c>
      <c r="K173" s="1" t="e">
        <f t="shared" si="13"/>
        <v>#REF!</v>
      </c>
      <c r="L173" s="1" t="e">
        <f t="shared" si="13"/>
        <v>#REF!</v>
      </c>
      <c r="M173" s="1" t="e">
        <f t="shared" si="13"/>
        <v>#REF!</v>
      </c>
      <c r="N173" s="1" t="e">
        <f t="shared" si="13"/>
        <v>#REF!</v>
      </c>
      <c r="O173" s="1" t="e">
        <f t="shared" si="13"/>
        <v>#REF!</v>
      </c>
      <c r="P173" s="1" t="e">
        <f t="shared" si="13"/>
        <v>#REF!</v>
      </c>
      <c r="Q173" s="1" t="e">
        <f t="shared" si="13"/>
        <v>#REF!</v>
      </c>
      <c r="R173" s="1" t="e">
        <f t="shared" si="13"/>
        <v>#REF!</v>
      </c>
      <c r="S173" s="1" t="e">
        <f t="shared" si="13"/>
        <v>#REF!</v>
      </c>
      <c r="T173" s="1" t="e">
        <f t="shared" si="13"/>
        <v>#REF!</v>
      </c>
      <c r="U173" s="1" t="e">
        <f t="shared" si="13"/>
        <v>#REF!</v>
      </c>
      <c r="V173" s="1" t="e">
        <f t="shared" ref="V173:AJ173" si="14">F35/1000</f>
        <v>#REF!</v>
      </c>
      <c r="W173" s="1" t="e">
        <f t="shared" si="14"/>
        <v>#REF!</v>
      </c>
      <c r="X173" s="1" t="e">
        <f t="shared" si="14"/>
        <v>#REF!</v>
      </c>
      <c r="Y173" s="1" t="e">
        <f t="shared" si="14"/>
        <v>#REF!</v>
      </c>
      <c r="Z173" s="1" t="e">
        <f t="shared" si="14"/>
        <v>#REF!</v>
      </c>
      <c r="AA173" s="1" t="e">
        <f t="shared" si="14"/>
        <v>#REF!</v>
      </c>
      <c r="AB173" s="1" t="e">
        <f t="shared" si="14"/>
        <v>#REF!</v>
      </c>
      <c r="AC173" s="1" t="e">
        <f t="shared" si="14"/>
        <v>#REF!</v>
      </c>
      <c r="AD173" s="1" t="e">
        <f t="shared" si="14"/>
        <v>#REF!</v>
      </c>
      <c r="AE173" s="1" t="e">
        <f t="shared" si="14"/>
        <v>#REF!</v>
      </c>
      <c r="AF173" s="1" t="e">
        <f t="shared" si="14"/>
        <v>#REF!</v>
      </c>
      <c r="AG173" s="1" t="e">
        <f t="shared" si="14"/>
        <v>#REF!</v>
      </c>
      <c r="AH173" s="1" t="e">
        <f t="shared" si="14"/>
        <v>#REF!</v>
      </c>
      <c r="AI173" s="1" t="e">
        <f t="shared" si="14"/>
        <v>#REF!</v>
      </c>
      <c r="AJ173" s="1" t="e">
        <f t="shared" si="14"/>
        <v>#REF!</v>
      </c>
    </row>
    <row r="174" spans="5:36" x14ac:dyDescent="0.3">
      <c r="E174" s="1" t="s">
        <v>243</v>
      </c>
      <c r="F174" s="1" t="e">
        <f t="shared" ref="F174:U176" si="15">E8/1000</f>
        <v>#REF!</v>
      </c>
      <c r="G174" s="1" t="e">
        <f t="shared" si="15"/>
        <v>#REF!</v>
      </c>
      <c r="H174" s="1">
        <f t="shared" si="15"/>
        <v>750</v>
      </c>
      <c r="I174" s="1">
        <f t="shared" si="15"/>
        <v>776.2</v>
      </c>
      <c r="J174" s="1">
        <f t="shared" si="15"/>
        <v>803.4</v>
      </c>
      <c r="K174" s="1">
        <f t="shared" si="15"/>
        <v>831.5</v>
      </c>
      <c r="L174" s="1">
        <f t="shared" si="15"/>
        <v>860.6</v>
      </c>
      <c r="M174" s="1">
        <f t="shared" si="15"/>
        <v>560</v>
      </c>
      <c r="N174" s="1">
        <f t="shared" si="15"/>
        <v>579.6</v>
      </c>
      <c r="O174" s="1">
        <f t="shared" si="15"/>
        <v>599.9</v>
      </c>
      <c r="P174" s="1">
        <f t="shared" si="15"/>
        <v>620.9</v>
      </c>
      <c r="Q174" s="1">
        <f t="shared" si="15"/>
        <v>642.6</v>
      </c>
      <c r="R174" s="1">
        <f t="shared" si="15"/>
        <v>665.1</v>
      </c>
      <c r="S174" s="1">
        <f t="shared" si="15"/>
        <v>688.4</v>
      </c>
      <c r="T174" s="1">
        <f t="shared" si="15"/>
        <v>712.5</v>
      </c>
      <c r="U174" s="1">
        <f t="shared" si="15"/>
        <v>737.4</v>
      </c>
      <c r="V174" s="1">
        <f t="shared" ref="V174:AJ176" si="16">F29/1000</f>
        <v>763.2</v>
      </c>
      <c r="W174" s="1">
        <f t="shared" si="16"/>
        <v>789.9</v>
      </c>
      <c r="X174" s="1">
        <f t="shared" si="16"/>
        <v>817.5</v>
      </c>
      <c r="Y174" s="1">
        <f t="shared" si="16"/>
        <v>846.1</v>
      </c>
      <c r="Z174" s="1">
        <f t="shared" si="16"/>
        <v>875.7</v>
      </c>
      <c r="AA174" s="1">
        <f t="shared" si="16"/>
        <v>906.3</v>
      </c>
      <c r="AB174" s="1">
        <f t="shared" si="16"/>
        <v>938</v>
      </c>
      <c r="AC174" s="1">
        <f t="shared" si="16"/>
        <v>970.8</v>
      </c>
      <c r="AD174" s="1">
        <f t="shared" si="16"/>
        <v>1004.8</v>
      </c>
      <c r="AE174" s="1">
        <f t="shared" si="16"/>
        <v>1040</v>
      </c>
      <c r="AF174" s="1">
        <f t="shared" si="16"/>
        <v>1076.4000000000001</v>
      </c>
      <c r="AG174" s="1">
        <f t="shared" si="16"/>
        <v>1114.0999999999999</v>
      </c>
      <c r="AH174" s="1">
        <f t="shared" si="16"/>
        <v>1153.0999999999999</v>
      </c>
      <c r="AI174" s="1">
        <f t="shared" si="16"/>
        <v>1193.5</v>
      </c>
      <c r="AJ174" s="1">
        <f t="shared" si="16"/>
        <v>1235.3</v>
      </c>
    </row>
    <row r="175" spans="5:36" x14ac:dyDescent="0.3">
      <c r="E175" s="1" t="s">
        <v>218</v>
      </c>
      <c r="F175" s="1" t="e">
        <f t="shared" si="15"/>
        <v>#VALUE!</v>
      </c>
      <c r="G175" s="1" t="e">
        <f t="shared" si="15"/>
        <v>#VALUE!</v>
      </c>
      <c r="H175" s="1" t="e">
        <f t="shared" si="15"/>
        <v>#VALUE!</v>
      </c>
      <c r="I175" s="1" t="e">
        <f t="shared" si="15"/>
        <v>#VALUE!</v>
      </c>
      <c r="J175" s="1" t="e">
        <f t="shared" si="15"/>
        <v>#VALUE!</v>
      </c>
      <c r="K175" s="1" t="e">
        <f t="shared" si="15"/>
        <v>#VALUE!</v>
      </c>
      <c r="L175" s="1" t="e">
        <f t="shared" si="15"/>
        <v>#VALUE!</v>
      </c>
      <c r="M175" s="1" t="e">
        <f t="shared" si="15"/>
        <v>#VALUE!</v>
      </c>
      <c r="N175" s="1" t="e">
        <f t="shared" si="15"/>
        <v>#VALUE!</v>
      </c>
      <c r="O175" s="1" t="e">
        <f t="shared" si="15"/>
        <v>#VALUE!</v>
      </c>
      <c r="P175" s="1" t="e">
        <f t="shared" si="15"/>
        <v>#VALUE!</v>
      </c>
      <c r="Q175" s="1" t="e">
        <f t="shared" si="15"/>
        <v>#VALUE!</v>
      </c>
      <c r="R175" s="1" t="e">
        <f t="shared" si="15"/>
        <v>#VALUE!</v>
      </c>
      <c r="S175" s="1" t="e">
        <f t="shared" si="15"/>
        <v>#VALUE!</v>
      </c>
      <c r="T175" s="1" t="e">
        <f t="shared" si="15"/>
        <v>#VALUE!</v>
      </c>
      <c r="U175" s="1" t="e">
        <f t="shared" si="15"/>
        <v>#VALUE!</v>
      </c>
      <c r="V175" s="1" t="e">
        <f t="shared" si="16"/>
        <v>#VALUE!</v>
      </c>
      <c r="W175" s="1" t="e">
        <f t="shared" si="16"/>
        <v>#VALUE!</v>
      </c>
      <c r="X175" s="1" t="e">
        <f t="shared" si="16"/>
        <v>#VALUE!</v>
      </c>
      <c r="Y175" s="1" t="e">
        <f t="shared" si="16"/>
        <v>#VALUE!</v>
      </c>
      <c r="Z175" s="1" t="e">
        <f t="shared" si="16"/>
        <v>#VALUE!</v>
      </c>
      <c r="AA175" s="1" t="e">
        <f t="shared" si="16"/>
        <v>#VALUE!</v>
      </c>
      <c r="AB175" s="1" t="e">
        <f t="shared" si="16"/>
        <v>#VALUE!</v>
      </c>
      <c r="AC175" s="1" t="e">
        <f t="shared" si="16"/>
        <v>#VALUE!</v>
      </c>
      <c r="AD175" s="1" t="e">
        <f t="shared" si="16"/>
        <v>#VALUE!</v>
      </c>
      <c r="AE175" s="1" t="e">
        <f t="shared" si="16"/>
        <v>#VALUE!</v>
      </c>
      <c r="AF175" s="1" t="e">
        <f t="shared" si="16"/>
        <v>#VALUE!</v>
      </c>
      <c r="AG175" s="1" t="e">
        <f t="shared" si="16"/>
        <v>#VALUE!</v>
      </c>
      <c r="AH175" s="1" t="e">
        <f t="shared" si="16"/>
        <v>#VALUE!</v>
      </c>
      <c r="AI175" s="1" t="e">
        <f t="shared" si="16"/>
        <v>#VALUE!</v>
      </c>
      <c r="AJ175" s="1" t="e">
        <f t="shared" si="16"/>
        <v>#VALUE!</v>
      </c>
    </row>
    <row r="176" spans="5:36" x14ac:dyDescent="0.3">
      <c r="E176" s="1" t="s">
        <v>219</v>
      </c>
      <c r="F176" s="1" t="e">
        <f t="shared" si="15"/>
        <v>#VALUE!</v>
      </c>
      <c r="G176" s="1" t="e">
        <f t="shared" si="15"/>
        <v>#VALUE!</v>
      </c>
      <c r="H176" s="1" t="e">
        <f t="shared" si="15"/>
        <v>#VALUE!</v>
      </c>
      <c r="I176" s="1" t="e">
        <f t="shared" si="15"/>
        <v>#VALUE!</v>
      </c>
      <c r="J176" s="1" t="e">
        <f t="shared" si="15"/>
        <v>#VALUE!</v>
      </c>
      <c r="K176" s="1" t="e">
        <f t="shared" si="15"/>
        <v>#VALUE!</v>
      </c>
      <c r="L176" s="1" t="e">
        <f t="shared" si="15"/>
        <v>#VALUE!</v>
      </c>
      <c r="M176" s="1" t="e">
        <f t="shared" si="15"/>
        <v>#VALUE!</v>
      </c>
      <c r="N176" s="1" t="e">
        <f t="shared" si="15"/>
        <v>#VALUE!</v>
      </c>
      <c r="O176" s="1" t="e">
        <f t="shared" si="15"/>
        <v>#VALUE!</v>
      </c>
      <c r="P176" s="1" t="e">
        <f t="shared" si="15"/>
        <v>#VALUE!</v>
      </c>
      <c r="Q176" s="1" t="e">
        <f t="shared" si="15"/>
        <v>#VALUE!</v>
      </c>
      <c r="R176" s="1" t="e">
        <f t="shared" si="15"/>
        <v>#VALUE!</v>
      </c>
      <c r="S176" s="1" t="e">
        <f t="shared" si="15"/>
        <v>#VALUE!</v>
      </c>
      <c r="T176" s="1" t="e">
        <f t="shared" si="15"/>
        <v>#VALUE!</v>
      </c>
      <c r="U176" s="1" t="e">
        <f t="shared" si="15"/>
        <v>#VALUE!</v>
      </c>
      <c r="V176" s="1" t="e">
        <f t="shared" si="16"/>
        <v>#VALUE!</v>
      </c>
      <c r="W176" s="1" t="e">
        <f t="shared" si="16"/>
        <v>#VALUE!</v>
      </c>
      <c r="X176" s="1" t="e">
        <f t="shared" si="16"/>
        <v>#VALUE!</v>
      </c>
      <c r="Y176" s="1" t="e">
        <f t="shared" si="16"/>
        <v>#VALUE!</v>
      </c>
      <c r="Z176" s="1" t="e">
        <f t="shared" si="16"/>
        <v>#VALUE!</v>
      </c>
      <c r="AA176" s="1" t="e">
        <f t="shared" si="16"/>
        <v>#VALUE!</v>
      </c>
      <c r="AB176" s="1" t="e">
        <f t="shared" si="16"/>
        <v>#VALUE!</v>
      </c>
      <c r="AC176" s="1" t="e">
        <f t="shared" si="16"/>
        <v>#VALUE!</v>
      </c>
      <c r="AD176" s="1" t="e">
        <f t="shared" si="16"/>
        <v>#VALUE!</v>
      </c>
      <c r="AE176" s="1" t="e">
        <f t="shared" si="16"/>
        <v>#VALUE!</v>
      </c>
      <c r="AF176" s="1" t="e">
        <f t="shared" si="16"/>
        <v>#VALUE!</v>
      </c>
      <c r="AG176" s="1" t="e">
        <f t="shared" si="16"/>
        <v>#VALUE!</v>
      </c>
      <c r="AH176" s="1" t="e">
        <f t="shared" si="16"/>
        <v>#VALUE!</v>
      </c>
      <c r="AI176" s="1" t="e">
        <f t="shared" si="16"/>
        <v>#VALUE!</v>
      </c>
      <c r="AJ176" s="1" t="e">
        <f t="shared" si="16"/>
        <v>#VALUE!</v>
      </c>
    </row>
    <row r="177" spans="3:36" x14ac:dyDescent="0.3">
      <c r="E177" s="1" t="s">
        <v>244</v>
      </c>
      <c r="F177" s="1" t="e">
        <f t="shared" ref="F177:U177" si="17">E16/1000</f>
        <v>#REF!</v>
      </c>
      <c r="G177" s="1" t="e">
        <f t="shared" si="17"/>
        <v>#REF!</v>
      </c>
      <c r="H177" s="1" t="e">
        <f t="shared" si="17"/>
        <v>#REF!</v>
      </c>
      <c r="I177" s="1" t="e">
        <f t="shared" si="17"/>
        <v>#REF!</v>
      </c>
      <c r="J177" s="1" t="e">
        <f t="shared" si="17"/>
        <v>#REF!</v>
      </c>
      <c r="K177" s="1" t="e">
        <f t="shared" si="17"/>
        <v>#REF!</v>
      </c>
      <c r="L177" s="1" t="e">
        <f t="shared" si="17"/>
        <v>#REF!</v>
      </c>
      <c r="M177" s="1" t="e">
        <f t="shared" si="17"/>
        <v>#REF!</v>
      </c>
      <c r="N177" s="1" t="e">
        <f t="shared" si="17"/>
        <v>#REF!</v>
      </c>
      <c r="O177" s="1" t="e">
        <f t="shared" si="17"/>
        <v>#REF!</v>
      </c>
      <c r="P177" s="1" t="e">
        <f t="shared" si="17"/>
        <v>#REF!</v>
      </c>
      <c r="Q177" s="1" t="e">
        <f t="shared" si="17"/>
        <v>#REF!</v>
      </c>
      <c r="R177" s="1" t="e">
        <f t="shared" si="17"/>
        <v>#REF!</v>
      </c>
      <c r="S177" s="1" t="e">
        <f t="shared" si="17"/>
        <v>#REF!</v>
      </c>
      <c r="T177" s="1" t="e">
        <f t="shared" si="17"/>
        <v>#REF!</v>
      </c>
      <c r="U177" s="1" t="e">
        <f t="shared" si="17"/>
        <v>#REF!</v>
      </c>
      <c r="V177" s="1" t="e">
        <f t="shared" ref="V177:AJ177" si="18">F37/1000</f>
        <v>#REF!</v>
      </c>
      <c r="W177" s="1" t="e">
        <f t="shared" si="18"/>
        <v>#REF!</v>
      </c>
      <c r="X177" s="1" t="e">
        <f t="shared" si="18"/>
        <v>#REF!</v>
      </c>
      <c r="Y177" s="1" t="e">
        <f t="shared" si="18"/>
        <v>#REF!</v>
      </c>
      <c r="Z177" s="1" t="e">
        <f t="shared" si="18"/>
        <v>#REF!</v>
      </c>
      <c r="AA177" s="1" t="e">
        <f t="shared" si="18"/>
        <v>#REF!</v>
      </c>
      <c r="AB177" s="1" t="e">
        <f t="shared" si="18"/>
        <v>#REF!</v>
      </c>
      <c r="AC177" s="1" t="e">
        <f t="shared" si="18"/>
        <v>#REF!</v>
      </c>
      <c r="AD177" s="1" t="e">
        <f t="shared" si="18"/>
        <v>#REF!</v>
      </c>
      <c r="AE177" s="1" t="e">
        <f t="shared" si="18"/>
        <v>#REF!</v>
      </c>
      <c r="AF177" s="1" t="e">
        <f t="shared" si="18"/>
        <v>#REF!</v>
      </c>
      <c r="AG177" s="1" t="e">
        <f t="shared" si="18"/>
        <v>#REF!</v>
      </c>
      <c r="AH177" s="1" t="e">
        <f t="shared" si="18"/>
        <v>#REF!</v>
      </c>
      <c r="AI177" s="1" t="e">
        <f t="shared" si="18"/>
        <v>#REF!</v>
      </c>
      <c r="AJ177" s="1" t="e">
        <f t="shared" si="18"/>
        <v>#REF!</v>
      </c>
    </row>
    <row r="190" spans="3:36" x14ac:dyDescent="0.3">
      <c r="C190" s="1" t="s">
        <v>245</v>
      </c>
    </row>
    <row r="191" spans="3:36" x14ac:dyDescent="0.3">
      <c r="C191" s="1" t="s">
        <v>35</v>
      </c>
    </row>
  </sheetData>
  <mergeCells count="100">
    <mergeCell ref="K75:K76"/>
    <mergeCell ref="L75:L76"/>
    <mergeCell ref="M75:M76"/>
    <mergeCell ref="N75:N76"/>
    <mergeCell ref="O75:O76"/>
    <mergeCell ref="K73:K74"/>
    <mergeCell ref="L73:L74"/>
    <mergeCell ref="M73:M74"/>
    <mergeCell ref="N73:N74"/>
    <mergeCell ref="O73:O74"/>
    <mergeCell ref="P71:P72"/>
    <mergeCell ref="Q71:Q72"/>
    <mergeCell ref="R71:R72"/>
    <mergeCell ref="S71:S72"/>
    <mergeCell ref="P75:P76"/>
    <mergeCell ref="Q75:Q76"/>
    <mergeCell ref="P73:P74"/>
    <mergeCell ref="R75:R76"/>
    <mergeCell ref="S75:S76"/>
    <mergeCell ref="Q73:Q74"/>
    <mergeCell ref="R73:R74"/>
    <mergeCell ref="S73:S74"/>
    <mergeCell ref="K71:K72"/>
    <mergeCell ref="L71:L72"/>
    <mergeCell ref="M71:M72"/>
    <mergeCell ref="N71:N72"/>
    <mergeCell ref="O71:O72"/>
    <mergeCell ref="S67:S68"/>
    <mergeCell ref="K69:K70"/>
    <mergeCell ref="L69:L70"/>
    <mergeCell ref="M69:M70"/>
    <mergeCell ref="N69:N70"/>
    <mergeCell ref="O69:O70"/>
    <mergeCell ref="P69:P70"/>
    <mergeCell ref="Q69:Q70"/>
    <mergeCell ref="R69:R70"/>
    <mergeCell ref="S69:S70"/>
    <mergeCell ref="P67:P68"/>
    <mergeCell ref="Q67:Q68"/>
    <mergeCell ref="K67:K68"/>
    <mergeCell ref="L67:L68"/>
    <mergeCell ref="M67:M68"/>
    <mergeCell ref="N67:N68"/>
    <mergeCell ref="K65:K66"/>
    <mergeCell ref="L65:L66"/>
    <mergeCell ref="M65:M66"/>
    <mergeCell ref="N65:N66"/>
    <mergeCell ref="O65:O66"/>
    <mergeCell ref="O67:O68"/>
    <mergeCell ref="P63:P64"/>
    <mergeCell ref="Q63:Q64"/>
    <mergeCell ref="R63:R64"/>
    <mergeCell ref="R67:R68"/>
    <mergeCell ref="S63:S64"/>
    <mergeCell ref="Q65:Q66"/>
    <mergeCell ref="R65:R66"/>
    <mergeCell ref="S65:S66"/>
    <mergeCell ref="P65:P66"/>
    <mergeCell ref="K63:K64"/>
    <mergeCell ref="L63:L64"/>
    <mergeCell ref="M63:M64"/>
    <mergeCell ref="N63:N64"/>
    <mergeCell ref="O63:O64"/>
    <mergeCell ref="R59:R60"/>
    <mergeCell ref="S59:S60"/>
    <mergeCell ref="K61:K62"/>
    <mergeCell ref="L61:L62"/>
    <mergeCell ref="M61:M62"/>
    <mergeCell ref="N61:N62"/>
    <mergeCell ref="O61:O62"/>
    <mergeCell ref="P61:P62"/>
    <mergeCell ref="Q61:Q62"/>
    <mergeCell ref="R61:R62"/>
    <mergeCell ref="S61:S62"/>
    <mergeCell ref="Q57:Q58"/>
    <mergeCell ref="R57:R58"/>
    <mergeCell ref="S57:S58"/>
    <mergeCell ref="K59:K60"/>
    <mergeCell ref="L59:L60"/>
    <mergeCell ref="M59:M60"/>
    <mergeCell ref="N59:N60"/>
    <mergeCell ref="O59:O60"/>
    <mergeCell ref="P59:P60"/>
    <mergeCell ref="Q59:Q60"/>
    <mergeCell ref="K57:K58"/>
    <mergeCell ref="L57:L58"/>
    <mergeCell ref="M57:M58"/>
    <mergeCell ref="N57:N58"/>
    <mergeCell ref="O57:O58"/>
    <mergeCell ref="P57:P58"/>
    <mergeCell ref="K51:S53"/>
    <mergeCell ref="K54:K56"/>
    <mergeCell ref="L54:L56"/>
    <mergeCell ref="M54:M56"/>
    <mergeCell ref="N54:N56"/>
    <mergeCell ref="O54:O56"/>
    <mergeCell ref="P54:P56"/>
    <mergeCell ref="Q54:Q56"/>
    <mergeCell ref="R54:R56"/>
    <mergeCell ref="S54:S56"/>
  </mergeCells>
  <dataValidations count="1">
    <dataValidation type="list" allowBlank="1" showInputMessage="1" sqref="C9:C10" xr:uid="{20EA269B-4F25-9A43-88A1-DEE175C24DFF}">
      <formula1>#REF!</formula1>
    </dataValidation>
  </dataValidations>
  <pageMargins left="0.7" right="0.7" top="0.75" bottom="0.75" header="0.3" footer="0.3"/>
  <pageSetup scale="62" orientation="landscape"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EACA02BA1DF24785CA684C51E82A60" ma:contentTypeVersion="18" ma:contentTypeDescription="Create a new document." ma:contentTypeScope="" ma:versionID="9a15a445e5ffccc5055b1d4883fc132d">
  <xsd:schema xmlns:xsd="http://www.w3.org/2001/XMLSchema" xmlns:xs="http://www.w3.org/2001/XMLSchema" xmlns:p="http://schemas.microsoft.com/office/2006/metadata/properties" xmlns:ns2="2e0e84ed-53e6-45b0-ae09-51ce4d9ba7c6" xmlns:ns3="b4390a8b-d635-4a7a-9f18-76995a606595" targetNamespace="http://schemas.microsoft.com/office/2006/metadata/properties" ma:root="true" ma:fieldsID="6364b330e1760dc2e9b1f4363d28663c" ns2:_="" ns3:_="">
    <xsd:import namespace="2e0e84ed-53e6-45b0-ae09-51ce4d9ba7c6"/>
    <xsd:import namespace="b4390a8b-d635-4a7a-9f18-76995a6065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0e84ed-53e6-45b0-ae09-51ce4d9ba7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b66590c-4dbb-43c0-a50e-af751f557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390a8b-d635-4a7a-9f18-76995a60659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beab6ec-798e-41b9-b5bf-3ece2940c5a9}" ma:internalName="TaxCatchAll" ma:showField="CatchAllData" ma:web="b4390a8b-d635-4a7a-9f18-76995a606595">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e0e84ed-53e6-45b0-ae09-51ce4d9ba7c6">
      <Terms xmlns="http://schemas.microsoft.com/office/infopath/2007/PartnerControls"/>
    </lcf76f155ced4ddcb4097134ff3c332f>
    <TaxCatchAll xmlns="b4390a8b-d635-4a7a-9f18-76995a606595" xsi:nil="true"/>
  </documentManagement>
</p:properties>
</file>

<file path=customXml/itemProps1.xml><?xml version="1.0" encoding="utf-8"?>
<ds:datastoreItem xmlns:ds="http://schemas.openxmlformats.org/officeDocument/2006/customXml" ds:itemID="{02A5AB5D-6C6F-45DD-8FC3-29AC832A097D}"/>
</file>

<file path=customXml/itemProps2.xml><?xml version="1.0" encoding="utf-8"?>
<ds:datastoreItem xmlns:ds="http://schemas.openxmlformats.org/officeDocument/2006/customXml" ds:itemID="{55488486-3B1D-4526-9A98-E3F5E578F4A3}"/>
</file>

<file path=customXml/itemProps3.xml><?xml version="1.0" encoding="utf-8"?>
<ds:datastoreItem xmlns:ds="http://schemas.openxmlformats.org/officeDocument/2006/customXml" ds:itemID="{B294E0F3-B72F-4D33-85FF-C7F815455C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129</vt:i4>
      </vt:variant>
    </vt:vector>
  </HeadingPairs>
  <TitlesOfParts>
    <vt:vector size="134" baseType="lpstr">
      <vt:lpstr>Reserve Qtrly 7-25 NOT UPDATED</vt:lpstr>
      <vt:lpstr>Reserve Analysis - 2025 Update</vt:lpstr>
      <vt:lpstr>Reserve Analysis - 2024 Update</vt:lpstr>
      <vt:lpstr>Reserve Study 2023 (4-24)</vt:lpstr>
      <vt:lpstr>Funding Plan 2023 (4-24)</vt:lpstr>
      <vt:lpstr>'Funding Plan 2023 (4-24)'!comprises</vt:lpstr>
      <vt:lpstr>'Reserve Analysis - 2024 Update'!expenditures0</vt:lpstr>
      <vt:lpstr>'Reserve Analysis - 2025 Update'!expenditures0</vt:lpstr>
      <vt:lpstr>'Reserve Study 2023 (4-24)'!expenditures0</vt:lpstr>
      <vt:lpstr>'Reserve Analysis - 2024 Update'!expenditures1</vt:lpstr>
      <vt:lpstr>'Reserve Analysis - 2025 Update'!expenditures1</vt:lpstr>
      <vt:lpstr>'Reserve Study 2023 (4-24)'!expenditures1</vt:lpstr>
      <vt:lpstr>'Reserve Analysis - 2024 Update'!expenditures10</vt:lpstr>
      <vt:lpstr>'Reserve Analysis - 2025 Update'!expenditures10</vt:lpstr>
      <vt:lpstr>'Reserve Study 2023 (4-24)'!expenditures10</vt:lpstr>
      <vt:lpstr>'Reserve Analysis - 2024 Update'!expenditures11</vt:lpstr>
      <vt:lpstr>'Reserve Analysis - 2025 Update'!expenditures11</vt:lpstr>
      <vt:lpstr>'Reserve Study 2023 (4-24)'!expenditures11</vt:lpstr>
      <vt:lpstr>'Reserve Analysis - 2024 Update'!expenditures12</vt:lpstr>
      <vt:lpstr>'Reserve Analysis - 2025 Update'!expenditures12</vt:lpstr>
      <vt:lpstr>'Reserve Study 2023 (4-24)'!expenditures12</vt:lpstr>
      <vt:lpstr>'Reserve Analysis - 2024 Update'!expenditures13</vt:lpstr>
      <vt:lpstr>'Reserve Analysis - 2025 Update'!expenditures13</vt:lpstr>
      <vt:lpstr>'Reserve Study 2023 (4-24)'!expenditures13</vt:lpstr>
      <vt:lpstr>'Reserve Analysis - 2024 Update'!expenditures14</vt:lpstr>
      <vt:lpstr>'Reserve Analysis - 2025 Update'!expenditures14</vt:lpstr>
      <vt:lpstr>'Reserve Study 2023 (4-24)'!expenditures14</vt:lpstr>
      <vt:lpstr>'Reserve Analysis - 2024 Update'!expenditures15</vt:lpstr>
      <vt:lpstr>'Reserve Analysis - 2025 Update'!expenditures15</vt:lpstr>
      <vt:lpstr>'Reserve Study 2023 (4-24)'!expenditures15</vt:lpstr>
      <vt:lpstr>'Reserve Analysis - 2024 Update'!expenditures16</vt:lpstr>
      <vt:lpstr>'Reserve Analysis - 2025 Update'!expenditures16</vt:lpstr>
      <vt:lpstr>'Reserve Study 2023 (4-24)'!expenditures16</vt:lpstr>
      <vt:lpstr>'Reserve Analysis - 2024 Update'!expenditures17</vt:lpstr>
      <vt:lpstr>'Reserve Analysis - 2025 Update'!expenditures17</vt:lpstr>
      <vt:lpstr>'Reserve Study 2023 (4-24)'!expenditures17</vt:lpstr>
      <vt:lpstr>'Reserve Analysis - 2024 Update'!expenditures18</vt:lpstr>
      <vt:lpstr>'Reserve Analysis - 2025 Update'!expenditures18</vt:lpstr>
      <vt:lpstr>'Reserve Study 2023 (4-24)'!expenditures18</vt:lpstr>
      <vt:lpstr>'Reserve Analysis - 2024 Update'!expenditures19</vt:lpstr>
      <vt:lpstr>'Reserve Analysis - 2025 Update'!expenditures19</vt:lpstr>
      <vt:lpstr>'Reserve Study 2023 (4-24)'!expenditures19</vt:lpstr>
      <vt:lpstr>'Reserve Analysis - 2024 Update'!expenditures2</vt:lpstr>
      <vt:lpstr>'Reserve Analysis - 2025 Update'!expenditures2</vt:lpstr>
      <vt:lpstr>'Reserve Study 2023 (4-24)'!expenditures2</vt:lpstr>
      <vt:lpstr>'Reserve Analysis - 2024 Update'!expenditures20</vt:lpstr>
      <vt:lpstr>'Reserve Analysis - 2025 Update'!expenditures20</vt:lpstr>
      <vt:lpstr>'Reserve Study 2023 (4-24)'!expenditures20</vt:lpstr>
      <vt:lpstr>'Reserve Analysis - 2024 Update'!expenditures21</vt:lpstr>
      <vt:lpstr>'Reserve Analysis - 2025 Update'!expenditures21</vt:lpstr>
      <vt:lpstr>'Reserve Study 2023 (4-24)'!expenditures21</vt:lpstr>
      <vt:lpstr>'Reserve Analysis - 2024 Update'!expenditures22</vt:lpstr>
      <vt:lpstr>'Reserve Analysis - 2025 Update'!expenditures22</vt:lpstr>
      <vt:lpstr>'Reserve Study 2023 (4-24)'!expenditures22</vt:lpstr>
      <vt:lpstr>'Reserve Analysis - 2024 Update'!expenditures23</vt:lpstr>
      <vt:lpstr>'Reserve Analysis - 2025 Update'!expenditures23</vt:lpstr>
      <vt:lpstr>'Reserve Study 2023 (4-24)'!expenditures23</vt:lpstr>
      <vt:lpstr>'Reserve Analysis - 2024 Update'!expenditures24</vt:lpstr>
      <vt:lpstr>'Reserve Analysis - 2025 Update'!expenditures24</vt:lpstr>
      <vt:lpstr>'Reserve Study 2023 (4-24)'!expenditures24</vt:lpstr>
      <vt:lpstr>'Reserve Analysis - 2024 Update'!expenditures25</vt:lpstr>
      <vt:lpstr>'Reserve Analysis - 2025 Update'!expenditures25</vt:lpstr>
      <vt:lpstr>'Reserve Study 2023 (4-24)'!expenditures25</vt:lpstr>
      <vt:lpstr>'Reserve Analysis - 2024 Update'!expenditures26</vt:lpstr>
      <vt:lpstr>'Reserve Analysis - 2025 Update'!expenditures26</vt:lpstr>
      <vt:lpstr>'Reserve Study 2023 (4-24)'!expenditures26</vt:lpstr>
      <vt:lpstr>'Reserve Analysis - 2024 Update'!expenditures27</vt:lpstr>
      <vt:lpstr>'Reserve Analysis - 2025 Update'!expenditures27</vt:lpstr>
      <vt:lpstr>'Reserve Study 2023 (4-24)'!expenditures27</vt:lpstr>
      <vt:lpstr>'Reserve Analysis - 2024 Update'!expenditures28</vt:lpstr>
      <vt:lpstr>'Reserve Analysis - 2025 Update'!expenditures28</vt:lpstr>
      <vt:lpstr>'Reserve Study 2023 (4-24)'!expenditures28</vt:lpstr>
      <vt:lpstr>'Reserve Analysis - 2024 Update'!expenditures29</vt:lpstr>
      <vt:lpstr>'Reserve Analysis - 2025 Update'!expenditures29</vt:lpstr>
      <vt:lpstr>'Reserve Study 2023 (4-24)'!expenditures29</vt:lpstr>
      <vt:lpstr>'Reserve Analysis - 2024 Update'!expenditures3</vt:lpstr>
      <vt:lpstr>'Reserve Analysis - 2025 Update'!expenditures3</vt:lpstr>
      <vt:lpstr>'Reserve Study 2023 (4-24)'!expenditures3</vt:lpstr>
      <vt:lpstr>'Reserve Analysis - 2024 Update'!expenditures30</vt:lpstr>
      <vt:lpstr>'Reserve Analysis - 2025 Update'!expenditures30</vt:lpstr>
      <vt:lpstr>'Reserve Study 2023 (4-24)'!expenditures30</vt:lpstr>
      <vt:lpstr>'Reserve Analysis - 2024 Update'!expenditures4</vt:lpstr>
      <vt:lpstr>'Reserve Analysis - 2025 Update'!expenditures4</vt:lpstr>
      <vt:lpstr>'Reserve Study 2023 (4-24)'!expenditures4</vt:lpstr>
      <vt:lpstr>'Reserve Analysis - 2024 Update'!expenditures5</vt:lpstr>
      <vt:lpstr>'Reserve Analysis - 2025 Update'!expenditures5</vt:lpstr>
      <vt:lpstr>'Reserve Study 2023 (4-24)'!expenditures5</vt:lpstr>
      <vt:lpstr>'Reserve Analysis - 2024 Update'!expenditures6</vt:lpstr>
      <vt:lpstr>'Reserve Analysis - 2025 Update'!expenditures6</vt:lpstr>
      <vt:lpstr>'Reserve Study 2023 (4-24)'!expenditures6</vt:lpstr>
      <vt:lpstr>'Reserve Analysis - 2024 Update'!expenditures7</vt:lpstr>
      <vt:lpstr>'Reserve Analysis - 2025 Update'!expenditures7</vt:lpstr>
      <vt:lpstr>'Reserve Study 2023 (4-24)'!expenditures7</vt:lpstr>
      <vt:lpstr>'Reserve Analysis - 2024 Update'!expenditures8</vt:lpstr>
      <vt:lpstr>'Reserve Analysis - 2025 Update'!expenditures8</vt:lpstr>
      <vt:lpstr>'Reserve Study 2023 (4-24)'!expenditures8</vt:lpstr>
      <vt:lpstr>'Reserve Analysis - 2024 Update'!expenditures9</vt:lpstr>
      <vt:lpstr>'Reserve Analysis - 2025 Update'!expenditures9</vt:lpstr>
      <vt:lpstr>'Reserve Study 2023 (4-24)'!expenditures9</vt:lpstr>
      <vt:lpstr>'Funding Plan 2023 (4-24)'!FL_ALT_TEXT1</vt:lpstr>
      <vt:lpstr>'Funding Plan 2023 (4-24)'!FL_ALT_TEXT2</vt:lpstr>
      <vt:lpstr>'Funding Plan 2023 (4-24)'!Fund_Round_Amount</vt:lpstr>
      <vt:lpstr>'Funding Plan 2023 (4-24)'!Funding_AdditionalAssessAmount</vt:lpstr>
      <vt:lpstr>'Funding Plan 2023 (4-24)'!Funding_AdditionalAssessBegin</vt:lpstr>
      <vt:lpstr>'Funding Plan 2023 (4-24)'!Funding_AdditionalAssessEnd</vt:lpstr>
      <vt:lpstr>'Funding Plan 2023 (4-24)'!Funding_AddRSAmount</vt:lpstr>
      <vt:lpstr>'Funding Plan 2023 (4-24)'!Funding_AddRSBegin_Year</vt:lpstr>
      <vt:lpstr>'Funding Plan 2023 (4-24)'!Funding_AddRSEnd_Year</vt:lpstr>
      <vt:lpstr>'Funding Plan 2023 (4-24)'!Funding_BeginBalance</vt:lpstr>
      <vt:lpstr>'Funding Plan 2023 (4-24)'!Funding_CurrentContrib</vt:lpstr>
      <vt:lpstr>'Funding Plan 2023 (4-24)'!Funding_DecreaseAmount</vt:lpstr>
      <vt:lpstr>'Funding Plan 2023 (4-24)'!Funding_DecreaseAmount2</vt:lpstr>
      <vt:lpstr>'Funding Plan 2023 (4-24)'!Funding_DecreaseYear</vt:lpstr>
      <vt:lpstr>'Funding Plan 2023 (4-24)'!Funding_FlatBegin</vt:lpstr>
      <vt:lpstr>'Funding Plan 2023 (4-24)'!Funding_FlatEnd</vt:lpstr>
      <vt:lpstr>'Funding Plan 2023 (4-24)'!Funding_InitialFunding</vt:lpstr>
      <vt:lpstr>'Funding Plan 2023 (4-24)'!Funding_NextContrib</vt:lpstr>
      <vt:lpstr>'Funding Plan 2023 (4-24)'!Funding_PhasedAmount</vt:lpstr>
      <vt:lpstr>'Funding Plan 2023 (4-24)'!Funding_PhaseNumbers</vt:lpstr>
      <vt:lpstr>'Funding Plan 2023 (4-24)'!fundingArea</vt:lpstr>
      <vt:lpstr>'Funding Plan 2023 (4-24)'!FundingDecreaseYear2</vt:lpstr>
      <vt:lpstr>'Funding Plan 2023 (4-24)'!FY_Res_Bal</vt:lpstr>
      <vt:lpstr>'Funding Plan 2023 (4-24)'!Inflation_Rate</vt:lpstr>
      <vt:lpstr>'Funding Plan 2023 (4-24)'!Interest</vt:lpstr>
      <vt:lpstr>'Funding Plan 2023 (4-24)'!List_Elements_to_justify_end_balance</vt:lpstr>
      <vt:lpstr>'Funding Plan 2023 (4-24)'!Print_Area</vt:lpstr>
      <vt:lpstr>'Reserve Analysis - 2024 Update'!Print_Area</vt:lpstr>
      <vt:lpstr>'Reserve Analysis - 2025 Update'!Print_Area</vt:lpstr>
      <vt:lpstr>'Reserve Analysis - 2024 Update'!Print_Titles</vt:lpstr>
      <vt:lpstr>'Reserve Analysis - 2025 Update'!Print_Titles</vt:lpstr>
      <vt:lpstr>'Funding Plan 2023 (4-24)'!Recently_Budgeted</vt:lpstr>
      <vt:lpstr>'Reserve Analysis - 2024 Update'!Total_Study_Expenditures</vt:lpstr>
      <vt:lpstr>'Reserve Analysis - 2025 Update'!Total_Study_Expenditures</vt:lpstr>
      <vt:lpstr>'Reserve Study 2023 (4-24)'!Total_Study_Expenditures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Manager</cp:lastModifiedBy>
  <dcterms:created xsi:type="dcterms:W3CDTF">2025-02-12T15:21:34Z</dcterms:created>
  <dcterms:modified xsi:type="dcterms:W3CDTF">2025-08-18T13:43:35Z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0x0101004CEACA02BA1DF24785CA684C51E82A60</vt:lpwstr>
  </property>
</Properties>
</file>