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Ramirez/Downloads/"/>
    </mc:Choice>
  </mc:AlternateContent>
  <xr:revisionPtr revIDLastSave="0" documentId="8_{9CE61B02-6B18-2642-9ED2-E92BF3E91F0A}" xr6:coauthVersionLast="47" xr6:coauthVersionMax="47" xr10:uidLastSave="{00000000-0000-0000-0000-000000000000}"/>
  <bookViews>
    <workbookView xWindow="0" yWindow="460" windowWidth="28800" windowHeight="15840" xr2:uid="{00000000-000D-0000-FFFF-FFFF00000000}"/>
  </bookViews>
  <sheets>
    <sheet name="20X7 December Budget" sheetId="3" r:id="rId1"/>
    <sheet name="20X7 December Forecast" sheetId="4" r:id="rId2"/>
    <sheet name="20X7 December Actual" sheetId="6" r:id="rId3"/>
    <sheet name="20X7 Actual Resul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6" l="1"/>
  <c r="L34" i="6"/>
  <c r="L33" i="6"/>
  <c r="C4" i="6"/>
  <c r="C6" i="6" s="1"/>
  <c r="C7" i="6" s="1"/>
  <c r="K16" i="4"/>
  <c r="K15" i="4"/>
  <c r="K14" i="4"/>
  <c r="K13" i="4"/>
  <c r="C6" i="4"/>
  <c r="C5" i="4" s="1"/>
  <c r="L35" i="4"/>
  <c r="L34" i="4"/>
  <c r="L33" i="4"/>
  <c r="C4" i="4"/>
  <c r="C7" i="4" s="1"/>
  <c r="L36" i="6" l="1"/>
  <c r="D26" i="6" s="1"/>
  <c r="J15" i="6"/>
  <c r="L15" i="6" s="1"/>
  <c r="J16" i="6"/>
  <c r="J14" i="6"/>
  <c r="L14" i="6" s="1"/>
  <c r="J13" i="6"/>
  <c r="D13" i="6"/>
  <c r="L36" i="4"/>
  <c r="D26" i="4" s="1"/>
  <c r="J16" i="4"/>
  <c r="J15" i="4"/>
  <c r="J14" i="4"/>
  <c r="J13" i="4"/>
  <c r="L35" i="3"/>
  <c r="L34" i="3"/>
  <c r="L33" i="3"/>
  <c r="C4" i="3"/>
  <c r="C6" i="3" s="1"/>
  <c r="C7" i="3" s="1"/>
  <c r="J16" i="3" s="1"/>
  <c r="J15" i="3" l="1"/>
  <c r="J14" i="3"/>
  <c r="J13" i="3"/>
  <c r="L13" i="3" s="1"/>
  <c r="L13" i="6"/>
  <c r="D11" i="6"/>
  <c r="J17" i="6"/>
  <c r="D12" i="6"/>
  <c r="L16" i="6"/>
  <c r="D14" i="6"/>
  <c r="D13" i="4"/>
  <c r="L15" i="4"/>
  <c r="D11" i="4"/>
  <c r="L13" i="4"/>
  <c r="J17" i="4"/>
  <c r="L14" i="4"/>
  <c r="D12" i="4"/>
  <c r="D14" i="4"/>
  <c r="L16" i="4"/>
  <c r="D13" i="3"/>
  <c r="L15" i="3"/>
  <c r="D12" i="3"/>
  <c r="L14" i="3"/>
  <c r="D14" i="3"/>
  <c r="L16" i="3"/>
  <c r="L36" i="3"/>
  <c r="D26" i="3" s="1"/>
  <c r="D11" i="3"/>
  <c r="J17" i="3" l="1"/>
  <c r="L17" i="4"/>
  <c r="D38" i="6"/>
  <c r="D33" i="6"/>
  <c r="D36" i="6"/>
  <c r="J29" i="6"/>
  <c r="L29" i="6" s="1"/>
  <c r="J28" i="6"/>
  <c r="L28" i="6" s="1"/>
  <c r="J27" i="6"/>
  <c r="L27" i="6" s="1"/>
  <c r="D37" i="6"/>
  <c r="D32" i="6"/>
  <c r="D15" i="6"/>
  <c r="D16" i="6" s="1"/>
  <c r="D19" i="6" s="1"/>
  <c r="L17" i="6"/>
  <c r="D15" i="4"/>
  <c r="D37" i="4"/>
  <c r="D32" i="4"/>
  <c r="D38" i="4"/>
  <c r="D33" i="4"/>
  <c r="D36" i="4"/>
  <c r="J29" i="4"/>
  <c r="L29" i="4" s="1"/>
  <c r="J28" i="4"/>
  <c r="L28" i="4" s="1"/>
  <c r="J27" i="4"/>
  <c r="L27" i="4" s="1"/>
  <c r="L17" i="3"/>
  <c r="J27" i="3"/>
  <c r="L27" i="3" s="1"/>
  <c r="J28" i="3"/>
  <c r="L28" i="3" s="1"/>
  <c r="J29" i="3"/>
  <c r="L29" i="3" s="1"/>
  <c r="D15" i="3"/>
  <c r="D16" i="3" s="1"/>
  <c r="D19" i="3" s="1"/>
  <c r="D38" i="3"/>
  <c r="D32" i="3"/>
  <c r="D37" i="3"/>
  <c r="D36" i="3"/>
  <c r="D33" i="3"/>
  <c r="L30" i="6" l="1"/>
  <c r="D25" i="6" s="1"/>
  <c r="D27" i="6" s="1"/>
  <c r="D39" i="6"/>
  <c r="L30" i="4"/>
  <c r="D25" i="4" s="1"/>
  <c r="D27" i="4"/>
  <c r="D16" i="4"/>
  <c r="D39" i="4"/>
  <c r="L30" i="3"/>
  <c r="D25" i="3" s="1"/>
  <c r="D27" i="3" s="1"/>
  <c r="E19" i="3"/>
  <c r="D39" i="3"/>
  <c r="D17" i="3"/>
  <c r="E37" i="3" s="1"/>
  <c r="E19" i="6" l="1"/>
  <c r="D17" i="6"/>
  <c r="E27" i="6" s="1"/>
  <c r="D28" i="6"/>
  <c r="D19" i="4"/>
  <c r="E19" i="4" s="1"/>
  <c r="D17" i="4"/>
  <c r="D28" i="4"/>
  <c r="D28" i="3"/>
  <c r="D29" i="3" s="1"/>
  <c r="E29" i="3" s="1"/>
  <c r="E36" i="3"/>
  <c r="E39" i="3"/>
  <c r="E32" i="3"/>
  <c r="D21" i="3"/>
  <c r="E25" i="3"/>
  <c r="E13" i="3"/>
  <c r="E17" i="3"/>
  <c r="E28" i="3"/>
  <c r="E35" i="3"/>
  <c r="E14" i="3"/>
  <c r="E27" i="3"/>
  <c r="E34" i="3"/>
  <c r="E12" i="3"/>
  <c r="E26" i="3"/>
  <c r="E11" i="3"/>
  <c r="E38" i="3"/>
  <c r="E16" i="3"/>
  <c r="E15" i="3"/>
  <c r="E33" i="3"/>
  <c r="E39" i="6" l="1"/>
  <c r="E35" i="6"/>
  <c r="E34" i="6"/>
  <c r="D21" i="6"/>
  <c r="E17" i="6"/>
  <c r="E26" i="6"/>
  <c r="E13" i="6"/>
  <c r="E14" i="6"/>
  <c r="E11" i="6"/>
  <c r="E12" i="6"/>
  <c r="E37" i="6"/>
  <c r="E33" i="6"/>
  <c r="E38" i="6"/>
  <c r="E32" i="6"/>
  <c r="E15" i="6"/>
  <c r="E36" i="6"/>
  <c r="E25" i="6"/>
  <c r="E28" i="6"/>
  <c r="E16" i="6"/>
  <c r="D29" i="6"/>
  <c r="E29" i="6" s="1"/>
  <c r="E35" i="4"/>
  <c r="E17" i="4"/>
  <c r="E34" i="4"/>
  <c r="D21" i="4"/>
  <c r="E26" i="4"/>
  <c r="E14" i="4"/>
  <c r="E13" i="4"/>
  <c r="E12" i="4"/>
  <c r="E11" i="4"/>
  <c r="E25" i="4"/>
  <c r="E36" i="4"/>
  <c r="E33" i="4"/>
  <c r="E15" i="4"/>
  <c r="E37" i="4"/>
  <c r="E38" i="4"/>
  <c r="E32" i="4"/>
  <c r="E27" i="4"/>
  <c r="E39" i="4"/>
  <c r="E28" i="4"/>
  <c r="E16" i="4"/>
  <c r="D29" i="4"/>
  <c r="E29" i="4" s="1"/>
  <c r="E21" i="3"/>
  <c r="D41" i="3"/>
  <c r="E41" i="3" s="1"/>
  <c r="D41" i="6" l="1"/>
  <c r="E41" i="6" s="1"/>
  <c r="E21" i="6"/>
  <c r="D41" i="4"/>
  <c r="E41" i="4" s="1"/>
  <c r="E21" i="4"/>
</calcChain>
</file>

<file path=xl/sharedStrings.xml><?xml version="1.0" encoding="utf-8"?>
<sst xmlns="http://schemas.openxmlformats.org/spreadsheetml/2006/main" count="253" uniqueCount="67">
  <si>
    <t>Available Rooms</t>
  </si>
  <si>
    <t>Hotel Occupancy</t>
  </si>
  <si>
    <t>Occupied Rooms</t>
  </si>
  <si>
    <t>Hotel Guests</t>
  </si>
  <si>
    <t>Rooms In Hotel</t>
  </si>
  <si>
    <t>REVENUE</t>
  </si>
  <si>
    <t>GUEST CAPTURE PER SERVICE</t>
  </si>
  <si>
    <t xml:space="preserve">   Facials</t>
  </si>
  <si>
    <t xml:space="preserve">   Manicures</t>
  </si>
  <si>
    <t xml:space="preserve">   Pedicures</t>
  </si>
  <si>
    <t xml:space="preserve">   Massage</t>
  </si>
  <si>
    <t>Total Service Revenue</t>
  </si>
  <si>
    <t>SPA REVENUE</t>
  </si>
  <si>
    <t>Service Revenue</t>
  </si>
  <si>
    <t>Merchandise Revenue</t>
  </si>
  <si>
    <t>TOTAL SPA REVENUE</t>
  </si>
  <si>
    <t>COST OF SALES</t>
  </si>
  <si>
    <t xml:space="preserve">  Hourly Staff</t>
  </si>
  <si>
    <t xml:space="preserve">  Management Staff</t>
  </si>
  <si>
    <t>PAYROLL &amp; BENEFITS</t>
  </si>
  <si>
    <t>Total Payroll</t>
  </si>
  <si>
    <t>Payroll</t>
  </si>
  <si>
    <t>GROSS PROFIT</t>
  </si>
  <si>
    <t>OTHER OPERATING EXPENSES</t>
  </si>
  <si>
    <t xml:space="preserve">   Cleaning &amp; Supplies</t>
  </si>
  <si>
    <t xml:space="preserve">   Linen</t>
  </si>
  <si>
    <t xml:space="preserve">   Miscellaneous</t>
  </si>
  <si>
    <t xml:space="preserve">   Laundry</t>
  </si>
  <si>
    <t xml:space="preserve">   Guest Supplies</t>
  </si>
  <si>
    <t xml:space="preserve">   Treatment Supplies</t>
  </si>
  <si>
    <t>TOTAL OTHER OPERATING EXPENSES</t>
  </si>
  <si>
    <t>DEPT PROFIT/(LOSS)</t>
  </si>
  <si>
    <t>TOTAL PAYROLL &amp; BENEFITS</t>
  </si>
  <si>
    <t>% OF GUESTS</t>
  </si>
  <si>
    <t>Cost Per Guest</t>
  </si>
  <si>
    <t xml:space="preserve">Management Staffing </t>
  </si>
  <si>
    <t>Supervisor</t>
  </si>
  <si>
    <t>Manager</t>
  </si>
  <si>
    <t>Director of Spa</t>
  </si>
  <si>
    <t>Annual Salary</t>
  </si>
  <si>
    <t>Monthly</t>
  </si>
  <si>
    <t>Hourly Staffing</t>
  </si>
  <si>
    <t>Technicians</t>
  </si>
  <si>
    <t>Hourly Rate</t>
  </si>
  <si>
    <t>Hours</t>
  </si>
  <si>
    <t>Hourly Wages</t>
  </si>
  <si>
    <t>Housekeeper</t>
  </si>
  <si>
    <t>Shop Clerk</t>
  </si>
  <si>
    <t>Total Hourly Payroll</t>
  </si>
  <si>
    <t>BUDGET FOR DECEMBER 20X7</t>
  </si>
  <si>
    <t>Payroll Schedules</t>
  </si>
  <si>
    <t>Total Management Payroll</t>
  </si>
  <si>
    <t>5% of Service Revenue</t>
  </si>
  <si>
    <t xml:space="preserve">   Decorations/Flowers</t>
  </si>
  <si>
    <t>50% of Merch. Revenue</t>
  </si>
  <si>
    <t>PTEB (28% of Total Payroll)</t>
  </si>
  <si>
    <t>GUESTS</t>
  </si>
  <si>
    <t>PRICE</t>
  </si>
  <si>
    <t>See Payroll Schedule</t>
  </si>
  <si>
    <t>See Revenue Schedule</t>
  </si>
  <si>
    <t>REVENUE SCHEDULE</t>
  </si>
  <si>
    <t>TOTALS</t>
  </si>
  <si>
    <t>BUDGET</t>
  </si>
  <si>
    <t>%</t>
  </si>
  <si>
    <t>Labor Std.</t>
  </si>
  <si>
    <t>FORECAST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</si>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</sst>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0" xfId="0" applyNumberFormat="1"/>
    <xf numFmtId="165" fontId="0" fillId="0" borderId="0" xfId="2" applyNumberFormat="1" applyFont="1"/>
    <xf numFmtId="164" fontId="0" fillId="0" borderId="0" xfId="0" applyNumberFormat="1"/>
    <xf numFmtId="44" fontId="0" fillId="0" borderId="0" xfId="3" applyFont="1"/>
    <xf numFmtId="164" fontId="0" fillId="0" borderId="1" xfId="0" applyNumberFormat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0" xfId="0" applyBorder="1"/>
    <xf numFmtId="164" fontId="0" fillId="0" borderId="0" xfId="1" applyNumberFormat="1" applyFont="1" applyBorder="1"/>
    <xf numFmtId="43" fontId="0" fillId="0" borderId="0" xfId="1" applyFont="1" applyBorder="1"/>
    <xf numFmtId="164" fontId="0" fillId="0" borderId="0" xfId="0" applyNumberFormat="1" applyBorder="1"/>
    <xf numFmtId="43" fontId="0" fillId="0" borderId="0" xfId="0" applyNumberFormat="1" applyBorder="1"/>
    <xf numFmtId="0" fontId="0" fillId="0" borderId="0" xfId="0" applyBorder="1" applyAlignment="1">
      <alignment horizontal="center"/>
    </xf>
    <xf numFmtId="44" fontId="0" fillId="0" borderId="0" xfId="3" applyFont="1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44" fontId="0" fillId="0" borderId="6" xfId="0" applyNumberFormat="1" applyBorder="1"/>
    <xf numFmtId="0" fontId="2" fillId="0" borderId="5" xfId="0" applyFont="1" applyBorder="1"/>
    <xf numFmtId="44" fontId="2" fillId="0" borderId="6" xfId="0" applyNumberFormat="1" applyFont="1" applyBorder="1"/>
    <xf numFmtId="43" fontId="0" fillId="0" borderId="6" xfId="1" applyFon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43" fontId="2" fillId="0" borderId="9" xfId="0" applyNumberFormat="1" applyFont="1" applyBorder="1"/>
    <xf numFmtId="165" fontId="0" fillId="0" borderId="1" xfId="2" applyNumberFormat="1" applyFont="1" applyBorder="1"/>
    <xf numFmtId="43" fontId="0" fillId="0" borderId="10" xfId="1" applyFont="1" applyBorder="1"/>
    <xf numFmtId="165" fontId="0" fillId="0" borderId="10" xfId="2" applyNumberFormat="1" applyFont="1" applyBorder="1"/>
    <xf numFmtId="43" fontId="0" fillId="0" borderId="11" xfId="0" applyNumberFormat="1" applyBorder="1"/>
    <xf numFmtId="165" fontId="0" fillId="0" borderId="11" xfId="2" applyNumberFormat="1" applyFont="1" applyBorder="1"/>
    <xf numFmtId="0" fontId="0" fillId="0" borderId="6" xfId="0" applyFill="1" applyBorder="1" applyAlignment="1">
      <alignment horizontal="center"/>
    </xf>
    <xf numFmtId="165" fontId="0" fillId="0" borderId="0" xfId="2" applyNumberFormat="1" applyFont="1" applyBorder="1"/>
    <xf numFmtId="164" fontId="0" fillId="0" borderId="6" xfId="1" applyNumberFormat="1" applyFont="1" applyBorder="1"/>
    <xf numFmtId="0" fontId="0" fillId="0" borderId="7" xfId="0" applyBorder="1"/>
    <xf numFmtId="164" fontId="0" fillId="0" borderId="9" xfId="0" applyNumberFormat="1" applyBorder="1"/>
    <xf numFmtId="44" fontId="0" fillId="0" borderId="1" xfId="3" applyFont="1" applyBorder="1"/>
    <xf numFmtId="164" fontId="0" fillId="0" borderId="12" xfId="1" applyNumberFormat="1" applyFont="1" applyBorder="1"/>
    <xf numFmtId="0" fontId="0" fillId="2" borderId="8" xfId="0" applyFill="1" applyBorder="1"/>
    <xf numFmtId="43" fontId="0" fillId="0" borderId="1" xfId="0" applyNumberFormat="1" applyBorder="1"/>
    <xf numFmtId="44" fontId="0" fillId="0" borderId="12" xfId="0" applyNumberFormat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43" fontId="0" fillId="0" borderId="12" xfId="1" applyFont="1" applyBorder="1"/>
    <xf numFmtId="164" fontId="0" fillId="2" borderId="8" xfId="0" applyNumberFormat="1" applyFill="1" applyBorder="1"/>
    <xf numFmtId="3" fontId="0" fillId="0" borderId="0" xfId="0" applyNumberFormat="1"/>
    <xf numFmtId="3" fontId="0" fillId="0" borderId="0" xfId="1" applyNumberFormat="1" applyFont="1"/>
    <xf numFmtId="3" fontId="0" fillId="0" borderId="1" xfId="1" applyNumberFormat="1" applyFont="1" applyBorder="1"/>
    <xf numFmtId="3" fontId="0" fillId="0" borderId="10" xfId="1" applyNumberFormat="1" applyFont="1" applyBorder="1"/>
    <xf numFmtId="3" fontId="0" fillId="0" borderId="11" xfId="0" applyNumberFormat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FC04-5BA9-794F-BDDD-B2BA942B01E2}">
  <dimension ref="B2:N42"/>
  <sheetViews>
    <sheetView tabSelected="1" zoomScale="98" workbookViewId="0">
      <selection activeCell="L3" sqref="L3"/>
    </sheetView>
  </sheetViews>
  <sheetFormatPr baseColWidth="10" defaultRowHeight="15" x14ac:dyDescent="0.2"/>
  <cols>
    <col min="2" max="2" width="28.33203125" bestFit="1" customWidth="1"/>
    <col min="3" max="3" width="18.33203125" bestFit="1" customWidth="1"/>
    <col min="4" max="4" width="12.6640625" bestFit="1" customWidth="1"/>
    <col min="6" max="6" width="12.33203125" bestFit="1" customWidth="1"/>
    <col min="8" max="8" width="24" customWidth="1"/>
    <col min="12" max="12" width="12.1640625" bestFit="1" customWidth="1"/>
  </cols>
  <sheetData>
    <row r="2" spans="2:12" x14ac:dyDescent="0.2">
      <c r="B2" t="s">
        <v>49</v>
      </c>
    </row>
    <row r="3" spans="2:12" x14ac:dyDescent="0.2">
      <c r="B3" t="s">
        <v>4</v>
      </c>
      <c r="C3">
        <v>300</v>
      </c>
    </row>
    <row r="4" spans="2:12" x14ac:dyDescent="0.2">
      <c r="B4" t="s">
        <v>0</v>
      </c>
      <c r="C4" s="2">
        <f>+C3*31</f>
        <v>9300</v>
      </c>
    </row>
    <row r="5" spans="2:12" x14ac:dyDescent="0.2">
      <c r="B5" t="s">
        <v>1</v>
      </c>
      <c r="C5" s="5">
        <v>0.85</v>
      </c>
    </row>
    <row r="6" spans="2:12" x14ac:dyDescent="0.2">
      <c r="B6" t="s">
        <v>2</v>
      </c>
      <c r="C6" s="2">
        <f>+C4*C5</f>
        <v>7905</v>
      </c>
    </row>
    <row r="7" spans="2:12" x14ac:dyDescent="0.2">
      <c r="B7" t="s">
        <v>3</v>
      </c>
      <c r="C7" s="2">
        <f>ROUND(+C6*1.75,0)</f>
        <v>13834</v>
      </c>
    </row>
    <row r="9" spans="2:12" ht="16" thickBot="1" x14ac:dyDescent="0.25">
      <c r="B9" t="s">
        <v>12</v>
      </c>
      <c r="D9" s="10" t="s">
        <v>62</v>
      </c>
      <c r="E9" s="10" t="s">
        <v>63</v>
      </c>
    </row>
    <row r="10" spans="2:12" x14ac:dyDescent="0.2">
      <c r="B10" t="s">
        <v>13</v>
      </c>
      <c r="H10" s="19"/>
      <c r="I10" s="20"/>
      <c r="J10" s="20"/>
      <c r="K10" s="20"/>
      <c r="L10" s="22"/>
    </row>
    <row r="11" spans="2:12" x14ac:dyDescent="0.2">
      <c r="B11" t="s">
        <v>10</v>
      </c>
      <c r="C11" t="s">
        <v>59</v>
      </c>
      <c r="D11" s="6">
        <f>+K13*J13</f>
        <v>34625</v>
      </c>
      <c r="E11" s="5">
        <f t="shared" ref="E11:E17" si="0">+D11/$D$17</f>
        <v>0.166979044069688</v>
      </c>
      <c r="H11" s="23"/>
      <c r="I11" s="12"/>
      <c r="J11" s="17" t="s">
        <v>60</v>
      </c>
      <c r="K11" s="12"/>
      <c r="L11" s="24"/>
    </row>
    <row r="12" spans="2:12" x14ac:dyDescent="0.2">
      <c r="B12" t="s">
        <v>7</v>
      </c>
      <c r="C12" t="s">
        <v>59</v>
      </c>
      <c r="D12" s="6">
        <f>+K14*J14</f>
        <v>72660</v>
      </c>
      <c r="E12" s="5">
        <f t="shared" si="0"/>
        <v>0.35040281132428969</v>
      </c>
      <c r="H12" s="23" t="s">
        <v>6</v>
      </c>
      <c r="I12" s="17" t="s">
        <v>33</v>
      </c>
      <c r="J12" s="17" t="s">
        <v>56</v>
      </c>
      <c r="K12" s="17" t="s">
        <v>57</v>
      </c>
      <c r="L12" s="39" t="s">
        <v>5</v>
      </c>
    </row>
    <row r="13" spans="2:12" x14ac:dyDescent="0.2">
      <c r="B13" t="s">
        <v>8</v>
      </c>
      <c r="C13" t="s">
        <v>59</v>
      </c>
      <c r="D13" s="6">
        <f>+K15*J15</f>
        <v>17992</v>
      </c>
      <c r="E13" s="5">
        <f t="shared" si="0"/>
        <v>8.6766410423157442E-2</v>
      </c>
      <c r="H13" s="23" t="s">
        <v>10</v>
      </c>
      <c r="I13" s="40">
        <v>0.02</v>
      </c>
      <c r="J13" s="15">
        <f>ROUND(+I13*$C$7,0)</f>
        <v>277</v>
      </c>
      <c r="K13" s="18">
        <v>125</v>
      </c>
      <c r="L13" s="41">
        <f>+J13*K13</f>
        <v>34625</v>
      </c>
    </row>
    <row r="14" spans="2:12" x14ac:dyDescent="0.2">
      <c r="B14" t="s">
        <v>9</v>
      </c>
      <c r="C14" t="s">
        <v>59</v>
      </c>
      <c r="D14" s="8">
        <f>+K16*J16</f>
        <v>72210</v>
      </c>
      <c r="E14" s="34">
        <f t="shared" si="0"/>
        <v>0.34823268656381723</v>
      </c>
      <c r="H14" s="23" t="s">
        <v>7</v>
      </c>
      <c r="I14" s="40">
        <v>0.05</v>
      </c>
      <c r="J14" s="15">
        <f>ROUND(+I14*$C$7,0)</f>
        <v>692</v>
      </c>
      <c r="K14" s="18">
        <v>105</v>
      </c>
      <c r="L14" s="41">
        <f t="shared" ref="L14:L16" si="1">+J14*K14</f>
        <v>72660</v>
      </c>
    </row>
    <row r="15" spans="2:12" x14ac:dyDescent="0.2">
      <c r="B15" t="s">
        <v>11</v>
      </c>
      <c r="D15" s="6">
        <f>SUM(D11:D14)</f>
        <v>197487</v>
      </c>
      <c r="E15" s="5">
        <f t="shared" si="0"/>
        <v>0.95238095238095233</v>
      </c>
      <c r="H15" s="23" t="s">
        <v>8</v>
      </c>
      <c r="I15" s="40">
        <v>2.5000000000000001E-2</v>
      </c>
      <c r="J15" s="15">
        <f>ROUND(+I15*$C$7,0)</f>
        <v>346</v>
      </c>
      <c r="K15" s="18">
        <v>52</v>
      </c>
      <c r="L15" s="41">
        <f t="shared" si="1"/>
        <v>17992</v>
      </c>
    </row>
    <row r="16" spans="2:12" x14ac:dyDescent="0.2">
      <c r="B16" t="s">
        <v>14</v>
      </c>
      <c r="C16" t="s">
        <v>52</v>
      </c>
      <c r="D16" s="8">
        <f>+D15*0.05</f>
        <v>9874.35</v>
      </c>
      <c r="E16" s="34">
        <f t="shared" si="0"/>
        <v>4.7619047619047616E-2</v>
      </c>
      <c r="H16" s="23" t="s">
        <v>9</v>
      </c>
      <c r="I16" s="34">
        <v>0.09</v>
      </c>
      <c r="J16" s="8">
        <f>ROUND(+I16*$C$7,0)</f>
        <v>1245</v>
      </c>
      <c r="K16" s="44">
        <v>58</v>
      </c>
      <c r="L16" s="45">
        <f t="shared" si="1"/>
        <v>72210</v>
      </c>
    </row>
    <row r="17" spans="2:14" ht="16" thickBot="1" x14ac:dyDescent="0.25">
      <c r="B17" t="s">
        <v>15</v>
      </c>
      <c r="D17" s="6">
        <f>+D15+D16</f>
        <v>207361.35</v>
      </c>
      <c r="E17" s="5">
        <f t="shared" si="0"/>
        <v>1</v>
      </c>
      <c r="H17" s="42" t="s">
        <v>61</v>
      </c>
      <c r="I17" s="46"/>
      <c r="J17" s="32">
        <f>SUM(J13:J16)</f>
        <v>2560</v>
      </c>
      <c r="K17" s="46"/>
      <c r="L17" s="43">
        <f>SUM(L13:L16)</f>
        <v>197487</v>
      </c>
    </row>
    <row r="19" spans="2:14" x14ac:dyDescent="0.2">
      <c r="B19" t="s">
        <v>16</v>
      </c>
      <c r="C19" t="s">
        <v>54</v>
      </c>
      <c r="D19" s="2">
        <f>+D16*0.5</f>
        <v>4937.1750000000002</v>
      </c>
      <c r="E19" s="5">
        <f>+D19/D16</f>
        <v>0.5</v>
      </c>
    </row>
    <row r="21" spans="2:14" x14ac:dyDescent="0.2">
      <c r="B21" t="s">
        <v>22</v>
      </c>
      <c r="D21" s="6">
        <f>+D17-D19</f>
        <v>202424.17500000002</v>
      </c>
      <c r="E21" s="5">
        <f>+D21/$D$17</f>
        <v>0.97619047619047628</v>
      </c>
    </row>
    <row r="23" spans="2:14" ht="16" thickBot="1" x14ac:dyDescent="0.25">
      <c r="B23" t="s">
        <v>19</v>
      </c>
    </row>
    <row r="24" spans="2:14" x14ac:dyDescent="0.2">
      <c r="B24" t="s">
        <v>21</v>
      </c>
      <c r="H24" s="19"/>
      <c r="I24" s="20"/>
      <c r="J24" s="21" t="s">
        <v>50</v>
      </c>
      <c r="K24" s="20"/>
      <c r="L24" s="22"/>
    </row>
    <row r="25" spans="2:14" x14ac:dyDescent="0.2">
      <c r="B25" t="s">
        <v>17</v>
      </c>
      <c r="C25" t="s">
        <v>58</v>
      </c>
      <c r="D25" s="9">
        <f>+L30</f>
        <v>55270.400000000001</v>
      </c>
      <c r="E25" s="5">
        <f>+D25/$D$17</f>
        <v>0.26654147458048472</v>
      </c>
      <c r="H25" s="23"/>
      <c r="I25" s="12"/>
      <c r="J25" s="12"/>
      <c r="K25" s="12"/>
      <c r="L25" s="24"/>
    </row>
    <row r="26" spans="2:14" x14ac:dyDescent="0.2">
      <c r="B26" t="s">
        <v>18</v>
      </c>
      <c r="C26" t="s">
        <v>58</v>
      </c>
      <c r="D26" s="1">
        <f>+L36</f>
        <v>19250</v>
      </c>
      <c r="E26" s="5">
        <f>+D26/$D$17</f>
        <v>9.2833114753544957E-2</v>
      </c>
      <c r="H26" s="23" t="s">
        <v>41</v>
      </c>
      <c r="I26" s="17" t="s">
        <v>64</v>
      </c>
      <c r="J26" s="17" t="s">
        <v>44</v>
      </c>
      <c r="K26" s="17" t="s">
        <v>43</v>
      </c>
      <c r="L26" s="25" t="s">
        <v>45</v>
      </c>
    </row>
    <row r="27" spans="2:14" x14ac:dyDescent="0.2">
      <c r="B27" t="s">
        <v>20</v>
      </c>
      <c r="D27" s="11">
        <f>SUM(D25:D26)</f>
        <v>74520.399999999994</v>
      </c>
      <c r="E27" s="34">
        <f>+D27/$D$17</f>
        <v>0.35937458933402966</v>
      </c>
      <c r="H27" s="23" t="s">
        <v>42</v>
      </c>
      <c r="I27" s="14">
        <v>0.5</v>
      </c>
      <c r="J27" s="16">
        <f>+I27*$J$17</f>
        <v>1280</v>
      </c>
      <c r="K27" s="18">
        <v>40</v>
      </c>
      <c r="L27" s="26">
        <f>+J27*K27</f>
        <v>51200</v>
      </c>
      <c r="N27" s="6"/>
    </row>
    <row r="28" spans="2:14" x14ac:dyDescent="0.2">
      <c r="B28" t="s">
        <v>55</v>
      </c>
      <c r="D28" s="35">
        <f>+D27*0.28</f>
        <v>20865.712</v>
      </c>
      <c r="E28" s="36">
        <f>+D28/$D$17</f>
        <v>0.10062488501352831</v>
      </c>
      <c r="H28" s="23" t="s">
        <v>46</v>
      </c>
      <c r="I28" s="14">
        <v>7.0000000000000007E-2</v>
      </c>
      <c r="J28" s="16">
        <f>+I28*$J$17</f>
        <v>179.20000000000002</v>
      </c>
      <c r="K28" s="18">
        <v>12</v>
      </c>
      <c r="L28" s="26">
        <f>+J28*K28</f>
        <v>2150.4</v>
      </c>
    </row>
    <row r="29" spans="2:14" x14ac:dyDescent="0.2">
      <c r="B29" t="s">
        <v>32</v>
      </c>
      <c r="D29" s="4">
        <f>+D27+D28</f>
        <v>95386.111999999994</v>
      </c>
      <c r="E29" s="5">
        <f>+D29/$D$17</f>
        <v>0.459999474347558</v>
      </c>
      <c r="H29" s="23" t="s">
        <v>47</v>
      </c>
      <c r="I29" s="11">
        <v>0.05</v>
      </c>
      <c r="J29" s="47">
        <f>+I29*$J$17</f>
        <v>128</v>
      </c>
      <c r="K29" s="44">
        <v>15</v>
      </c>
      <c r="L29" s="48">
        <f>+J29*K29</f>
        <v>1920</v>
      </c>
    </row>
    <row r="30" spans="2:14" x14ac:dyDescent="0.2">
      <c r="H30" s="27" t="s">
        <v>48</v>
      </c>
      <c r="I30" s="49"/>
      <c r="J30" s="50"/>
      <c r="K30" s="50"/>
      <c r="L30" s="28">
        <f>SUM(L27:L29)</f>
        <v>55270.400000000001</v>
      </c>
    </row>
    <row r="31" spans="2:14" x14ac:dyDescent="0.2">
      <c r="B31" t="s">
        <v>23</v>
      </c>
      <c r="C31" t="s">
        <v>34</v>
      </c>
      <c r="H31" s="23"/>
      <c r="I31" s="12"/>
      <c r="J31" s="12"/>
      <c r="K31" s="12"/>
      <c r="L31" s="24"/>
    </row>
    <row r="32" spans="2:14" x14ac:dyDescent="0.2">
      <c r="B32" t="s">
        <v>24</v>
      </c>
      <c r="C32" s="7">
        <v>0.5</v>
      </c>
      <c r="D32" s="1">
        <f>+$J$17*C32</f>
        <v>1280</v>
      </c>
      <c r="E32" s="5">
        <f t="shared" ref="E32:E39" si="2">+D32/$D$17</f>
        <v>6.1727993186772752E-3</v>
      </c>
      <c r="H32" s="23" t="s">
        <v>35</v>
      </c>
      <c r="I32" s="12"/>
      <c r="J32" s="12"/>
      <c r="K32" s="12" t="s">
        <v>39</v>
      </c>
      <c r="L32" s="25" t="s">
        <v>40</v>
      </c>
    </row>
    <row r="33" spans="2:12" x14ac:dyDescent="0.2">
      <c r="B33" t="s">
        <v>25</v>
      </c>
      <c r="C33" s="7">
        <v>1.25</v>
      </c>
      <c r="D33" s="1">
        <f>+$J$17*C33</f>
        <v>3200</v>
      </c>
      <c r="E33" s="5">
        <f t="shared" si="2"/>
        <v>1.5431998296693188E-2</v>
      </c>
      <c r="H33" s="23" t="s">
        <v>36</v>
      </c>
      <c r="I33" s="12"/>
      <c r="J33" s="12"/>
      <c r="K33" s="13">
        <v>54000</v>
      </c>
      <c r="L33" s="29">
        <f>+K33/12</f>
        <v>4500</v>
      </c>
    </row>
    <row r="34" spans="2:12" x14ac:dyDescent="0.2">
      <c r="B34" t="s">
        <v>53</v>
      </c>
      <c r="C34" s="7"/>
      <c r="D34" s="1">
        <v>500</v>
      </c>
      <c r="E34" s="5">
        <f t="shared" si="2"/>
        <v>2.4112497338583103E-3</v>
      </c>
      <c r="H34" s="23" t="s">
        <v>37</v>
      </c>
      <c r="I34" s="12"/>
      <c r="J34" s="12"/>
      <c r="K34" s="13">
        <v>72000</v>
      </c>
      <c r="L34" s="29">
        <f>+K34/12</f>
        <v>6000</v>
      </c>
    </row>
    <row r="35" spans="2:12" x14ac:dyDescent="0.2">
      <c r="B35" t="s">
        <v>26</v>
      </c>
      <c r="C35" s="7"/>
      <c r="D35" s="1">
        <v>750</v>
      </c>
      <c r="E35" s="5">
        <f t="shared" si="2"/>
        <v>3.6168746007874657E-3</v>
      </c>
      <c r="H35" s="23" t="s">
        <v>38</v>
      </c>
      <c r="I35" s="12"/>
      <c r="J35" s="12"/>
      <c r="K35" s="3">
        <v>105000</v>
      </c>
      <c r="L35" s="51">
        <f>+K35/12</f>
        <v>8750</v>
      </c>
    </row>
    <row r="36" spans="2:12" ht="16" thickBot="1" x14ac:dyDescent="0.25">
      <c r="B36" t="s">
        <v>27</v>
      </c>
      <c r="C36" s="7">
        <v>4</v>
      </c>
      <c r="D36" s="1">
        <f>+$J$17*C36</f>
        <v>10240</v>
      </c>
      <c r="E36" s="5">
        <f t="shared" si="2"/>
        <v>4.9382394549418202E-2</v>
      </c>
      <c r="H36" s="30" t="s">
        <v>51</v>
      </c>
      <c r="I36" s="31"/>
      <c r="J36" s="31"/>
      <c r="K36" s="52"/>
      <c r="L36" s="33">
        <f>SUM(L33:L35)</f>
        <v>19250</v>
      </c>
    </row>
    <row r="37" spans="2:12" x14ac:dyDescent="0.2">
      <c r="B37" t="s">
        <v>28</v>
      </c>
      <c r="C37" s="7">
        <v>4</v>
      </c>
      <c r="D37" s="1">
        <f>+$J$17*C37</f>
        <v>10240</v>
      </c>
      <c r="E37" s="5">
        <f t="shared" si="2"/>
        <v>4.9382394549418202E-2</v>
      </c>
    </row>
    <row r="38" spans="2:12" x14ac:dyDescent="0.2">
      <c r="B38" t="s">
        <v>29</v>
      </c>
      <c r="C38" s="7">
        <v>10</v>
      </c>
      <c r="D38" s="11">
        <f>+$J$17*C38</f>
        <v>25600</v>
      </c>
      <c r="E38" s="34">
        <f t="shared" si="2"/>
        <v>0.1234559863735455</v>
      </c>
    </row>
    <row r="39" spans="2:12" x14ac:dyDescent="0.2">
      <c r="B39" t="s">
        <v>30</v>
      </c>
      <c r="D39" s="4">
        <f>SUM(D32:D38)</f>
        <v>51810</v>
      </c>
      <c r="E39" s="5">
        <f t="shared" si="2"/>
        <v>0.24985369742239813</v>
      </c>
    </row>
    <row r="40" spans="2:12" x14ac:dyDescent="0.2">
      <c r="E40" s="5"/>
    </row>
    <row r="41" spans="2:12" ht="16" thickBot="1" x14ac:dyDescent="0.25">
      <c r="B41" t="s">
        <v>31</v>
      </c>
      <c r="D41" s="37">
        <f>+D21-D29-D39</f>
        <v>55228.063000000024</v>
      </c>
      <c r="E41" s="38">
        <f>+D41/$D$17</f>
        <v>0.26633730442052012</v>
      </c>
    </row>
    <row r="42" spans="2:12" ht="16" thickTop="1" x14ac:dyDescent="0.2"/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06FF-71C3-7A49-913F-9D6668C9C871}">
  <dimension ref="B2:N42"/>
  <sheetViews>
    <sheetView workbookViewId="0">
      <selection sqref="A1:XFD1048576"/>
    </sheetView>
  </sheetViews>
  <sheetFormatPr baseColWidth="10" defaultRowHeight="15" x14ac:dyDescent="0.2"/>
  <cols>
    <col min="2" max="2" width="28.33203125" bestFit="1" customWidth="1"/>
    <col min="3" max="3" width="18.33203125" bestFit="1" customWidth="1"/>
    <col min="4" max="4" width="12.6640625" bestFit="1" customWidth="1"/>
    <col min="6" max="6" width="12.33203125" bestFit="1" customWidth="1"/>
    <col min="8" max="8" width="24" customWidth="1"/>
    <col min="12" max="12" width="12.1640625" bestFit="1" customWidth="1"/>
  </cols>
  <sheetData>
    <row r="2" spans="2:12" x14ac:dyDescent="0.2">
      <c r="B2" t="s">
        <v>49</v>
      </c>
    </row>
    <row r="3" spans="2:12" x14ac:dyDescent="0.2">
      <c r="B3" t="s">
        <v>4</v>
      </c>
      <c r="C3">
        <v>300</v>
      </c>
    </row>
    <row r="4" spans="2:12" x14ac:dyDescent="0.2">
      <c r="B4" t="s">
        <v>0</v>
      </c>
      <c r="C4" s="2">
        <f>+C3*31</f>
        <v>9300</v>
      </c>
    </row>
    <row r="5" spans="2:12" x14ac:dyDescent="0.2">
      <c r="B5" t="s">
        <v>1</v>
      </c>
      <c r="C5" s="5">
        <f>+C6/C4</f>
        <v>0.9844086021505376</v>
      </c>
    </row>
    <row r="6" spans="2:12" x14ac:dyDescent="0.2">
      <c r="B6" t="s">
        <v>2</v>
      </c>
      <c r="C6" s="2">
        <f>7905+1250</f>
        <v>9155</v>
      </c>
    </row>
    <row r="7" spans="2:12" x14ac:dyDescent="0.2">
      <c r="B7" t="s">
        <v>3</v>
      </c>
      <c r="C7" s="2">
        <f>ROUND(+C6*1.75,0)</f>
        <v>16021</v>
      </c>
    </row>
    <row r="9" spans="2:12" ht="16" thickBot="1" x14ac:dyDescent="0.25">
      <c r="B9" t="s">
        <v>12</v>
      </c>
      <c r="D9" s="10" t="s">
        <v>62</v>
      </c>
      <c r="E9" s="10" t="s">
        <v>63</v>
      </c>
    </row>
    <row r="10" spans="2:12" x14ac:dyDescent="0.2">
      <c r="B10" t="s">
        <v>13</v>
      </c>
      <c r="H10" s="19"/>
      <c r="I10" s="20"/>
      <c r="J10" s="20"/>
      <c r="K10" s="20"/>
      <c r="L10" s="22"/>
    </row>
    <row r="11" spans="2:12" x14ac:dyDescent="0.2">
      <c r="B11" t="s">
        <v>10</v>
      </c>
      <c r="C11" t="s">
        <v>59</v>
      </c>
      <c r="D11" s="6">
        <f>+K13*J13</f>
        <v>32000</v>
      </c>
      <c r="E11" s="5">
        <f t="shared" ref="E11:E17" si="0">+D11/$D$17</f>
        <v>0.1666509389843</v>
      </c>
      <c r="H11" s="23"/>
      <c r="I11" s="12"/>
      <c r="J11" s="17" t="s">
        <v>60</v>
      </c>
      <c r="K11" s="12"/>
      <c r="L11" s="24"/>
    </row>
    <row r="12" spans="2:12" x14ac:dyDescent="0.2">
      <c r="B12" t="s">
        <v>7</v>
      </c>
      <c r="C12" t="s">
        <v>59</v>
      </c>
      <c r="D12" s="6">
        <f>+K14*J14</f>
        <v>67284</v>
      </c>
      <c r="E12" s="5">
        <f t="shared" si="0"/>
        <v>0.35040443058186377</v>
      </c>
      <c r="H12" s="23" t="s">
        <v>6</v>
      </c>
      <c r="I12" s="17" t="s">
        <v>33</v>
      </c>
      <c r="J12" s="17" t="s">
        <v>56</v>
      </c>
      <c r="K12" s="17" t="s">
        <v>57</v>
      </c>
      <c r="L12" s="39" t="s">
        <v>5</v>
      </c>
    </row>
    <row r="13" spans="2:12" x14ac:dyDescent="0.2">
      <c r="B13" t="s">
        <v>8</v>
      </c>
      <c r="C13" t="s">
        <v>59</v>
      </c>
      <c r="D13" s="6">
        <f>+K15*J15</f>
        <v>16681.600000000002</v>
      </c>
      <c r="E13" s="5">
        <f t="shared" si="0"/>
        <v>8.6875134492515604E-2</v>
      </c>
      <c r="H13" s="23" t="s">
        <v>10</v>
      </c>
      <c r="I13" s="40">
        <v>0.02</v>
      </c>
      <c r="J13" s="15">
        <f>ROUND(+I13*$C$7,0)</f>
        <v>320</v>
      </c>
      <c r="K13" s="18">
        <f>(125*0.8)</f>
        <v>100</v>
      </c>
      <c r="L13" s="41">
        <f>+J13*K13</f>
        <v>32000</v>
      </c>
    </row>
    <row r="14" spans="2:12" x14ac:dyDescent="0.2">
      <c r="B14" t="s">
        <v>9</v>
      </c>
      <c r="C14" t="s">
        <v>59</v>
      </c>
      <c r="D14" s="8">
        <f>+K16*J16</f>
        <v>66908.800000000003</v>
      </c>
      <c r="E14" s="34">
        <f t="shared" si="0"/>
        <v>0.3484504483222729</v>
      </c>
      <c r="H14" s="23" t="s">
        <v>7</v>
      </c>
      <c r="I14" s="40">
        <v>0.05</v>
      </c>
      <c r="J14" s="15">
        <f>ROUND(+I14*$C$7,0)</f>
        <v>801</v>
      </c>
      <c r="K14" s="18">
        <f>(105*0.8)</f>
        <v>84</v>
      </c>
      <c r="L14" s="41">
        <f t="shared" ref="L14:L16" si="1">+J14*K14</f>
        <v>67284</v>
      </c>
    </row>
    <row r="15" spans="2:12" x14ac:dyDescent="0.2">
      <c r="B15" t="s">
        <v>11</v>
      </c>
      <c r="D15" s="6">
        <f>SUM(D11:D14)</f>
        <v>182874.40000000002</v>
      </c>
      <c r="E15" s="5">
        <f t="shared" si="0"/>
        <v>0.95238095238095233</v>
      </c>
      <c r="H15" s="23" t="s">
        <v>8</v>
      </c>
      <c r="I15" s="40">
        <v>2.5000000000000001E-2</v>
      </c>
      <c r="J15" s="15">
        <f>ROUND(+I15*$C$7,0)</f>
        <v>401</v>
      </c>
      <c r="K15" s="18">
        <f>(52*0.8)</f>
        <v>41.6</v>
      </c>
      <c r="L15" s="41">
        <f t="shared" si="1"/>
        <v>16681.600000000002</v>
      </c>
    </row>
    <row r="16" spans="2:12" x14ac:dyDescent="0.2">
      <c r="B16" t="s">
        <v>14</v>
      </c>
      <c r="C16" t="s">
        <v>52</v>
      </c>
      <c r="D16" s="8">
        <f>+D15*0.05</f>
        <v>9143.7200000000012</v>
      </c>
      <c r="E16" s="34">
        <f t="shared" si="0"/>
        <v>4.7619047619047616E-2</v>
      </c>
      <c r="H16" s="23" t="s">
        <v>9</v>
      </c>
      <c r="I16" s="34">
        <v>0.09</v>
      </c>
      <c r="J16" s="8">
        <f>ROUND(+I16*$C$7,0)</f>
        <v>1442</v>
      </c>
      <c r="K16" s="44">
        <f>(58*0.8)</f>
        <v>46.400000000000006</v>
      </c>
      <c r="L16" s="45">
        <f t="shared" si="1"/>
        <v>66908.800000000003</v>
      </c>
    </row>
    <row r="17" spans="2:14" ht="16" thickBot="1" x14ac:dyDescent="0.25">
      <c r="B17" t="s">
        <v>15</v>
      </c>
      <c r="D17" s="6">
        <f>+D15+D16</f>
        <v>192018.12000000002</v>
      </c>
      <c r="E17" s="5">
        <f t="shared" si="0"/>
        <v>1</v>
      </c>
      <c r="H17" s="42" t="s">
        <v>61</v>
      </c>
      <c r="I17" s="46"/>
      <c r="J17" s="32">
        <f>SUM(J13:J16)</f>
        <v>2964</v>
      </c>
      <c r="K17" s="46"/>
      <c r="L17" s="43">
        <f>SUM(L13:L16)</f>
        <v>182874.40000000002</v>
      </c>
    </row>
    <row r="19" spans="2:14" x14ac:dyDescent="0.2">
      <c r="B19" t="s">
        <v>16</v>
      </c>
      <c r="C19" t="s">
        <v>54</v>
      </c>
      <c r="D19" s="2">
        <f>+D16*0.5</f>
        <v>4571.8600000000006</v>
      </c>
      <c r="E19" s="5">
        <f>+D19/D16</f>
        <v>0.5</v>
      </c>
    </row>
    <row r="21" spans="2:14" x14ac:dyDescent="0.2">
      <c r="B21" t="s">
        <v>22</v>
      </c>
      <c r="D21" s="6">
        <f>+D17-D19</f>
        <v>187446.26</v>
      </c>
      <c r="E21" s="5">
        <f>+D21/$D$17</f>
        <v>0.97619047619047616</v>
      </c>
    </row>
    <row r="23" spans="2:14" ht="16" thickBot="1" x14ac:dyDescent="0.25">
      <c r="B23" t="s">
        <v>19</v>
      </c>
    </row>
    <row r="24" spans="2:14" x14ac:dyDescent="0.2">
      <c r="B24" t="s">
        <v>21</v>
      </c>
      <c r="H24" s="19"/>
      <c r="I24" s="20"/>
      <c r="J24" s="21" t="s">
        <v>50</v>
      </c>
      <c r="K24" s="20"/>
      <c r="L24" s="22"/>
    </row>
    <row r="25" spans="2:14" x14ac:dyDescent="0.2">
      <c r="B25" t="s">
        <v>17</v>
      </c>
      <c r="C25" t="s">
        <v>58</v>
      </c>
      <c r="D25" s="9">
        <f>+L30</f>
        <v>63992.76</v>
      </c>
      <c r="E25" s="5">
        <f>+D25/$D$17</f>
        <v>0.33326417319365481</v>
      </c>
      <c r="H25" s="23"/>
      <c r="I25" s="12"/>
      <c r="J25" s="12"/>
      <c r="K25" s="12"/>
      <c r="L25" s="24"/>
    </row>
    <row r="26" spans="2:14" x14ac:dyDescent="0.2">
      <c r="B26" t="s">
        <v>18</v>
      </c>
      <c r="C26" t="s">
        <v>58</v>
      </c>
      <c r="D26" s="1">
        <f>+L36</f>
        <v>20083.333333333332</v>
      </c>
      <c r="E26" s="5">
        <f>+D26/$D$17</f>
        <v>0.10459082368545911</v>
      </c>
      <c r="H26" s="23" t="s">
        <v>41</v>
      </c>
      <c r="I26" s="17" t="s">
        <v>64</v>
      </c>
      <c r="J26" s="17" t="s">
        <v>44</v>
      </c>
      <c r="K26" s="17" t="s">
        <v>43</v>
      </c>
      <c r="L26" s="25" t="s">
        <v>45</v>
      </c>
    </row>
    <row r="27" spans="2:14" x14ac:dyDescent="0.2">
      <c r="B27" t="s">
        <v>20</v>
      </c>
      <c r="D27" s="11">
        <f>SUM(D25:D26)</f>
        <v>84076.093333333338</v>
      </c>
      <c r="E27" s="34">
        <f>+D27/$D$17</f>
        <v>0.43785499687911394</v>
      </c>
      <c r="H27" s="23" t="s">
        <v>42</v>
      </c>
      <c r="I27" s="14">
        <v>0.5</v>
      </c>
      <c r="J27" s="16">
        <f>+I27*$J$17</f>
        <v>1482</v>
      </c>
      <c r="K27" s="18">
        <v>40</v>
      </c>
      <c r="L27" s="26">
        <f>+J27*K27</f>
        <v>59280</v>
      </c>
      <c r="N27" s="6"/>
    </row>
    <row r="28" spans="2:14" x14ac:dyDescent="0.2">
      <c r="B28" t="s">
        <v>55</v>
      </c>
      <c r="D28" s="35">
        <f>+D27*0.28</f>
        <v>23541.306133333335</v>
      </c>
      <c r="E28" s="36">
        <f>+D28/$D$17</f>
        <v>0.12259939912615191</v>
      </c>
      <c r="H28" s="23" t="s">
        <v>46</v>
      </c>
      <c r="I28" s="14">
        <v>7.0000000000000007E-2</v>
      </c>
      <c r="J28" s="16">
        <f>+I28*$J$17</f>
        <v>207.48000000000002</v>
      </c>
      <c r="K28" s="18">
        <v>12</v>
      </c>
      <c r="L28" s="26">
        <f>+J28*K28</f>
        <v>2489.7600000000002</v>
      </c>
    </row>
    <row r="29" spans="2:14" x14ac:dyDescent="0.2">
      <c r="B29" t="s">
        <v>32</v>
      </c>
      <c r="D29" s="4">
        <f>+D27+D28</f>
        <v>107617.39946666667</v>
      </c>
      <c r="E29" s="5">
        <f>+D29/$D$17</f>
        <v>0.56045439600526581</v>
      </c>
      <c r="H29" s="23" t="s">
        <v>47</v>
      </c>
      <c r="I29" s="11">
        <v>0.05</v>
      </c>
      <c r="J29" s="47">
        <f>+I29*$J$17</f>
        <v>148.20000000000002</v>
      </c>
      <c r="K29" s="44">
        <v>15</v>
      </c>
      <c r="L29" s="48">
        <f>+J29*K29</f>
        <v>2223.0000000000005</v>
      </c>
    </row>
    <row r="30" spans="2:14" x14ac:dyDescent="0.2">
      <c r="H30" s="27" t="s">
        <v>48</v>
      </c>
      <c r="I30" s="49"/>
      <c r="J30" s="50"/>
      <c r="K30" s="50"/>
      <c r="L30" s="28">
        <f>SUM(L27:L29)</f>
        <v>63992.76</v>
      </c>
    </row>
    <row r="31" spans="2:14" x14ac:dyDescent="0.2">
      <c r="B31" t="s">
        <v>23</v>
      </c>
      <c r="C31" t="s">
        <v>34</v>
      </c>
      <c r="H31" s="23"/>
      <c r="I31" s="12"/>
      <c r="J31" s="12"/>
      <c r="K31" s="12"/>
      <c r="L31" s="24"/>
    </row>
    <row r="32" spans="2:14" x14ac:dyDescent="0.2">
      <c r="B32" t="s">
        <v>24</v>
      </c>
      <c r="C32" s="7">
        <v>0.5</v>
      </c>
      <c r="D32" s="1">
        <f>+$J$17*C32</f>
        <v>1482</v>
      </c>
      <c r="E32" s="5">
        <f t="shared" ref="E32:E39" si="2">+D32/$D$17</f>
        <v>7.7180216117103935E-3</v>
      </c>
      <c r="H32" s="23" t="s">
        <v>35</v>
      </c>
      <c r="I32" s="12"/>
      <c r="J32" s="12"/>
      <c r="K32" s="12" t="s">
        <v>39</v>
      </c>
      <c r="L32" s="25" t="s">
        <v>40</v>
      </c>
    </row>
    <row r="33" spans="2:12" x14ac:dyDescent="0.2">
      <c r="B33" t="s">
        <v>25</v>
      </c>
      <c r="C33" s="7">
        <v>1.25</v>
      </c>
      <c r="D33" s="1">
        <f>+$J$17*C33</f>
        <v>3705</v>
      </c>
      <c r="E33" s="5">
        <f t="shared" si="2"/>
        <v>1.9295054029275983E-2</v>
      </c>
      <c r="H33" s="23" t="s">
        <v>36</v>
      </c>
      <c r="I33" s="12"/>
      <c r="J33" s="12"/>
      <c r="K33" s="13">
        <v>54000</v>
      </c>
      <c r="L33" s="29">
        <f>+K33/12</f>
        <v>4500</v>
      </c>
    </row>
    <row r="34" spans="2:12" x14ac:dyDescent="0.2">
      <c r="B34" t="s">
        <v>53</v>
      </c>
      <c r="C34" s="7"/>
      <c r="D34" s="1">
        <v>500</v>
      </c>
      <c r="E34" s="5">
        <f t="shared" si="2"/>
        <v>2.6039209216296875E-3</v>
      </c>
      <c r="H34" s="23" t="s">
        <v>37</v>
      </c>
      <c r="I34" s="12"/>
      <c r="J34" s="12"/>
      <c r="K34" s="13">
        <v>82000</v>
      </c>
      <c r="L34" s="29">
        <f>+K34/12</f>
        <v>6833.333333333333</v>
      </c>
    </row>
    <row r="35" spans="2:12" x14ac:dyDescent="0.2">
      <c r="B35" t="s">
        <v>26</v>
      </c>
      <c r="C35" s="7"/>
      <c r="D35" s="1">
        <v>750</v>
      </c>
      <c r="E35" s="5">
        <f t="shared" si="2"/>
        <v>3.9058813824445313E-3</v>
      </c>
      <c r="H35" s="23" t="s">
        <v>38</v>
      </c>
      <c r="I35" s="12"/>
      <c r="J35" s="12"/>
      <c r="K35" s="3">
        <v>105000</v>
      </c>
      <c r="L35" s="51">
        <f>+K35/12</f>
        <v>8750</v>
      </c>
    </row>
    <row r="36" spans="2:12" ht="16" thickBot="1" x14ac:dyDescent="0.25">
      <c r="B36" t="s">
        <v>27</v>
      </c>
      <c r="C36" s="7">
        <v>4.0999999999999996</v>
      </c>
      <c r="D36" s="1">
        <f>+$J$17*C36</f>
        <v>12152.4</v>
      </c>
      <c r="E36" s="5">
        <f t="shared" si="2"/>
        <v>6.3287777216025229E-2</v>
      </c>
      <c r="H36" s="30" t="s">
        <v>51</v>
      </c>
      <c r="I36" s="31"/>
      <c r="J36" s="31"/>
      <c r="K36" s="52"/>
      <c r="L36" s="33">
        <f>SUM(L33:L35)</f>
        <v>20083.333333333332</v>
      </c>
    </row>
    <row r="37" spans="2:12" x14ac:dyDescent="0.2">
      <c r="B37" t="s">
        <v>28</v>
      </c>
      <c r="C37" s="7">
        <v>4</v>
      </c>
      <c r="D37" s="1">
        <f>+$J$17*C37</f>
        <v>11856</v>
      </c>
      <c r="E37" s="5">
        <f t="shared" si="2"/>
        <v>6.1744172893683148E-2</v>
      </c>
    </row>
    <row r="38" spans="2:12" x14ac:dyDescent="0.2">
      <c r="B38" t="s">
        <v>29</v>
      </c>
      <c r="C38" s="7">
        <v>10</v>
      </c>
      <c r="D38" s="11">
        <f>+$J$17*C38</f>
        <v>29640</v>
      </c>
      <c r="E38" s="34">
        <f t="shared" si="2"/>
        <v>0.15436043223420787</v>
      </c>
    </row>
    <row r="39" spans="2:12" x14ac:dyDescent="0.2">
      <c r="B39" t="s">
        <v>30</v>
      </c>
      <c r="D39" s="4">
        <f>SUM(D32:D38)</f>
        <v>60085.4</v>
      </c>
      <c r="E39" s="5">
        <f t="shared" si="2"/>
        <v>0.31291526028897687</v>
      </c>
    </row>
    <row r="40" spans="2:12" x14ac:dyDescent="0.2">
      <c r="E40" s="5"/>
    </row>
    <row r="41" spans="2:12" ht="16" thickBot="1" x14ac:dyDescent="0.25">
      <c r="B41" t="s">
        <v>31</v>
      </c>
      <c r="D41" s="37">
        <f>+D21-D29-D39</f>
        <v>19743.460533333338</v>
      </c>
      <c r="E41" s="38">
        <f>+D41/$D$17</f>
        <v>0.10282081989623341</v>
      </c>
    </row>
    <row r="42" spans="2:12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BBC1-B75A-3A44-B1E0-7553FE95448F}">
  <dimension ref="B2:N42"/>
  <sheetViews>
    <sheetView workbookViewId="0">
      <selection activeCell="H53" sqref="H53"/>
    </sheetView>
  </sheetViews>
  <sheetFormatPr baseColWidth="10" defaultRowHeight="15" x14ac:dyDescent="0.2"/>
  <cols>
    <col min="2" max="2" width="28.33203125" bestFit="1" customWidth="1"/>
    <col min="3" max="3" width="18.33203125" bestFit="1" customWidth="1"/>
    <col min="4" max="4" width="12.6640625" bestFit="1" customWidth="1"/>
    <col min="6" max="6" width="12.33203125" bestFit="1" customWidth="1"/>
    <col min="8" max="8" width="24" customWidth="1"/>
    <col min="12" max="12" width="12.1640625" bestFit="1" customWidth="1"/>
  </cols>
  <sheetData>
    <row r="2" spans="2:12" x14ac:dyDescent="0.2">
      <c r="B2" t="s">
        <v>49</v>
      </c>
    </row>
    <row r="3" spans="2:12" x14ac:dyDescent="0.2">
      <c r="B3" t="s">
        <v>4</v>
      </c>
      <c r="C3">
        <v>300</v>
      </c>
    </row>
    <row r="4" spans="2:12" x14ac:dyDescent="0.2">
      <c r="B4" t="s">
        <v>0</v>
      </c>
      <c r="C4" s="2">
        <f>+C3*31</f>
        <v>9300</v>
      </c>
    </row>
    <row r="5" spans="2:12" x14ac:dyDescent="0.2">
      <c r="B5" t="s">
        <v>1</v>
      </c>
      <c r="C5" s="5">
        <v>0.96799999999999997</v>
      </c>
    </row>
    <row r="6" spans="2:12" x14ac:dyDescent="0.2">
      <c r="B6" t="s">
        <v>2</v>
      </c>
      <c r="C6" s="2">
        <f>+C4*C5</f>
        <v>9002.4</v>
      </c>
    </row>
    <row r="7" spans="2:12" x14ac:dyDescent="0.2">
      <c r="B7" t="s">
        <v>3</v>
      </c>
      <c r="C7" s="2">
        <f>ROUND(+C6*1.75,0)</f>
        <v>15754</v>
      </c>
    </row>
    <row r="9" spans="2:12" ht="16" thickBot="1" x14ac:dyDescent="0.25">
      <c r="B9" t="s">
        <v>12</v>
      </c>
      <c r="D9" s="10" t="s">
        <v>62</v>
      </c>
      <c r="E9" s="10" t="s">
        <v>63</v>
      </c>
    </row>
    <row r="10" spans="2:12" x14ac:dyDescent="0.2">
      <c r="B10" t="s">
        <v>13</v>
      </c>
      <c r="H10" s="19"/>
      <c r="I10" s="20"/>
      <c r="J10" s="20"/>
      <c r="K10" s="20"/>
      <c r="L10" s="22"/>
    </row>
    <row r="11" spans="2:12" x14ac:dyDescent="0.2">
      <c r="B11" t="s">
        <v>10</v>
      </c>
      <c r="C11" t="s">
        <v>59</v>
      </c>
      <c r="D11" s="6">
        <f>+K13*J13</f>
        <v>90620</v>
      </c>
      <c r="E11" s="5">
        <f t="shared" ref="E11:E17" si="0">+D11/$D$17</f>
        <v>0.2782111203029462</v>
      </c>
      <c r="H11" s="23"/>
      <c r="I11" s="12"/>
      <c r="J11" s="17" t="s">
        <v>60</v>
      </c>
      <c r="K11" s="12"/>
      <c r="L11" s="24"/>
    </row>
    <row r="12" spans="2:12" x14ac:dyDescent="0.2">
      <c r="B12" t="s">
        <v>7</v>
      </c>
      <c r="C12" t="s">
        <v>59</v>
      </c>
      <c r="D12" s="6">
        <f>+K14*J14</f>
        <v>108094</v>
      </c>
      <c r="E12" s="5">
        <f t="shared" si="0"/>
        <v>0.33185778898727286</v>
      </c>
      <c r="H12" s="23" t="s">
        <v>6</v>
      </c>
      <c r="I12" s="17" t="s">
        <v>33</v>
      </c>
      <c r="J12" s="17" t="s">
        <v>56</v>
      </c>
      <c r="K12" s="17" t="s">
        <v>57</v>
      </c>
      <c r="L12" s="39" t="s">
        <v>5</v>
      </c>
    </row>
    <row r="13" spans="2:12" x14ac:dyDescent="0.2">
      <c r="B13" t="s">
        <v>8</v>
      </c>
      <c r="C13" t="s">
        <v>59</v>
      </c>
      <c r="D13" s="6">
        <f>+K15*J15</f>
        <v>28380</v>
      </c>
      <c r="E13" s="5">
        <f t="shared" si="0"/>
        <v>8.712901781281851E-2</v>
      </c>
      <c r="H13" s="23" t="s">
        <v>10</v>
      </c>
      <c r="I13" s="40">
        <v>0.05</v>
      </c>
      <c r="J13" s="15">
        <f>ROUND(+I13*$C$7,0)</f>
        <v>788</v>
      </c>
      <c r="K13" s="18">
        <v>115</v>
      </c>
      <c r="L13" s="41">
        <f>+J13*K13</f>
        <v>90620</v>
      </c>
    </row>
    <row r="14" spans="2:12" x14ac:dyDescent="0.2">
      <c r="B14" t="s">
        <v>9</v>
      </c>
      <c r="C14" t="s">
        <v>59</v>
      </c>
      <c r="D14" s="8">
        <f>+K16*J16</f>
        <v>78750</v>
      </c>
      <c r="E14" s="34">
        <f t="shared" si="0"/>
        <v>0.24176920904719723</v>
      </c>
      <c r="H14" s="23" t="s">
        <v>7</v>
      </c>
      <c r="I14" s="40">
        <v>7.0000000000000007E-2</v>
      </c>
      <c r="J14" s="15">
        <f>ROUND(+I14*$C$7,0)</f>
        <v>1103</v>
      </c>
      <c r="K14" s="18">
        <v>98</v>
      </c>
      <c r="L14" s="41">
        <f t="shared" ref="L14:L16" si="1">+J14*K14</f>
        <v>108094</v>
      </c>
    </row>
    <row r="15" spans="2:12" x14ac:dyDescent="0.2">
      <c r="B15" t="s">
        <v>11</v>
      </c>
      <c r="D15" s="6">
        <f>SUM(D11:D14)</f>
        <v>305844</v>
      </c>
      <c r="E15" s="5">
        <f t="shared" si="0"/>
        <v>0.93896713615023475</v>
      </c>
      <c r="H15" s="23" t="s">
        <v>8</v>
      </c>
      <c r="I15" s="40">
        <v>0.03</v>
      </c>
      <c r="J15" s="15">
        <f>ROUND(+I15*$C$7,0)</f>
        <v>473</v>
      </c>
      <c r="K15" s="18">
        <v>60</v>
      </c>
      <c r="L15" s="41">
        <f t="shared" si="1"/>
        <v>28380</v>
      </c>
    </row>
    <row r="16" spans="2:12" x14ac:dyDescent="0.2">
      <c r="B16" t="s">
        <v>14</v>
      </c>
      <c r="C16" t="s">
        <v>52</v>
      </c>
      <c r="D16" s="8">
        <f>+D15*0.065</f>
        <v>19879.86</v>
      </c>
      <c r="E16" s="34">
        <f t="shared" si="0"/>
        <v>6.1032863849765265E-2</v>
      </c>
      <c r="H16" s="23" t="s">
        <v>9</v>
      </c>
      <c r="I16" s="34">
        <v>0.1</v>
      </c>
      <c r="J16" s="8">
        <f>ROUND(+I16*$C$7,0)</f>
        <v>1575</v>
      </c>
      <c r="K16" s="44">
        <v>50</v>
      </c>
      <c r="L16" s="45">
        <f t="shared" si="1"/>
        <v>78750</v>
      </c>
    </row>
    <row r="17" spans="2:14" ht="16" thickBot="1" x14ac:dyDescent="0.25">
      <c r="B17" t="s">
        <v>15</v>
      </c>
      <c r="D17" s="6">
        <f>+D15+D16</f>
        <v>325723.86</v>
      </c>
      <c r="E17" s="5">
        <f t="shared" si="0"/>
        <v>1</v>
      </c>
      <c r="H17" s="42" t="s">
        <v>61</v>
      </c>
      <c r="I17" s="46"/>
      <c r="J17" s="32">
        <f>SUM(J13:J16)</f>
        <v>3939</v>
      </c>
      <c r="K17" s="46"/>
      <c r="L17" s="43">
        <f>SUM(L13:L16)</f>
        <v>305844</v>
      </c>
    </row>
    <row r="19" spans="2:14" x14ac:dyDescent="0.2">
      <c r="B19" t="s">
        <v>16</v>
      </c>
      <c r="C19" t="s">
        <v>54</v>
      </c>
      <c r="D19" s="2">
        <f>+D16*0.55</f>
        <v>10933.923000000001</v>
      </c>
      <c r="E19" s="5">
        <f>+D19/D16</f>
        <v>0.55000000000000004</v>
      </c>
    </row>
    <row r="21" spans="2:14" x14ac:dyDescent="0.2">
      <c r="B21" t="s">
        <v>22</v>
      </c>
      <c r="D21" s="6">
        <f>+D17-D19</f>
        <v>314789.93699999998</v>
      </c>
      <c r="E21" s="5">
        <f>+D21/$D$17</f>
        <v>0.96643192488262908</v>
      </c>
    </row>
    <row r="23" spans="2:14" ht="16" thickBot="1" x14ac:dyDescent="0.25">
      <c r="B23" t="s">
        <v>19</v>
      </c>
    </row>
    <row r="24" spans="2:14" x14ac:dyDescent="0.2">
      <c r="B24" t="s">
        <v>21</v>
      </c>
      <c r="H24" s="19"/>
      <c r="I24" s="20"/>
      <c r="J24" s="21" t="s">
        <v>50</v>
      </c>
      <c r="K24" s="20"/>
      <c r="L24" s="22"/>
    </row>
    <row r="25" spans="2:14" x14ac:dyDescent="0.2">
      <c r="B25" t="s">
        <v>17</v>
      </c>
      <c r="C25" t="s">
        <v>58</v>
      </c>
      <c r="D25" s="9">
        <f>+L30</f>
        <v>103753.26000000001</v>
      </c>
      <c r="E25" s="5">
        <f>+D25/$D$17</f>
        <v>0.3185313473811836</v>
      </c>
      <c r="H25" s="23"/>
      <c r="I25" s="12"/>
      <c r="J25" s="12"/>
      <c r="K25" s="12"/>
      <c r="L25" s="24"/>
    </row>
    <row r="26" spans="2:14" x14ac:dyDescent="0.2">
      <c r="B26" t="s">
        <v>18</v>
      </c>
      <c r="C26" t="s">
        <v>58</v>
      </c>
      <c r="D26" s="1">
        <f>+L36</f>
        <v>20083.333333333332</v>
      </c>
      <c r="E26" s="5">
        <f>+D26/$D$17</f>
        <v>6.1657544317856645E-2</v>
      </c>
      <c r="H26" s="23" t="s">
        <v>41</v>
      </c>
      <c r="I26" s="17" t="s">
        <v>64</v>
      </c>
      <c r="J26" s="17" t="s">
        <v>44</v>
      </c>
      <c r="K26" s="17" t="s">
        <v>43</v>
      </c>
      <c r="L26" s="25" t="s">
        <v>45</v>
      </c>
    </row>
    <row r="27" spans="2:14" x14ac:dyDescent="0.2">
      <c r="B27" t="s">
        <v>20</v>
      </c>
      <c r="D27" s="11">
        <f>SUM(D25:D26)</f>
        <v>123836.59333333334</v>
      </c>
      <c r="E27" s="34">
        <f>+D27/$D$17</f>
        <v>0.38018889169904024</v>
      </c>
      <c r="H27" s="23" t="s">
        <v>42</v>
      </c>
      <c r="I27" s="14">
        <v>0.55000000000000004</v>
      </c>
      <c r="J27" s="16">
        <f>+I27*$J$17</f>
        <v>2166.4500000000003</v>
      </c>
      <c r="K27" s="18">
        <v>45</v>
      </c>
      <c r="L27" s="26">
        <f>+J27*K27</f>
        <v>97490.250000000015</v>
      </c>
      <c r="N27" s="6"/>
    </row>
    <row r="28" spans="2:14" x14ac:dyDescent="0.2">
      <c r="B28" t="s">
        <v>55</v>
      </c>
      <c r="D28" s="35">
        <f>+D27*0.28</f>
        <v>34674.246133333341</v>
      </c>
      <c r="E28" s="36">
        <f>+D28/$D$17</f>
        <v>0.10645288967573129</v>
      </c>
      <c r="H28" s="23" t="s">
        <v>46</v>
      </c>
      <c r="I28" s="14">
        <v>7.0000000000000007E-2</v>
      </c>
      <c r="J28" s="16">
        <f>+I28*$J$17</f>
        <v>275.73</v>
      </c>
      <c r="K28" s="18">
        <v>12</v>
      </c>
      <c r="L28" s="26">
        <f>+J28*K28</f>
        <v>3308.76</v>
      </c>
    </row>
    <row r="29" spans="2:14" x14ac:dyDescent="0.2">
      <c r="B29" t="s">
        <v>32</v>
      </c>
      <c r="D29" s="4">
        <f>+D27+D28</f>
        <v>158510.83946666669</v>
      </c>
      <c r="E29" s="5">
        <f>+D29/$D$17</f>
        <v>0.48664178137477154</v>
      </c>
      <c r="H29" s="23" t="s">
        <v>47</v>
      </c>
      <c r="I29" s="11">
        <v>0.05</v>
      </c>
      <c r="J29" s="47">
        <f>+I29*$J$17</f>
        <v>196.95000000000002</v>
      </c>
      <c r="K29" s="44">
        <v>15</v>
      </c>
      <c r="L29" s="48">
        <f>+J29*K29</f>
        <v>2954.2500000000005</v>
      </c>
    </row>
    <row r="30" spans="2:14" x14ac:dyDescent="0.2">
      <c r="H30" s="27" t="s">
        <v>48</v>
      </c>
      <c r="I30" s="49"/>
      <c r="J30" s="50"/>
      <c r="K30" s="50"/>
      <c r="L30" s="28">
        <f>SUM(L27:L29)</f>
        <v>103753.26000000001</v>
      </c>
    </row>
    <row r="31" spans="2:14" x14ac:dyDescent="0.2">
      <c r="B31" t="s">
        <v>23</v>
      </c>
      <c r="C31" t="s">
        <v>34</v>
      </c>
      <c r="H31" s="23"/>
      <c r="I31" s="12"/>
      <c r="J31" s="12"/>
      <c r="K31" s="12"/>
      <c r="L31" s="24"/>
    </row>
    <row r="32" spans="2:14" x14ac:dyDescent="0.2">
      <c r="B32" t="s">
        <v>24</v>
      </c>
      <c r="C32" s="7">
        <v>0.55000000000000004</v>
      </c>
      <c r="D32" s="1">
        <f>+$J$17*C32</f>
        <v>2166.4500000000003</v>
      </c>
      <c r="E32" s="5">
        <f t="shared" ref="E32:E39" si="2">+D32/$D$17</f>
        <v>6.6511860690831809E-3</v>
      </c>
      <c r="H32" s="23" t="s">
        <v>35</v>
      </c>
      <c r="I32" s="12"/>
      <c r="J32" s="12"/>
      <c r="K32" s="12" t="s">
        <v>39</v>
      </c>
      <c r="L32" s="25" t="s">
        <v>40</v>
      </c>
    </row>
    <row r="33" spans="2:12" x14ac:dyDescent="0.2">
      <c r="B33" t="s">
        <v>25</v>
      </c>
      <c r="C33" s="7">
        <v>1.75</v>
      </c>
      <c r="D33" s="1">
        <f>+$J$17*C33</f>
        <v>6893.25</v>
      </c>
      <c r="E33" s="5">
        <f t="shared" si="2"/>
        <v>2.1162864765264664E-2</v>
      </c>
      <c r="H33" s="23" t="s">
        <v>36</v>
      </c>
      <c r="I33" s="12"/>
      <c r="J33" s="12"/>
      <c r="K33" s="13">
        <v>54000</v>
      </c>
      <c r="L33" s="29">
        <f>+K33/12</f>
        <v>4500</v>
      </c>
    </row>
    <row r="34" spans="2:12" x14ac:dyDescent="0.2">
      <c r="B34" t="s">
        <v>53</v>
      </c>
      <c r="C34" s="7"/>
      <c r="D34" s="1">
        <v>500</v>
      </c>
      <c r="E34" s="5">
        <f t="shared" si="2"/>
        <v>1.5350425971250618E-3</v>
      </c>
      <c r="H34" s="23" t="s">
        <v>37</v>
      </c>
      <c r="I34" s="12"/>
      <c r="J34" s="12"/>
      <c r="K34" s="13">
        <v>82000</v>
      </c>
      <c r="L34" s="29">
        <f>+K34/12</f>
        <v>6833.333333333333</v>
      </c>
    </row>
    <row r="35" spans="2:12" x14ac:dyDescent="0.2">
      <c r="B35" t="s">
        <v>26</v>
      </c>
      <c r="C35" s="7"/>
      <c r="D35" s="1">
        <v>750</v>
      </c>
      <c r="E35" s="5">
        <f t="shared" si="2"/>
        <v>2.3025638956875928E-3</v>
      </c>
      <c r="H35" s="23" t="s">
        <v>38</v>
      </c>
      <c r="I35" s="12"/>
      <c r="J35" s="12"/>
      <c r="K35" s="3">
        <v>105000</v>
      </c>
      <c r="L35" s="51">
        <f>+K35/12</f>
        <v>8750</v>
      </c>
    </row>
    <row r="36" spans="2:12" ht="16" thickBot="1" x14ac:dyDescent="0.25">
      <c r="B36" t="s">
        <v>27</v>
      </c>
      <c r="C36" s="7">
        <v>5</v>
      </c>
      <c r="D36" s="1">
        <f>+$J$17*C36</f>
        <v>19695</v>
      </c>
      <c r="E36" s="5">
        <f t="shared" si="2"/>
        <v>6.0465327900756184E-2</v>
      </c>
      <c r="H36" s="30" t="s">
        <v>51</v>
      </c>
      <c r="I36" s="31"/>
      <c r="J36" s="31"/>
      <c r="K36" s="52"/>
      <c r="L36" s="33">
        <f>SUM(L33:L35)</f>
        <v>20083.333333333332</v>
      </c>
    </row>
    <row r="37" spans="2:12" x14ac:dyDescent="0.2">
      <c r="B37" t="s">
        <v>28</v>
      </c>
      <c r="C37" s="7">
        <v>5</v>
      </c>
      <c r="D37" s="1">
        <f>+$J$17*C37</f>
        <v>19695</v>
      </c>
      <c r="E37" s="5">
        <f t="shared" si="2"/>
        <v>6.0465327900756184E-2</v>
      </c>
    </row>
    <row r="38" spans="2:12" x14ac:dyDescent="0.2">
      <c r="B38" t="s">
        <v>29</v>
      </c>
      <c r="C38" s="7">
        <v>11</v>
      </c>
      <c r="D38" s="11">
        <f>+$J$17*C38</f>
        <v>43329</v>
      </c>
      <c r="E38" s="34">
        <f t="shared" si="2"/>
        <v>0.1330237213816636</v>
      </c>
    </row>
    <row r="39" spans="2:12" x14ac:dyDescent="0.2">
      <c r="B39" t="s">
        <v>30</v>
      </c>
      <c r="D39" s="4">
        <f>SUM(D32:D38)</f>
        <v>93028.7</v>
      </c>
      <c r="E39" s="5">
        <f t="shared" si="2"/>
        <v>0.28560603451033645</v>
      </c>
    </row>
    <row r="40" spans="2:12" x14ac:dyDescent="0.2">
      <c r="E40" s="5"/>
    </row>
    <row r="41" spans="2:12" ht="16" thickBot="1" x14ac:dyDescent="0.25">
      <c r="B41" t="s">
        <v>31</v>
      </c>
      <c r="D41" s="37">
        <f>+D21-D29-D39</f>
        <v>63250.397533333293</v>
      </c>
      <c r="E41" s="38">
        <f>+D41/$D$17</f>
        <v>0.19418410899752109</v>
      </c>
    </row>
    <row r="42" spans="2:12" ht="16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C17A-DAA9-AD47-9561-0566E74C276B}">
  <dimension ref="B7:J40"/>
  <sheetViews>
    <sheetView workbookViewId="0">
      <selection activeCell="B7" sqref="B7"/>
    </sheetView>
  </sheetViews>
  <sheetFormatPr baseColWidth="10" defaultRowHeight="15" x14ac:dyDescent="0.2"/>
  <cols>
    <col min="2" max="2" width="28.33203125" bestFit="1" customWidth="1"/>
    <col min="3" max="3" width="8.6640625" bestFit="1" customWidth="1"/>
    <col min="4" max="4" width="7" bestFit="1" customWidth="1"/>
    <col min="5" max="5" width="3.1640625" customWidth="1"/>
    <col min="6" max="6" width="8.6640625" bestFit="1" customWidth="1"/>
    <col min="7" max="7" width="7" style="5" bestFit="1" customWidth="1"/>
    <col min="8" max="8" width="2.6640625" style="5" customWidth="1"/>
    <col min="9" max="9" width="8.6640625" bestFit="1" customWidth="1"/>
    <col min="10" max="10" width="7" bestFit="1" customWidth="1"/>
  </cols>
  <sheetData>
    <row r="7" spans="2:10" x14ac:dyDescent="0.2">
      <c r="B7" t="s">
        <v>12</v>
      </c>
      <c r="C7" s="10" t="s">
        <v>66</v>
      </c>
      <c r="D7" s="10" t="s">
        <v>63</v>
      </c>
      <c r="E7" s="10"/>
      <c r="F7" s="10" t="s">
        <v>62</v>
      </c>
      <c r="G7" s="10" t="s">
        <v>63</v>
      </c>
      <c r="H7" s="10"/>
      <c r="I7" s="10" t="s">
        <v>65</v>
      </c>
      <c r="J7" s="10" t="s">
        <v>63</v>
      </c>
    </row>
    <row r="8" spans="2:10" x14ac:dyDescent="0.2">
      <c r="B8" t="s">
        <v>13</v>
      </c>
      <c r="G8"/>
      <c r="H8"/>
    </row>
    <row r="9" spans="2:10" x14ac:dyDescent="0.2">
      <c r="B9" t="s">
        <v>10</v>
      </c>
      <c r="C9" s="6">
        <v>90620</v>
      </c>
      <c r="D9" s="5">
        <v>0.2782111203029462</v>
      </c>
      <c r="E9" s="5"/>
      <c r="F9" s="6">
        <v>34625</v>
      </c>
      <c r="G9" s="5">
        <v>0.166979044069688</v>
      </c>
      <c r="I9" s="6">
        <v>32000</v>
      </c>
      <c r="J9" s="5">
        <v>0.1666509389843</v>
      </c>
    </row>
    <row r="10" spans="2:10" x14ac:dyDescent="0.2">
      <c r="B10" t="s">
        <v>7</v>
      </c>
      <c r="C10" s="6">
        <v>108094</v>
      </c>
      <c r="D10" s="5">
        <v>0.33185778898727286</v>
      </c>
      <c r="E10" s="5"/>
      <c r="F10" s="6">
        <v>72660</v>
      </c>
      <c r="G10" s="5">
        <v>0.35040281132428969</v>
      </c>
      <c r="I10" s="6">
        <v>67284</v>
      </c>
      <c r="J10" s="5">
        <v>0.35040443058186377</v>
      </c>
    </row>
    <row r="11" spans="2:10" x14ac:dyDescent="0.2">
      <c r="B11" t="s">
        <v>8</v>
      </c>
      <c r="C11" s="6">
        <v>28380</v>
      </c>
      <c r="D11" s="5">
        <v>8.712901781281851E-2</v>
      </c>
      <c r="E11" s="5"/>
      <c r="F11" s="6">
        <v>17992</v>
      </c>
      <c r="G11" s="5">
        <v>8.6766410423157442E-2</v>
      </c>
      <c r="I11" s="6">
        <v>16681.600000000002</v>
      </c>
      <c r="J11" s="5">
        <v>8.6875134492515604E-2</v>
      </c>
    </row>
    <row r="12" spans="2:10" x14ac:dyDescent="0.2">
      <c r="B12" t="s">
        <v>9</v>
      </c>
      <c r="C12" s="8">
        <v>78750</v>
      </c>
      <c r="D12" s="34">
        <v>0.24176920904719723</v>
      </c>
      <c r="E12" s="34"/>
      <c r="F12" s="8">
        <v>72210</v>
      </c>
      <c r="G12" s="34">
        <v>0.34823268656381723</v>
      </c>
      <c r="H12" s="34"/>
      <c r="I12" s="8">
        <v>66908.800000000003</v>
      </c>
      <c r="J12" s="34">
        <v>0.3484504483222729</v>
      </c>
    </row>
    <row r="13" spans="2:10" x14ac:dyDescent="0.2">
      <c r="B13" t="s">
        <v>11</v>
      </c>
      <c r="C13" s="6">
        <v>305844</v>
      </c>
      <c r="D13" s="5">
        <v>0.93896713615023475</v>
      </c>
      <c r="E13" s="5"/>
      <c r="F13" s="6">
        <v>197487</v>
      </c>
      <c r="G13" s="5">
        <v>0.95238095238095233</v>
      </c>
      <c r="I13" s="6">
        <v>182874.40000000002</v>
      </c>
      <c r="J13" s="5">
        <v>0.95238095238095233</v>
      </c>
    </row>
    <row r="14" spans="2:10" x14ac:dyDescent="0.2">
      <c r="B14" t="s">
        <v>14</v>
      </c>
      <c r="C14" s="8">
        <v>19879.86</v>
      </c>
      <c r="D14" s="34">
        <v>6.1032863849765265E-2</v>
      </c>
      <c r="E14" s="34"/>
      <c r="F14" s="8">
        <v>9874.35</v>
      </c>
      <c r="G14" s="34">
        <v>4.7619047619047616E-2</v>
      </c>
      <c r="H14" s="34"/>
      <c r="I14" s="8">
        <v>9143.7200000000012</v>
      </c>
      <c r="J14" s="34">
        <v>4.7619047619047616E-2</v>
      </c>
    </row>
    <row r="15" spans="2:10" x14ac:dyDescent="0.2">
      <c r="B15" t="s">
        <v>15</v>
      </c>
      <c r="C15" s="6">
        <v>325723.86</v>
      </c>
      <c r="D15" s="5">
        <v>1</v>
      </c>
      <c r="E15" s="5"/>
      <c r="F15" s="6">
        <v>207361.35</v>
      </c>
      <c r="G15" s="5">
        <v>1</v>
      </c>
      <c r="I15" s="6">
        <v>192018.12000000002</v>
      </c>
      <c r="J15" s="5">
        <v>1</v>
      </c>
    </row>
    <row r="16" spans="2:10" x14ac:dyDescent="0.2">
      <c r="G16"/>
      <c r="H16"/>
    </row>
    <row r="17" spans="2:10" x14ac:dyDescent="0.2">
      <c r="B17" t="s">
        <v>16</v>
      </c>
      <c r="C17" s="2">
        <v>10933.923000000001</v>
      </c>
      <c r="D17" s="5">
        <v>0.55000000000000004</v>
      </c>
      <c r="E17" s="5"/>
      <c r="F17" s="2">
        <v>4937.1750000000002</v>
      </c>
      <c r="G17" s="5">
        <v>0.5</v>
      </c>
      <c r="I17" s="2">
        <v>4571.8600000000006</v>
      </c>
      <c r="J17" s="5">
        <v>0.5</v>
      </c>
    </row>
    <row r="18" spans="2:10" x14ac:dyDescent="0.2">
      <c r="G18"/>
      <c r="H18"/>
    </row>
    <row r="19" spans="2:10" x14ac:dyDescent="0.2">
      <c r="B19" t="s">
        <v>22</v>
      </c>
      <c r="C19" s="6">
        <v>314789.93699999998</v>
      </c>
      <c r="D19" s="5">
        <v>0.96643192488262908</v>
      </c>
      <c r="E19" s="5"/>
      <c r="F19" s="6">
        <v>202424.17500000002</v>
      </c>
      <c r="G19" s="5">
        <v>0.97619047619047628</v>
      </c>
      <c r="I19" s="6">
        <v>187446.26</v>
      </c>
      <c r="J19" s="5">
        <v>0.97619047619047616</v>
      </c>
    </row>
    <row r="20" spans="2:10" x14ac:dyDescent="0.2">
      <c r="G20"/>
      <c r="H20"/>
    </row>
    <row r="21" spans="2:10" x14ac:dyDescent="0.2">
      <c r="B21" t="s">
        <v>19</v>
      </c>
      <c r="G21"/>
      <c r="H21"/>
    </row>
    <row r="22" spans="2:10" x14ac:dyDescent="0.2">
      <c r="B22" t="s">
        <v>21</v>
      </c>
      <c r="G22"/>
      <c r="H22"/>
    </row>
    <row r="23" spans="2:10" x14ac:dyDescent="0.2">
      <c r="B23" t="s">
        <v>17</v>
      </c>
      <c r="C23" s="53">
        <v>103753.26000000001</v>
      </c>
      <c r="D23" s="5">
        <v>0.3185313473811836</v>
      </c>
      <c r="E23" s="5"/>
      <c r="F23" s="53">
        <v>55270.400000000001</v>
      </c>
      <c r="G23" s="5">
        <v>0.26654147458048472</v>
      </c>
      <c r="I23" s="53">
        <v>63992.76</v>
      </c>
      <c r="J23" s="5">
        <v>0.33326417319365481</v>
      </c>
    </row>
    <row r="24" spans="2:10" x14ac:dyDescent="0.2">
      <c r="B24" t="s">
        <v>18</v>
      </c>
      <c r="C24" s="54">
        <v>20083.333333333332</v>
      </c>
      <c r="D24" s="5">
        <v>6.1657544317856645E-2</v>
      </c>
      <c r="E24" s="5"/>
      <c r="F24" s="54">
        <v>19250</v>
      </c>
      <c r="G24" s="5">
        <v>9.2833114753544957E-2</v>
      </c>
      <c r="I24" s="54">
        <v>20083.333333333332</v>
      </c>
      <c r="J24" s="5">
        <v>0.10459082368545911</v>
      </c>
    </row>
    <row r="25" spans="2:10" x14ac:dyDescent="0.2">
      <c r="B25" t="s">
        <v>20</v>
      </c>
      <c r="C25" s="55">
        <v>123836.59333333334</v>
      </c>
      <c r="D25" s="34">
        <v>0.38018889169904024</v>
      </c>
      <c r="E25" s="34"/>
      <c r="F25" s="55">
        <v>74520.399999999994</v>
      </c>
      <c r="G25" s="34">
        <v>0.35937458933402966</v>
      </c>
      <c r="H25" s="34"/>
      <c r="I25" s="55">
        <v>84076.093333333338</v>
      </c>
      <c r="J25" s="34">
        <v>0.43785499687911394</v>
      </c>
    </row>
    <row r="26" spans="2:10" x14ac:dyDescent="0.2">
      <c r="B26" t="s">
        <v>55</v>
      </c>
      <c r="C26" s="56">
        <v>34674.246133333341</v>
      </c>
      <c r="D26" s="36">
        <v>0.10645288967573129</v>
      </c>
      <c r="E26" s="36"/>
      <c r="F26" s="56">
        <v>20865.712</v>
      </c>
      <c r="G26" s="36">
        <v>0.10062488501352831</v>
      </c>
      <c r="H26" s="36"/>
      <c r="I26" s="56">
        <v>23541.306133333335</v>
      </c>
      <c r="J26" s="36">
        <v>0.12259939912615191</v>
      </c>
    </row>
    <row r="27" spans="2:10" x14ac:dyDescent="0.2">
      <c r="B27" t="s">
        <v>32</v>
      </c>
      <c r="C27" s="53">
        <v>158510.83946666669</v>
      </c>
      <c r="D27" s="5">
        <v>0.48664178137477154</v>
      </c>
      <c r="E27" s="5"/>
      <c r="F27" s="53">
        <v>95386.111999999994</v>
      </c>
      <c r="G27" s="5">
        <v>0.459999474347558</v>
      </c>
      <c r="I27" s="53">
        <v>107617.39946666667</v>
      </c>
      <c r="J27" s="5">
        <v>0.56045439600526581</v>
      </c>
    </row>
    <row r="28" spans="2:10" x14ac:dyDescent="0.2">
      <c r="C28" s="53"/>
      <c r="F28" s="53"/>
      <c r="G28"/>
      <c r="H28"/>
      <c r="I28" s="53"/>
    </row>
    <row r="29" spans="2:10" x14ac:dyDescent="0.2">
      <c r="B29" t="s">
        <v>23</v>
      </c>
      <c r="C29" s="53"/>
      <c r="F29" s="53"/>
      <c r="G29"/>
      <c r="H29"/>
      <c r="I29" s="53"/>
    </row>
    <row r="30" spans="2:10" x14ac:dyDescent="0.2">
      <c r="B30" t="s">
        <v>24</v>
      </c>
      <c r="C30" s="54">
        <v>2166.4500000000003</v>
      </c>
      <c r="D30" s="5">
        <v>6.6511860690831809E-3</v>
      </c>
      <c r="E30" s="5"/>
      <c r="F30" s="54">
        <v>1280</v>
      </c>
      <c r="G30" s="5">
        <v>6.1727993186772752E-3</v>
      </c>
      <c r="I30" s="54">
        <v>1482</v>
      </c>
      <c r="J30" s="5">
        <v>7.7180216117103935E-3</v>
      </c>
    </row>
    <row r="31" spans="2:10" x14ac:dyDescent="0.2">
      <c r="B31" t="s">
        <v>25</v>
      </c>
      <c r="C31" s="54">
        <v>6893.25</v>
      </c>
      <c r="D31" s="5">
        <v>2.1162864765264664E-2</v>
      </c>
      <c r="E31" s="5"/>
      <c r="F31" s="54">
        <v>3200</v>
      </c>
      <c r="G31" s="5">
        <v>1.5431998296693188E-2</v>
      </c>
      <c r="I31" s="54">
        <v>3705</v>
      </c>
      <c r="J31" s="5">
        <v>1.9295054029275983E-2</v>
      </c>
    </row>
    <row r="32" spans="2:10" x14ac:dyDescent="0.2">
      <c r="B32" t="s">
        <v>53</v>
      </c>
      <c r="C32" s="54">
        <v>500</v>
      </c>
      <c r="D32" s="5">
        <v>1.5350425971250618E-3</v>
      </c>
      <c r="E32" s="5"/>
      <c r="F32" s="54">
        <v>500</v>
      </c>
      <c r="G32" s="5">
        <v>2.4112497338583103E-3</v>
      </c>
      <c r="I32" s="54">
        <v>500</v>
      </c>
      <c r="J32" s="5">
        <v>2.6039209216296875E-3</v>
      </c>
    </row>
    <row r="33" spans="2:10" x14ac:dyDescent="0.2">
      <c r="B33" t="s">
        <v>26</v>
      </c>
      <c r="C33" s="54">
        <v>750</v>
      </c>
      <c r="D33" s="5">
        <v>2.3025638956875928E-3</v>
      </c>
      <c r="E33" s="5"/>
      <c r="F33" s="54">
        <v>750</v>
      </c>
      <c r="G33" s="5">
        <v>3.6168746007874657E-3</v>
      </c>
      <c r="I33" s="54">
        <v>750</v>
      </c>
      <c r="J33" s="5">
        <v>3.9058813824445313E-3</v>
      </c>
    </row>
    <row r="34" spans="2:10" x14ac:dyDescent="0.2">
      <c r="B34" t="s">
        <v>27</v>
      </c>
      <c r="C34" s="54">
        <v>19695</v>
      </c>
      <c r="D34" s="5">
        <v>6.0465327900756184E-2</v>
      </c>
      <c r="E34" s="5"/>
      <c r="F34" s="54">
        <v>10240</v>
      </c>
      <c r="G34" s="5">
        <v>4.9382394549418202E-2</v>
      </c>
      <c r="I34" s="54">
        <v>12152.4</v>
      </c>
      <c r="J34" s="5">
        <v>6.3287777216025229E-2</v>
      </c>
    </row>
    <row r="35" spans="2:10" x14ac:dyDescent="0.2">
      <c r="B35" t="s">
        <v>28</v>
      </c>
      <c r="C35" s="54">
        <v>19695</v>
      </c>
      <c r="D35" s="5">
        <v>6.0465327900756184E-2</v>
      </c>
      <c r="E35" s="5"/>
      <c r="F35" s="54">
        <v>10240</v>
      </c>
      <c r="G35" s="5">
        <v>4.9382394549418202E-2</v>
      </c>
      <c r="I35" s="54">
        <v>11856</v>
      </c>
      <c r="J35" s="5">
        <v>6.1744172893683148E-2</v>
      </c>
    </row>
    <row r="36" spans="2:10" x14ac:dyDescent="0.2">
      <c r="B36" t="s">
        <v>29</v>
      </c>
      <c r="C36" s="55">
        <v>43329</v>
      </c>
      <c r="D36" s="34">
        <v>0.1330237213816636</v>
      </c>
      <c r="E36" s="34"/>
      <c r="F36" s="55">
        <v>25600</v>
      </c>
      <c r="G36" s="34">
        <v>0.1234559863735455</v>
      </c>
      <c r="H36" s="34"/>
      <c r="I36" s="55">
        <v>29640</v>
      </c>
      <c r="J36" s="34">
        <v>0.15436043223420787</v>
      </c>
    </row>
    <row r="37" spans="2:10" x14ac:dyDescent="0.2">
      <c r="B37" t="s">
        <v>30</v>
      </c>
      <c r="C37" s="53">
        <v>93028.7</v>
      </c>
      <c r="D37" s="5">
        <v>0.28560603451033645</v>
      </c>
      <c r="E37" s="5"/>
      <c r="F37" s="53">
        <v>51810</v>
      </c>
      <c r="G37" s="5">
        <v>0.24985369742239813</v>
      </c>
      <c r="I37" s="53">
        <v>60085.4</v>
      </c>
      <c r="J37" s="5">
        <v>0.31291526028897687</v>
      </c>
    </row>
    <row r="38" spans="2:10" x14ac:dyDescent="0.2">
      <c r="C38" s="53"/>
      <c r="D38" s="5"/>
      <c r="E38" s="5"/>
      <c r="F38" s="53"/>
      <c r="I38" s="53"/>
      <c r="J38" s="5"/>
    </row>
    <row r="39" spans="2:10" ht="16" thickBot="1" x14ac:dyDescent="0.25">
      <c r="B39" t="s">
        <v>31</v>
      </c>
      <c r="C39" s="57">
        <v>63250.397533333293</v>
      </c>
      <c r="D39" s="38">
        <v>0.19418410899752109</v>
      </c>
      <c r="E39" s="38"/>
      <c r="F39" s="57">
        <v>55228.063000000024</v>
      </c>
      <c r="G39" s="38">
        <v>0.26633730442052012</v>
      </c>
      <c r="H39" s="38"/>
      <c r="I39" s="57">
        <v>19743.460533333338</v>
      </c>
      <c r="J39" s="38">
        <v>0.10282081989623341</v>
      </c>
    </row>
    <row r="40" spans="2:10" ht="16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20X7 December Budget</vt:lpstr>
      <vt:lpstr>20X7 December Forecast</vt:lpstr>
      <vt:lpstr>20X7 December Actual</vt:lpstr>
      <vt:lpstr>20X7 Actual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Ramirez, Arlene</dc:creator>
  <cp:lastModifiedBy>Ramirez, Arlene</cp:lastModifiedBy>
  <cp:lastPrinted>2017-11-15T17:11:46Z</cp:lastPrinted>
  <dcterms:created xsi:type="dcterms:W3CDTF">2017-11-15T15:50:22Z</dcterms:created>
  <dcterms:modified xsi:type="dcterms:W3CDTF">2022-05-13T04:18:11Z</dcterms:modified>
</cp:coreProperties>
</file>