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leneramirez/Downloads/"/>
    </mc:Choice>
  </mc:AlternateContent>
  <xr:revisionPtr revIDLastSave="0" documentId="13_ncr:1_{5E3B27F2-61C0-B44D-84DF-4229446B08F6}" xr6:coauthVersionLast="47" xr6:coauthVersionMax="47" xr10:uidLastSave="{00000000-0000-0000-0000-000000000000}"/>
  <workbookProtection workbookAlgorithmName="SHA-512" workbookHashValue="FsKjIb9ozrYiDkwl1QgVT68wyI9sgApjxZQ5dz655uC50OIIB+WaVwRvH/XKVcG4mV7w5eMQNirBII47NbRKhw==" workbookSaltValue="uBQx159ybKre0oY5TDKsIQ==" workbookSpinCount="100000" lockStructure="1"/>
  <bookViews>
    <workbookView xWindow="0" yWindow="0" windowWidth="28800" windowHeight="18000" xr2:uid="{8D3EA94F-0C77-984E-9EA4-3F535DAC35B6}"/>
  </bookViews>
  <sheets>
    <sheet name="Crossword Puzzle" sheetId="6" r:id="rId1"/>
    <sheet name="Practice Problem No. 1 " sheetId="1" r:id="rId2"/>
    <sheet name="Practice Problem No. 2" sheetId="3" r:id="rId3"/>
    <sheet name="Practice Problem No. 3" sheetId="4" r:id="rId4"/>
    <sheet name="Crossword Solution" sheetId="8" r:id="rId5"/>
    <sheet name="P" sheetId="2" state="hidden" r:id="rId6"/>
  </sheets>
  <definedNames>
    <definedName name="_xlnm._FilterDatabase" localSheetId="5" hidden="1">P!$B$55:$B$82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4" i="4" l="1"/>
  <c r="M22" i="4"/>
  <c r="K63" i="4"/>
  <c r="J63" i="4" s="1"/>
  <c r="Q65" i="4"/>
  <c r="Q63" i="4"/>
  <c r="P63" i="4" s="1"/>
  <c r="Q59" i="4"/>
  <c r="P59" i="4" s="1"/>
  <c r="Q57" i="4"/>
  <c r="P57" i="4" s="1"/>
  <c r="Q55" i="4"/>
  <c r="P55" i="4" s="1"/>
  <c r="N50" i="4"/>
  <c r="M50" i="4" s="1"/>
  <c r="Q52" i="4"/>
  <c r="K52" i="4"/>
  <c r="K50" i="4"/>
  <c r="J50" i="4" s="1"/>
  <c r="K48" i="4"/>
  <c r="J48" i="4" s="1"/>
  <c r="N37" i="4"/>
  <c r="M37" i="4" s="1"/>
  <c r="Q43" i="4"/>
  <c r="P43" i="4" s="1"/>
  <c r="N41" i="4"/>
  <c r="M41" i="4" s="1"/>
  <c r="N39" i="4"/>
  <c r="M39" i="4" s="1"/>
  <c r="K39" i="4"/>
  <c r="J39" i="4" s="1"/>
  <c r="K37" i="4"/>
  <c r="J37" i="4" s="1"/>
  <c r="K30" i="4"/>
  <c r="J30" i="4" s="1"/>
  <c r="K28" i="4"/>
  <c r="J28" i="4" s="1"/>
  <c r="K26" i="4"/>
  <c r="J26" i="4" s="1"/>
  <c r="K24" i="4"/>
  <c r="J24" i="4" s="1"/>
  <c r="Q32" i="4"/>
  <c r="P32" i="4" s="1"/>
  <c r="N30" i="4"/>
  <c r="M30" i="4" s="1"/>
  <c r="N28" i="4"/>
  <c r="M28" i="4" s="1"/>
  <c r="N26" i="4"/>
  <c r="M26" i="4" s="1"/>
  <c r="N24" i="4"/>
  <c r="N22" i="4"/>
  <c r="N20" i="4"/>
  <c r="M20" i="4" s="1"/>
  <c r="K20" i="4"/>
  <c r="J20" i="4" s="1"/>
  <c r="N16" i="4"/>
  <c r="M16" i="4" s="1"/>
  <c r="N14" i="4"/>
  <c r="M14" i="4" s="1"/>
  <c r="N12" i="4"/>
  <c r="M12" i="4" s="1"/>
  <c r="Q8" i="4"/>
  <c r="P8" i="4" s="1"/>
  <c r="K16" i="4"/>
  <c r="J16" i="4" s="1"/>
  <c r="K14" i="4"/>
  <c r="J14" i="4" s="1"/>
  <c r="K41" i="4"/>
  <c r="J41" i="4" s="1"/>
  <c r="D27" i="4"/>
  <c r="K57" i="4"/>
  <c r="J57" i="4" s="1"/>
  <c r="J52" i="4"/>
  <c r="N48" i="4"/>
  <c r="M48" i="4" s="1"/>
  <c r="K43" i="4"/>
  <c r="J43" i="4" s="1"/>
  <c r="K32" i="4"/>
  <c r="J32" i="4" s="1"/>
  <c r="K22" i="4"/>
  <c r="J22" i="4" s="1"/>
  <c r="D15" i="4"/>
  <c r="K12" i="4"/>
  <c r="J12" i="4" s="1"/>
  <c r="D10" i="4"/>
  <c r="K8" i="4"/>
  <c r="J8" i="4" s="1"/>
  <c r="I4" i="4"/>
  <c r="I3" i="4"/>
  <c r="I2" i="4"/>
  <c r="Q55" i="3"/>
  <c r="K31" i="3"/>
  <c r="J31" i="3" s="1"/>
  <c r="N20" i="3"/>
  <c r="M20" i="3" s="1"/>
  <c r="Q57" i="3"/>
  <c r="Q51" i="3"/>
  <c r="P51" i="3" s="1"/>
  <c r="Q49" i="3"/>
  <c r="Q47" i="3"/>
  <c r="P47" i="3" s="1"/>
  <c r="Q44" i="3"/>
  <c r="P44" i="3" s="1"/>
  <c r="N42" i="3"/>
  <c r="M42" i="3" s="1"/>
  <c r="N40" i="3"/>
  <c r="M40" i="3" s="1"/>
  <c r="N38" i="3"/>
  <c r="M38" i="3" s="1"/>
  <c r="Q33" i="3"/>
  <c r="P33" i="3" s="1"/>
  <c r="N31" i="3"/>
  <c r="M31" i="3" s="1"/>
  <c r="N29" i="3"/>
  <c r="M29" i="3" s="1"/>
  <c r="Q24" i="3"/>
  <c r="P24" i="3" s="1"/>
  <c r="N22" i="3"/>
  <c r="M22" i="3" s="1"/>
  <c r="N18" i="3"/>
  <c r="M18" i="3" s="1"/>
  <c r="N16" i="3"/>
  <c r="M16" i="3" s="1"/>
  <c r="N12" i="3"/>
  <c r="M12" i="3" s="1"/>
  <c r="Q8" i="3"/>
  <c r="P8" i="3" s="1"/>
  <c r="K55" i="3"/>
  <c r="J55" i="3" s="1"/>
  <c r="K49" i="3"/>
  <c r="J49" i="3" s="1"/>
  <c r="K44" i="3"/>
  <c r="J44" i="3" s="1"/>
  <c r="K42" i="3"/>
  <c r="J42" i="3" s="1"/>
  <c r="K40" i="3"/>
  <c r="J40" i="3" s="1"/>
  <c r="K38" i="3"/>
  <c r="J38" i="3" s="1"/>
  <c r="K33" i="3"/>
  <c r="J33" i="3" s="1"/>
  <c r="K29" i="3"/>
  <c r="J29" i="3" s="1"/>
  <c r="K24" i="3"/>
  <c r="J24" i="3" s="1"/>
  <c r="K22" i="3"/>
  <c r="J22" i="3" s="1"/>
  <c r="K20" i="3"/>
  <c r="J20" i="3" s="1"/>
  <c r="K18" i="3"/>
  <c r="J18" i="3" s="1"/>
  <c r="K16" i="3"/>
  <c r="J16" i="3" s="1"/>
  <c r="K38" i="1"/>
  <c r="J38" i="1" s="1"/>
  <c r="K29" i="1"/>
  <c r="J29" i="1" s="1"/>
  <c r="K20" i="1"/>
  <c r="J20" i="1" s="1"/>
  <c r="P57" i="3"/>
  <c r="P55" i="3"/>
  <c r="D20" i="3"/>
  <c r="D10" i="3"/>
  <c r="D15" i="3"/>
  <c r="D17" i="3" s="1"/>
  <c r="D22" i="3" s="1"/>
  <c r="I3" i="3"/>
  <c r="I4" i="3"/>
  <c r="I2" i="3"/>
  <c r="P49" i="3"/>
  <c r="K12" i="3"/>
  <c r="J12" i="3" s="1"/>
  <c r="K8" i="3"/>
  <c r="J8" i="3" s="1"/>
  <c r="P8" i="1"/>
  <c r="P20" i="1"/>
  <c r="P45" i="1"/>
  <c r="P43" i="1"/>
  <c r="P41" i="1"/>
  <c r="P38" i="1"/>
  <c r="P29" i="1"/>
  <c r="M18" i="1"/>
  <c r="J34" i="1"/>
  <c r="K43" i="1"/>
  <c r="J43" i="1" s="1"/>
  <c r="Q45" i="1"/>
  <c r="Q43" i="1"/>
  <c r="Q41" i="1"/>
  <c r="Q38" i="1"/>
  <c r="N36" i="1"/>
  <c r="M36" i="1" s="1"/>
  <c r="N34" i="1"/>
  <c r="M34" i="1" s="1"/>
  <c r="K36" i="1"/>
  <c r="J36" i="1" s="1"/>
  <c r="K34" i="1"/>
  <c r="Q29" i="1"/>
  <c r="N27" i="1"/>
  <c r="M27" i="1" s="1"/>
  <c r="N25" i="1"/>
  <c r="M25" i="1" s="1"/>
  <c r="K27" i="1"/>
  <c r="J27" i="1" s="1"/>
  <c r="K25" i="1"/>
  <c r="J25" i="1" s="1"/>
  <c r="Q20" i="1"/>
  <c r="N18" i="1"/>
  <c r="N16" i="1"/>
  <c r="M16" i="1" s="1"/>
  <c r="K18" i="1"/>
  <c r="J18" i="1" s="1"/>
  <c r="K16" i="1"/>
  <c r="J16" i="1" s="1"/>
  <c r="N12" i="1"/>
  <c r="M12" i="1" s="1"/>
  <c r="K12" i="1"/>
  <c r="J12" i="1" s="1"/>
  <c r="Q8" i="1"/>
  <c r="K8" i="1"/>
  <c r="J8" i="1" s="1"/>
  <c r="D17" i="4" l="1"/>
  <c r="D22" i="4" s="1"/>
  <c r="D29" i="4" s="1"/>
  <c r="P65" i="4"/>
  <c r="P52" i="4"/>
</calcChain>
</file>

<file path=xl/sharedStrings.xml><?xml version="1.0" encoding="utf-8"?>
<sst xmlns="http://schemas.openxmlformats.org/spreadsheetml/2006/main" count="203" uniqueCount="132">
  <si>
    <t>Cash receipt from sale of land     </t>
  </si>
  <si>
    <t xml:space="preserve"> Net Income                                  </t>
  </si>
  <si>
    <t>Depreciation Expense</t>
  </si>
  <si>
    <t>Cash payment of dividends</t>
  </si>
  <si>
    <t>Cash receipt from issuing common stock</t>
  </si>
  <si>
    <t>Cash purchase of equipment</t>
  </si>
  <si>
    <t>Decrease in current liabilities</t>
  </si>
  <si>
    <t>Increase in current assets</t>
  </si>
  <si>
    <t>Statement of Cash Flows - Indirect Method</t>
  </si>
  <si>
    <t>Royal Hotel's</t>
  </si>
  <si>
    <t>For Year Ending May 31, 20X2</t>
  </si>
  <si>
    <t>Cash Flow from Operating Activities:</t>
  </si>
  <si>
    <t>Adjustments to reconcile Net Income to Net Cash Flow</t>
  </si>
  <si>
    <t>Changes in Current Assets &amp; Liabilities</t>
  </si>
  <si>
    <t>Assume beginning and ending Cash balances are $23,000 and $50,600 respectively.</t>
  </si>
  <si>
    <t>Cash Flows from Investing Activities</t>
  </si>
  <si>
    <t>Cash Flows from Financing Activities</t>
  </si>
  <si>
    <t>Increase in Cash</t>
  </si>
  <si>
    <t>Cash at the beginning of the year</t>
  </si>
  <si>
    <t>Cash receipt from sale of land</t>
  </si>
  <si>
    <t>Decrease in current assets</t>
  </si>
  <si>
    <t>Increase in current liabilities</t>
  </si>
  <si>
    <t>Depreciation expense</t>
  </si>
  <si>
    <t>Net Income</t>
  </si>
  <si>
    <t>Cash balance at the end of the year</t>
  </si>
  <si>
    <t>Prepare Royal Hotel's  statement of cash flows using the indirect method for the year ended May 31, 20X2.</t>
  </si>
  <si>
    <t>Royal Hotel's accountants assembled the following data for the year ended May 31, 20X2.</t>
  </si>
  <si>
    <t>Prepare Nikki's Restaurant's statement of cash flows using the indirect method for the year ended September 30, 20X2. The information you will need is provided below.</t>
  </si>
  <si>
    <t>Nikki's Restaurant</t>
  </si>
  <si>
    <t>Income Statement</t>
  </si>
  <si>
    <t>For the Year Ending September 30, 20X2</t>
  </si>
  <si>
    <t>Food Revenue</t>
  </si>
  <si>
    <t>Cost of Food Sold</t>
  </si>
  <si>
    <t>Gross Profit</t>
  </si>
  <si>
    <t>Operataing Expenses</t>
  </si>
  <si>
    <t xml:space="preserve">    Salaries Expense</t>
  </si>
  <si>
    <t xml:space="preserve">    Depreciation Expense</t>
  </si>
  <si>
    <t>Total Operating Expenses</t>
  </si>
  <si>
    <t xml:space="preserve">    Supplies Expense</t>
  </si>
  <si>
    <t>Non-Operating Income and Expenses</t>
  </si>
  <si>
    <t>Earnings Before Interest, Taxes, Depreciation and Amortization</t>
  </si>
  <si>
    <t xml:space="preserve">    Income Taxes</t>
  </si>
  <si>
    <t>Additional data follow:</t>
  </si>
  <si>
    <t>b. Cash receipt from sale of land totals $23,000. There was no gain or loss.</t>
  </si>
  <si>
    <t>c. Cash receipts from issuance of common stock total $30,000.</t>
  </si>
  <si>
    <t>d. Payment of notes payable is $12,000.</t>
  </si>
  <si>
    <t>e. Payment of dividends is $8,000.</t>
  </si>
  <si>
    <t>a. Bought equipment for $125,000;  $102,000 paid in cash and $23,000 by signing a note payable.</t>
  </si>
  <si>
    <t>Selected Comparative Balance Sheet Information</t>
  </si>
  <si>
    <t>For September 30, 20X1 and September 30, 20X2</t>
  </si>
  <si>
    <t>Cash</t>
  </si>
  <si>
    <t>Accounts Receivable</t>
  </si>
  <si>
    <t>Food Inventory</t>
  </si>
  <si>
    <t>Accounts Payable</t>
  </si>
  <si>
    <t>Accrued Liabilities</t>
  </si>
  <si>
    <t>20X2</t>
  </si>
  <si>
    <t>20X1</t>
  </si>
  <si>
    <t>Acquisition of Equipment with Notes Payable</t>
  </si>
  <si>
    <t>Acquisition of Equipment</t>
  </si>
  <si>
    <t>Cash Payment--Dividends</t>
  </si>
  <si>
    <t>Cash Payment--Notes Payable</t>
  </si>
  <si>
    <t>Cash Receipts from Sale of Land</t>
  </si>
  <si>
    <t>Cash Receipts sale of Common Stock</t>
  </si>
  <si>
    <t>Decrease in Accounts Receivable</t>
  </si>
  <si>
    <t>Decrease in Accrued Liabilities</t>
  </si>
  <si>
    <t>Increase in Accounts Payable</t>
  </si>
  <si>
    <t>Increase In Food Inventory</t>
  </si>
  <si>
    <t>Total Non-Cash Investing &amp; Financing Activities</t>
  </si>
  <si>
    <t>Net Cash Provided by Operating Activities</t>
  </si>
  <si>
    <t>Net Cash Used by Operating Activities</t>
  </si>
  <si>
    <t>Net Cash Provided by Investing Activities</t>
  </si>
  <si>
    <t>Net Cash Used by Investing Activities</t>
  </si>
  <si>
    <t>Net Cash Provided by Financing Activities</t>
  </si>
  <si>
    <t>Net Cash Used by Financing Activities</t>
  </si>
  <si>
    <t>Increase in Accounts Receivable</t>
  </si>
  <si>
    <t>Increase in Accrued Liabilities</t>
  </si>
  <si>
    <t>Decrease in Food Inventory</t>
  </si>
  <si>
    <t>Decrease in Accounts Payable</t>
  </si>
  <si>
    <t>Cash Balance at the Beginning of the Year</t>
  </si>
  <si>
    <t>Prepare Cougar Hotel statement of cash flows using the indirect method for the year ended September 30, 20X2. The information you will need is provided below.</t>
  </si>
  <si>
    <t>Cougar Hotel</t>
  </si>
  <si>
    <t>Cost of Goods Sold</t>
  </si>
  <si>
    <t>Total Hotel Revenue</t>
  </si>
  <si>
    <t xml:space="preserve">    Interest Expense</t>
  </si>
  <si>
    <t xml:space="preserve">    Amortization Expense</t>
  </si>
  <si>
    <t xml:space="preserve">    Other (Gain from Sale of Investment)</t>
  </si>
  <si>
    <t>Gross Operating Profit</t>
  </si>
  <si>
    <t xml:space="preserve">    Departmental Expenses</t>
  </si>
  <si>
    <t xml:space="preserve">    Undistributed Operating Expenses</t>
  </si>
  <si>
    <t>a. Land costing $18,000 was sold for $18,000.</t>
  </si>
  <si>
    <t>b. A mortage note was issused for $30,000.</t>
  </si>
  <si>
    <t>c. A building was constructed for $116,000.</t>
  </si>
  <si>
    <t>d. 2,500 shares of common stock were issued at $20 in exchange for the bonds payable.</t>
  </si>
  <si>
    <t>e. Cash dividends declared were $74,650.</t>
  </si>
  <si>
    <t>Prepaid Expenses</t>
  </si>
  <si>
    <t>Income Taxes Payable</t>
  </si>
  <si>
    <t>Dividends Payable</t>
  </si>
  <si>
    <t>Non-Cash Investing &amp; Financing Activities</t>
  </si>
  <si>
    <t>Investments (Long-Term)</t>
  </si>
  <si>
    <t>Cash Paid--Construction of Building</t>
  </si>
  <si>
    <t>Cash Received--Issue of Mortgage Note Payable</t>
  </si>
  <si>
    <t>Cash Receipts From Sale of Land</t>
  </si>
  <si>
    <t>Increase in Income Tax Payable</t>
  </si>
  <si>
    <t>Gain on Sale of Investment</t>
  </si>
  <si>
    <t>Patent Amortization</t>
  </si>
  <si>
    <t>Issue of Common Stock to Retire Bond Payable</t>
  </si>
  <si>
    <t>Increase in Prepaid Expenses</t>
  </si>
  <si>
    <t>Decrease in Prepaid Expenses</t>
  </si>
  <si>
    <t>Decrease in Income Tax Payable</t>
  </si>
  <si>
    <t>Cash Receipts From Sale of investments</t>
  </si>
  <si>
    <t>Across</t>
  </si>
  <si>
    <t>Down</t>
  </si>
  <si>
    <t>Net Income in one step, little detail</t>
  </si>
  <si>
    <t>Depreciation/Amortization</t>
  </si>
  <si>
    <t>Name of statement is what it does</t>
  </si>
  <si>
    <t>Time Periods of data needed for SCF</t>
  </si>
  <si>
    <t>Gains/Losses are found here in the Non-Operating Section</t>
  </si>
  <si>
    <t>If most cash on SCF comes from here may be concerning</t>
  </si>
  <si>
    <t>Where non-cash investing/financing items are on the SCF</t>
  </si>
  <si>
    <t>Comparative Balance Sheet, Income Statement and Other ____________</t>
  </si>
  <si>
    <t>Assets that you can not see, feel, or touch</t>
  </si>
  <si>
    <t>Operating, Investing____ Financing equals change in cash</t>
  </si>
  <si>
    <t>What we do with losses to get back to a cash number</t>
  </si>
  <si>
    <t>Trick to remember sections</t>
  </si>
  <si>
    <t>The section that deals with long-term assets</t>
  </si>
  <si>
    <t>Category that means a year or less</t>
  </si>
  <si>
    <t>Section where net income is reconciled to cash</t>
  </si>
  <si>
    <t>These are taken out of Net Income as the are a part of an investing activity</t>
  </si>
  <si>
    <t>_____Current are things that will turn to cash or provide a benefit more than year</t>
  </si>
  <si>
    <t>Initials used to refer to the statement of cash flows</t>
  </si>
  <si>
    <t>are needed to complete the SCF.</t>
  </si>
  <si>
    <t>Cells will turn red when correct letters are in the boxes.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</si>
</sst>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9" formatCode="_(* #,##0_);_(* \(#,##0\);_(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5"/>
      <color rgb="FF000000"/>
      <name val="Trebuchet MS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5"/>
      <color rgb="FF000000"/>
      <name val="Trebuchet MS"/>
      <family val="2"/>
    </font>
    <font>
      <b/>
      <sz val="16"/>
      <color theme="1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6"/>
      <color rgb="FF000000"/>
      <name val="Trebuchet MS"/>
      <family val="2"/>
    </font>
    <font>
      <sz val="8"/>
      <name val="Calibri"/>
      <family val="2"/>
      <scheme val="minor"/>
    </font>
    <font>
      <sz val="14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6" fontId="5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8" fillId="0" borderId="0" xfId="0" applyFont="1"/>
    <xf numFmtId="0" fontId="3" fillId="0" borderId="0" xfId="0" applyFont="1" applyAlignment="1">
      <alignment horizontal="left" vertical="center" wrapText="1"/>
    </xf>
    <xf numFmtId="0" fontId="9" fillId="0" borderId="0" xfId="0" applyFont="1"/>
    <xf numFmtId="0" fontId="2" fillId="0" borderId="0" xfId="0" applyFont="1"/>
    <xf numFmtId="0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6" fontId="8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169" fontId="5" fillId="0" borderId="0" xfId="1" applyNumberFormat="1" applyFont="1"/>
    <xf numFmtId="169" fontId="3" fillId="0" borderId="0" xfId="1" applyNumberFormat="1" applyFont="1" applyAlignment="1">
      <alignment horizontal="left" vertical="center" wrapText="1"/>
    </xf>
    <xf numFmtId="169" fontId="0" fillId="0" borderId="0" xfId="1" applyNumberFormat="1" applyFont="1"/>
    <xf numFmtId="169" fontId="5" fillId="0" borderId="4" xfId="1" applyNumberFormat="1" applyFont="1" applyBorder="1"/>
    <xf numFmtId="169" fontId="0" fillId="0" borderId="4" xfId="1" applyNumberFormat="1" applyFont="1" applyBorder="1"/>
    <xf numFmtId="169" fontId="5" fillId="0" borderId="5" xfId="1" applyNumberFormat="1" applyFont="1" applyBorder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169" fontId="6" fillId="0" borderId="0" xfId="1" applyNumberFormat="1" applyFont="1" applyAlignment="1">
      <alignment horizontal="right"/>
    </xf>
    <xf numFmtId="0" fontId="5" fillId="0" borderId="1" xfId="0" applyFont="1" applyBorder="1"/>
    <xf numFmtId="0" fontId="8" fillId="0" borderId="1" xfId="0" applyFont="1" applyBorder="1"/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9" fontId="5" fillId="0" borderId="0" xfId="1" applyNumberFormat="1" applyFont="1" applyAlignment="1">
      <alignment horizontal="center"/>
    </xf>
    <xf numFmtId="169" fontId="5" fillId="0" borderId="1" xfId="1" applyNumberFormat="1" applyFont="1" applyBorder="1"/>
    <xf numFmtId="169" fontId="5" fillId="0" borderId="0" xfId="1" applyNumberFormat="1" applyFont="1" applyBorder="1" applyAlignment="1">
      <alignment horizontal="center"/>
    </xf>
    <xf numFmtId="169" fontId="5" fillId="0" borderId="2" xfId="1" applyNumberFormat="1" applyFont="1" applyBorder="1" applyAlignment="1">
      <alignment horizontal="center"/>
    </xf>
    <xf numFmtId="169" fontId="5" fillId="0" borderId="3" xfId="1" applyNumberFormat="1" applyFont="1" applyBorder="1" applyAlignment="1">
      <alignment horizontal="center"/>
    </xf>
    <xf numFmtId="169" fontId="5" fillId="0" borderId="3" xfId="1" applyNumberFormat="1" applyFont="1" applyBorder="1"/>
    <xf numFmtId="169" fontId="5" fillId="0" borderId="6" xfId="1" applyNumberFormat="1" applyFont="1" applyBorder="1"/>
    <xf numFmtId="169" fontId="4" fillId="0" borderId="0" xfId="1" applyNumberFormat="1" applyFont="1"/>
    <xf numFmtId="169" fontId="4" fillId="0" borderId="0" xfId="1" applyNumberFormat="1" applyFont="1" applyAlignment="1">
      <alignment horizontal="center"/>
    </xf>
    <xf numFmtId="169" fontId="4" fillId="0" borderId="1" xfId="1" applyNumberFormat="1" applyFont="1" applyBorder="1"/>
    <xf numFmtId="169" fontId="4" fillId="0" borderId="0" xfId="1" applyNumberFormat="1" applyFont="1" applyBorder="1" applyAlignment="1">
      <alignment horizontal="center"/>
    </xf>
    <xf numFmtId="169" fontId="4" fillId="0" borderId="2" xfId="1" applyNumberFormat="1" applyFont="1" applyBorder="1" applyAlignment="1">
      <alignment horizontal="center"/>
    </xf>
    <xf numFmtId="169" fontId="4" fillId="0" borderId="3" xfId="1" applyNumberFormat="1" applyFont="1" applyBorder="1"/>
    <xf numFmtId="169" fontId="0" fillId="0" borderId="0" xfId="0" applyNumberFormat="1"/>
    <xf numFmtId="169" fontId="5" fillId="0" borderId="0" xfId="1" applyNumberFormat="1" applyFont="1" applyBorder="1"/>
    <xf numFmtId="0" fontId="5" fillId="0" borderId="3" xfId="0" applyFont="1" applyBorder="1" applyAlignment="1">
      <alignment horizontal="center"/>
    </xf>
    <xf numFmtId="0" fontId="8" fillId="4" borderId="0" xfId="0" applyFont="1" applyFill="1" applyAlignment="1">
      <alignment horizontal="center"/>
    </xf>
    <xf numFmtId="6" fontId="8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2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svg"/><Relationship Id="rId26" Type="http://schemas.openxmlformats.org/officeDocument/2006/relationships/image" Target="../media/image26.sv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sv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svg"/><Relationship Id="rId16" Type="http://schemas.openxmlformats.org/officeDocument/2006/relationships/image" Target="../media/image16.svg"/><Relationship Id="rId20" Type="http://schemas.openxmlformats.org/officeDocument/2006/relationships/image" Target="../media/image20.sv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24" Type="http://schemas.openxmlformats.org/officeDocument/2006/relationships/image" Target="../media/image24.svg"/><Relationship Id="rId32" Type="http://schemas.openxmlformats.org/officeDocument/2006/relationships/image" Target="../media/image32.sv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svg"/><Relationship Id="rId10" Type="http://schemas.openxmlformats.org/officeDocument/2006/relationships/image" Target="../media/image10.sv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svg"/><Relationship Id="rId9" Type="http://schemas.openxmlformats.org/officeDocument/2006/relationships/image" Target="../media/image9.png"/><Relationship Id="rId14" Type="http://schemas.openxmlformats.org/officeDocument/2006/relationships/image" Target="../media/image14.svg"/><Relationship Id="rId22" Type="http://schemas.openxmlformats.org/officeDocument/2006/relationships/image" Target="../media/image22.svg"/><Relationship Id="rId27" Type="http://schemas.openxmlformats.org/officeDocument/2006/relationships/image" Target="../media/image27.png"/><Relationship Id="rId30" Type="http://schemas.openxmlformats.org/officeDocument/2006/relationships/image" Target="../media/image30.svg"/><Relationship Id="rId8" Type="http://schemas.openxmlformats.org/officeDocument/2006/relationships/image" Target="../media/image8.sv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622300</xdr:colOff>
      <xdr:row>5</xdr:row>
      <xdr:rowOff>368300</xdr:rowOff>
    </xdr:from>
    <xdr:to>
      <xdr:col>2</xdr:col>
      <xdr:colOff>241300</xdr:colOff>
      <xdr:row>6</xdr:row>
      <xdr:rowOff>279400</xdr:rowOff>
    </xdr:to>
    <xdr:pic>
      <xdr:nvPicPr>
        <xdr:cNvPr id="7" name="Graphic 6" descr="Badge outline">
          <a:extLst>
            <a:ext uri="{FF2B5EF4-FFF2-40B4-BE49-F238E27FC236}">
              <a16:creationId xmlns:a16="http://schemas.microsoft.com/office/drawing/2014/main" id="{BB59AB4F-33E4-C34C-B4A2-4DB24CBCD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73300" y="2044700"/>
          <a:ext cx="292100" cy="292100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800100</xdr:colOff>
      <xdr:row>2</xdr:row>
      <xdr:rowOff>279400</xdr:rowOff>
    </xdr:from>
    <xdr:to>
      <xdr:col>1</xdr:col>
      <xdr:colOff>292100</xdr:colOff>
      <xdr:row>3</xdr:row>
      <xdr:rowOff>266700</xdr:rowOff>
    </xdr:to>
    <xdr:pic>
      <xdr:nvPicPr>
        <xdr:cNvPr id="9" name="Graphic 8" descr="Badge 1 outline">
          <a:extLst>
            <a:ext uri="{FF2B5EF4-FFF2-40B4-BE49-F238E27FC236}">
              <a16:creationId xmlns:a16="http://schemas.microsoft.com/office/drawing/2014/main" id="{D6B1D7EB-0990-5A4E-96EF-74B5A810D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25600" y="889000"/>
          <a:ext cx="292100" cy="2921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9</xdr:row>
      <xdr:rowOff>342900</xdr:rowOff>
    </xdr:from>
    <xdr:to>
      <xdr:col>2</xdr:col>
      <xdr:colOff>254000</xdr:colOff>
      <xdr:row>10</xdr:row>
      <xdr:rowOff>279400</xdr:rowOff>
    </xdr:to>
    <xdr:pic>
      <xdr:nvPicPr>
        <xdr:cNvPr id="11" name="Graphic 10" descr="Badge 3 outline">
          <a:extLst>
            <a:ext uri="{FF2B5EF4-FFF2-40B4-BE49-F238E27FC236}">
              <a16:creationId xmlns:a16="http://schemas.microsoft.com/office/drawing/2014/main" id="{13E097D8-5FC7-2340-A97C-03B1FDD81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260600" y="3543300"/>
          <a:ext cx="317500" cy="317500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12</xdr:row>
      <xdr:rowOff>355600</xdr:rowOff>
    </xdr:from>
    <xdr:to>
      <xdr:col>3</xdr:col>
      <xdr:colOff>330200</xdr:colOff>
      <xdr:row>13</xdr:row>
      <xdr:rowOff>330200</xdr:rowOff>
    </xdr:to>
    <xdr:pic>
      <xdr:nvPicPr>
        <xdr:cNvPr id="15" name="Graphic 14" descr="Badge 5 outline">
          <a:extLst>
            <a:ext uri="{FF2B5EF4-FFF2-40B4-BE49-F238E27FC236}">
              <a16:creationId xmlns:a16="http://schemas.microsoft.com/office/drawing/2014/main" id="{22DA41ED-535A-9A4D-B409-5A0F540C0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971800" y="4699000"/>
          <a:ext cx="355600" cy="355600"/>
        </a:xfrm>
        <a:prstGeom prst="rect">
          <a:avLst/>
        </a:prstGeom>
      </xdr:spPr>
    </xdr:pic>
    <xdr:clientData/>
  </xdr:twoCellAnchor>
  <xdr:twoCellAnchor editAs="oneCell">
    <xdr:from>
      <xdr:col>2</xdr:col>
      <xdr:colOff>596900</xdr:colOff>
      <xdr:row>14</xdr:row>
      <xdr:rowOff>330200</xdr:rowOff>
    </xdr:from>
    <xdr:to>
      <xdr:col>3</xdr:col>
      <xdr:colOff>266700</xdr:colOff>
      <xdr:row>15</xdr:row>
      <xdr:rowOff>292100</xdr:rowOff>
    </xdr:to>
    <xdr:pic>
      <xdr:nvPicPr>
        <xdr:cNvPr id="17" name="Graphic 16" descr="Badge 6 outline">
          <a:extLst>
            <a:ext uri="{FF2B5EF4-FFF2-40B4-BE49-F238E27FC236}">
              <a16:creationId xmlns:a16="http://schemas.microsoft.com/office/drawing/2014/main" id="{F29DC6B9-A1E3-4741-962A-19F34C70E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676400" y="5435600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647700</xdr:colOff>
      <xdr:row>16</xdr:row>
      <xdr:rowOff>355600</xdr:rowOff>
    </xdr:from>
    <xdr:to>
      <xdr:col>4</xdr:col>
      <xdr:colOff>266700</xdr:colOff>
      <xdr:row>17</xdr:row>
      <xdr:rowOff>266700</xdr:rowOff>
    </xdr:to>
    <xdr:pic>
      <xdr:nvPicPr>
        <xdr:cNvPr id="19" name="Graphic 18" descr="Badge 7 outline">
          <a:extLst>
            <a:ext uri="{FF2B5EF4-FFF2-40B4-BE49-F238E27FC236}">
              <a16:creationId xmlns:a16="http://schemas.microsoft.com/office/drawing/2014/main" id="{CB974EA7-9A80-C047-8471-1C29B557B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644900" y="6223000"/>
          <a:ext cx="292100" cy="292100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19</xdr:row>
      <xdr:rowOff>0</xdr:rowOff>
    </xdr:from>
    <xdr:to>
      <xdr:col>3</xdr:col>
      <xdr:colOff>279400</xdr:colOff>
      <xdr:row>19</xdr:row>
      <xdr:rowOff>304800</xdr:rowOff>
    </xdr:to>
    <xdr:pic>
      <xdr:nvPicPr>
        <xdr:cNvPr id="21" name="Graphic 20" descr="Badge 8 outline">
          <a:extLst>
            <a:ext uri="{FF2B5EF4-FFF2-40B4-BE49-F238E27FC236}">
              <a16:creationId xmlns:a16="http://schemas.microsoft.com/office/drawing/2014/main" id="{2E7B562A-CB4C-5C4B-8D29-60FDADDEC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2971800" y="7010400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2</xdr:row>
      <xdr:rowOff>266700</xdr:rowOff>
    </xdr:from>
    <xdr:to>
      <xdr:col>2</xdr:col>
      <xdr:colOff>228600</xdr:colOff>
      <xdr:row>3</xdr:row>
      <xdr:rowOff>241300</xdr:rowOff>
    </xdr:to>
    <xdr:pic>
      <xdr:nvPicPr>
        <xdr:cNvPr id="23" name="Graphic 22" descr="Badge 1 with solid fill">
          <a:extLst>
            <a:ext uri="{FF2B5EF4-FFF2-40B4-BE49-F238E27FC236}">
              <a16:creationId xmlns:a16="http://schemas.microsoft.com/office/drawing/2014/main" id="{7008F2A6-3AB5-0F40-BFDE-2F80E311F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2273300" y="876300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9</xdr:col>
      <xdr:colOff>622300</xdr:colOff>
      <xdr:row>2</xdr:row>
      <xdr:rowOff>254000</xdr:rowOff>
    </xdr:from>
    <xdr:to>
      <xdr:col>10</xdr:col>
      <xdr:colOff>254000</xdr:colOff>
      <xdr:row>3</xdr:row>
      <xdr:rowOff>254000</xdr:rowOff>
    </xdr:to>
    <xdr:pic>
      <xdr:nvPicPr>
        <xdr:cNvPr id="25" name="Graphic 24" descr="Badge with solid fill">
          <a:extLst>
            <a:ext uri="{FF2B5EF4-FFF2-40B4-BE49-F238E27FC236}">
              <a16:creationId xmlns:a16="http://schemas.microsoft.com/office/drawing/2014/main" id="{AA07266D-EAEF-5B46-837B-0E9CA8868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7658100" y="863600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12</xdr:col>
      <xdr:colOff>647700</xdr:colOff>
      <xdr:row>2</xdr:row>
      <xdr:rowOff>266700</xdr:rowOff>
    </xdr:from>
    <xdr:to>
      <xdr:col>13</xdr:col>
      <xdr:colOff>279400</xdr:colOff>
      <xdr:row>3</xdr:row>
      <xdr:rowOff>266700</xdr:rowOff>
    </xdr:to>
    <xdr:pic>
      <xdr:nvPicPr>
        <xdr:cNvPr id="27" name="Graphic 26" descr="Badge 3 with solid fill">
          <a:extLst>
            <a:ext uri="{FF2B5EF4-FFF2-40B4-BE49-F238E27FC236}">
              <a16:creationId xmlns:a16="http://schemas.microsoft.com/office/drawing/2014/main" id="{AF4E5281-F4BF-664F-BD77-AF853676C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0"/>
            </a:ext>
          </a:extLst>
        </a:blip>
        <a:stretch>
          <a:fillRect/>
        </a:stretch>
      </xdr:blipFill>
      <xdr:spPr>
        <a:xfrm>
          <a:off x="9702800" y="876300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5</xdr:col>
      <xdr:colOff>660400</xdr:colOff>
      <xdr:row>5</xdr:row>
      <xdr:rowOff>368300</xdr:rowOff>
    </xdr:from>
    <xdr:to>
      <xdr:col>6</xdr:col>
      <xdr:colOff>279400</xdr:colOff>
      <xdr:row>6</xdr:row>
      <xdr:rowOff>279400</xdr:rowOff>
    </xdr:to>
    <xdr:pic>
      <xdr:nvPicPr>
        <xdr:cNvPr id="29" name="Graphic 28" descr="Badge 4 with solid fill">
          <a:extLst>
            <a:ext uri="{FF2B5EF4-FFF2-40B4-BE49-F238E27FC236}">
              <a16:creationId xmlns:a16="http://schemas.microsoft.com/office/drawing/2014/main" id="{F858E39D-602F-4848-994D-42B4EDA5A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2"/>
            </a:ext>
          </a:extLst>
        </a:blip>
        <a:stretch>
          <a:fillRect/>
        </a:stretch>
      </xdr:blipFill>
      <xdr:spPr>
        <a:xfrm>
          <a:off x="5003800" y="2044700"/>
          <a:ext cx="292100" cy="29210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635000</xdr:colOff>
      <xdr:row>6</xdr:row>
      <xdr:rowOff>355600</xdr:rowOff>
    </xdr:from>
    <xdr:to>
      <xdr:col>11</xdr:col>
      <xdr:colOff>254000</xdr:colOff>
      <xdr:row>7</xdr:row>
      <xdr:rowOff>266700</xdr:rowOff>
    </xdr:to>
    <xdr:pic>
      <xdr:nvPicPr>
        <xdr:cNvPr id="33" name="Graphic 32" descr="Badge 6 with solid fill">
          <a:extLst>
            <a:ext uri="{FF2B5EF4-FFF2-40B4-BE49-F238E27FC236}">
              <a16:creationId xmlns:a16="http://schemas.microsoft.com/office/drawing/2014/main" id="{1F1014F7-C58A-934D-8916-00E98710A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4"/>
            </a:ext>
          </a:extLst>
        </a:blip>
        <a:stretch>
          <a:fillRect/>
        </a:stretch>
      </xdr:blipFill>
      <xdr:spPr>
        <a:xfrm>
          <a:off x="8343900" y="2413000"/>
          <a:ext cx="292100" cy="292100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635000</xdr:colOff>
      <xdr:row>9</xdr:row>
      <xdr:rowOff>330200</xdr:rowOff>
    </xdr:from>
    <xdr:to>
      <xdr:col>7</xdr:col>
      <xdr:colOff>266700</xdr:colOff>
      <xdr:row>10</xdr:row>
      <xdr:rowOff>254000</xdr:rowOff>
    </xdr:to>
    <xdr:pic>
      <xdr:nvPicPr>
        <xdr:cNvPr id="35" name="Graphic 34" descr="Badge 7 with solid fill">
          <a:extLst>
            <a:ext uri="{FF2B5EF4-FFF2-40B4-BE49-F238E27FC236}">
              <a16:creationId xmlns:a16="http://schemas.microsoft.com/office/drawing/2014/main" id="{CAECE1F6-EFC4-7144-A778-E617DF138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6"/>
            </a:ext>
          </a:extLst>
        </a:blip>
        <a:stretch>
          <a:fillRect/>
        </a:stretch>
      </xdr:blipFill>
      <xdr:spPr>
        <a:xfrm>
          <a:off x="5651500" y="3530600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12</xdr:col>
      <xdr:colOff>660400</xdr:colOff>
      <xdr:row>11</xdr:row>
      <xdr:rowOff>355600</xdr:rowOff>
    </xdr:from>
    <xdr:to>
      <xdr:col>13</xdr:col>
      <xdr:colOff>279400</xdr:colOff>
      <xdr:row>12</xdr:row>
      <xdr:rowOff>266700</xdr:rowOff>
    </xdr:to>
    <xdr:pic>
      <xdr:nvPicPr>
        <xdr:cNvPr id="37" name="Graphic 36" descr="Badge 8 with solid fill">
          <a:extLst>
            <a:ext uri="{FF2B5EF4-FFF2-40B4-BE49-F238E27FC236}">
              <a16:creationId xmlns:a16="http://schemas.microsoft.com/office/drawing/2014/main" id="{2445F053-BA1E-AE43-B21F-25B5188A5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9715500" y="4318000"/>
          <a:ext cx="292100" cy="292100"/>
        </a:xfrm>
        <a:prstGeom prst="rect">
          <a:avLst/>
        </a:prstGeom>
      </xdr:spPr>
    </xdr:pic>
    <xdr:clientData/>
  </xdr:twoCellAnchor>
  <xdr:twoCellAnchor editAs="oneCell">
    <xdr:from>
      <xdr:col>8</xdr:col>
      <xdr:colOff>660400</xdr:colOff>
      <xdr:row>13</xdr:row>
      <xdr:rowOff>0</xdr:rowOff>
    </xdr:from>
    <xdr:to>
      <xdr:col>9</xdr:col>
      <xdr:colOff>266700</xdr:colOff>
      <xdr:row>13</xdr:row>
      <xdr:rowOff>279400</xdr:rowOff>
    </xdr:to>
    <xdr:pic>
      <xdr:nvPicPr>
        <xdr:cNvPr id="39" name="Graphic 38" descr="Badge 9 with solid fill">
          <a:extLst>
            <a:ext uri="{FF2B5EF4-FFF2-40B4-BE49-F238E27FC236}">
              <a16:creationId xmlns:a16="http://schemas.microsoft.com/office/drawing/2014/main" id="{68C431A6-63CF-FA4D-842A-1F32F0052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0"/>
            </a:ext>
          </a:extLst>
        </a:blip>
        <a:stretch>
          <a:fillRect/>
        </a:stretch>
      </xdr:blipFill>
      <xdr:spPr>
        <a:xfrm>
          <a:off x="7023100" y="4724400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4</xdr:col>
      <xdr:colOff>647700</xdr:colOff>
      <xdr:row>14</xdr:row>
      <xdr:rowOff>355600</xdr:rowOff>
    </xdr:from>
    <xdr:to>
      <xdr:col>5</xdr:col>
      <xdr:colOff>254000</xdr:colOff>
      <xdr:row>15</xdr:row>
      <xdr:rowOff>254000</xdr:rowOff>
    </xdr:to>
    <xdr:pic>
      <xdr:nvPicPr>
        <xdr:cNvPr id="41" name="Graphic 40" descr="Badge 10 with solid fill">
          <a:extLst>
            <a:ext uri="{FF2B5EF4-FFF2-40B4-BE49-F238E27FC236}">
              <a16:creationId xmlns:a16="http://schemas.microsoft.com/office/drawing/2014/main" id="{C3FAB06D-41D4-B943-8680-656BAB5E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2"/>
            </a:ext>
          </a:extLst>
        </a:blip>
        <a:stretch>
          <a:fillRect/>
        </a:stretch>
      </xdr:blipFill>
      <xdr:spPr>
        <a:xfrm>
          <a:off x="4318000" y="5461000"/>
          <a:ext cx="279400" cy="2794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203200</xdr:colOff>
      <xdr:row>16</xdr:row>
      <xdr:rowOff>228600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718D50AF-8D37-8D44-A4B3-76B6766D89DC}"/>
            </a:ext>
          </a:extLst>
        </xdr:cNvPr>
        <xdr:cNvSpPr/>
      </xdr:nvSpPr>
      <xdr:spPr>
        <a:xfrm>
          <a:off x="2324100" y="5867400"/>
          <a:ext cx="203200" cy="22860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596900</xdr:colOff>
      <xdr:row>15</xdr:row>
      <xdr:rowOff>368300</xdr:rowOff>
    </xdr:from>
    <xdr:to>
      <xdr:col>2</xdr:col>
      <xdr:colOff>304800</xdr:colOff>
      <xdr:row>16</xdr:row>
      <xdr:rowOff>203200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7DA8F901-5860-714F-88DD-60FA6E0B943A}"/>
            </a:ext>
          </a:extLst>
        </xdr:cNvPr>
        <xdr:cNvSpPr txBox="1"/>
      </xdr:nvSpPr>
      <xdr:spPr>
        <a:xfrm>
          <a:off x="2247900" y="5854700"/>
          <a:ext cx="3810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11</a:t>
          </a:r>
        </a:p>
      </xdr:txBody>
    </xdr:sp>
    <xdr:clientData/>
  </xdr:twoCellAnchor>
  <xdr:oneCellAnchor>
    <xdr:from>
      <xdr:col>5</xdr:col>
      <xdr:colOff>622300</xdr:colOff>
      <xdr:row>5</xdr:row>
      <xdr:rowOff>368300</xdr:rowOff>
    </xdr:from>
    <xdr:ext cx="292100" cy="292100"/>
    <xdr:pic>
      <xdr:nvPicPr>
        <xdr:cNvPr id="45" name="Graphic 44" descr="Badge outline">
          <a:extLst>
            <a:ext uri="{FF2B5EF4-FFF2-40B4-BE49-F238E27FC236}">
              <a16:creationId xmlns:a16="http://schemas.microsoft.com/office/drawing/2014/main" id="{719E5334-4D4D-CD4F-837D-841364574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28700" y="2044700"/>
          <a:ext cx="292100" cy="292100"/>
        </a:xfrm>
        <a:prstGeom prst="rect">
          <a:avLst/>
        </a:prstGeom>
      </xdr:spPr>
    </xdr:pic>
    <xdr:clientData/>
  </xdr:oneCellAnchor>
  <xdr:oneCellAnchor>
    <xdr:from>
      <xdr:col>6</xdr:col>
      <xdr:colOff>622300</xdr:colOff>
      <xdr:row>9</xdr:row>
      <xdr:rowOff>368300</xdr:rowOff>
    </xdr:from>
    <xdr:ext cx="292100" cy="292100"/>
    <xdr:pic>
      <xdr:nvPicPr>
        <xdr:cNvPr id="66" name="Graphic 65" descr="Badge outline">
          <a:extLst>
            <a:ext uri="{FF2B5EF4-FFF2-40B4-BE49-F238E27FC236}">
              <a16:creationId xmlns:a16="http://schemas.microsoft.com/office/drawing/2014/main" id="{7CE53B0A-EF97-D14D-82BD-E1E48F91B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01800" y="3568700"/>
          <a:ext cx="292100" cy="292100"/>
        </a:xfrm>
        <a:prstGeom prst="rect">
          <a:avLst/>
        </a:prstGeom>
      </xdr:spPr>
    </xdr:pic>
    <xdr:clientData/>
  </xdr:oneCellAnchor>
  <xdr:twoCellAnchor editAs="oneCell">
    <xdr:from>
      <xdr:col>10</xdr:col>
      <xdr:colOff>647700</xdr:colOff>
      <xdr:row>11</xdr:row>
      <xdr:rowOff>355600</xdr:rowOff>
    </xdr:from>
    <xdr:to>
      <xdr:col>11</xdr:col>
      <xdr:colOff>292100</xdr:colOff>
      <xdr:row>12</xdr:row>
      <xdr:rowOff>292100</xdr:rowOff>
    </xdr:to>
    <xdr:pic>
      <xdr:nvPicPr>
        <xdr:cNvPr id="79" name="Graphic 78" descr="Badge 4 outline">
          <a:extLst>
            <a:ext uri="{FF2B5EF4-FFF2-40B4-BE49-F238E27FC236}">
              <a16:creationId xmlns:a16="http://schemas.microsoft.com/office/drawing/2014/main" id="{4906BD1B-ABBF-9445-8BFD-88FC2A44F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4"/>
            </a:ext>
          </a:extLst>
        </a:blip>
        <a:stretch>
          <a:fillRect/>
        </a:stretch>
      </xdr:blipFill>
      <xdr:spPr>
        <a:xfrm>
          <a:off x="7112000" y="4318000"/>
          <a:ext cx="317500" cy="317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425138</xdr:colOff>
      <xdr:row>1</xdr:row>
      <xdr:rowOff>114301</xdr:rowOff>
    </xdr:from>
    <xdr:to>
      <xdr:col>11</xdr:col>
      <xdr:colOff>685800</xdr:colOff>
      <xdr:row>37</xdr:row>
      <xdr:rowOff>161659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EA17EE-81FE-6043-82DE-8971F8A5D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38" y="317501"/>
          <a:ext cx="9341162" cy="7362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74CFB-B7C7-8E45-B3AF-795CAFA36933}">
  <dimension ref="B2:S21"/>
  <sheetViews>
    <sheetView tabSelected="1" workbookViewId="0">
      <selection activeCell="Q16" sqref="Q16"/>
    </sheetView>
  </sheetViews>
  <sheetFormatPr baseColWidth="10" defaultRowHeight="24" customHeight="1" x14ac:dyDescent="0.25"/>
  <cols>
    <col min="1" max="1" width="5.33203125" customWidth="1"/>
    <col min="2" max="14" width="8.83203125" customWidth="1"/>
    <col min="15" max="15" width="5.6640625" customWidth="1"/>
    <col min="16" max="16" width="4.5" style="4" customWidth="1"/>
    <col min="17" max="17" width="82.83203125" style="4" bestFit="1" customWidth="1"/>
    <col min="18" max="18" width="6.33203125" style="4" customWidth="1"/>
    <col min="19" max="19" width="92.83203125" style="4" bestFit="1" customWidth="1"/>
  </cols>
  <sheetData>
    <row r="2" spans="2:19" ht="24" customHeight="1" x14ac:dyDescent="0.25">
      <c r="B2" s="4" t="s">
        <v>131</v>
      </c>
    </row>
    <row r="3" spans="2:19" ht="24" customHeight="1" thickBot="1" x14ac:dyDescent="0.3">
      <c r="Q3" s="22" t="s">
        <v>110</v>
      </c>
      <c r="S3" s="22" t="s">
        <v>111</v>
      </c>
    </row>
    <row r="4" spans="2:19" ht="30" customHeight="1" thickBot="1" x14ac:dyDescent="0.3">
      <c r="B4" s="97"/>
      <c r="C4" s="88"/>
      <c r="D4" s="98"/>
      <c r="E4" s="88"/>
      <c r="F4" s="88"/>
      <c r="G4" s="88"/>
      <c r="H4" s="88"/>
      <c r="I4" s="88"/>
      <c r="J4" s="88"/>
      <c r="K4" s="88"/>
      <c r="L4" s="89"/>
      <c r="M4" s="90"/>
      <c r="N4" s="91"/>
      <c r="P4" s="4">
        <v>1</v>
      </c>
      <c r="Q4" s="4" t="s">
        <v>112</v>
      </c>
      <c r="R4" s="4">
        <v>1</v>
      </c>
      <c r="S4" s="4" t="s">
        <v>120</v>
      </c>
    </row>
    <row r="5" spans="2:19" ht="30" customHeight="1" thickTop="1" thickBot="1" x14ac:dyDescent="0.3">
      <c r="B5" s="92"/>
      <c r="C5" s="60"/>
      <c r="D5" s="63"/>
      <c r="E5" s="63"/>
      <c r="F5" s="63"/>
      <c r="G5" s="63"/>
      <c r="H5" s="63"/>
      <c r="I5" s="63"/>
      <c r="J5" s="64"/>
      <c r="K5" s="61"/>
      <c r="L5" s="68"/>
      <c r="M5" s="69"/>
      <c r="N5" s="93"/>
      <c r="P5" s="4">
        <v>2</v>
      </c>
      <c r="Q5" s="4" t="s">
        <v>113</v>
      </c>
      <c r="R5" s="4">
        <v>2</v>
      </c>
      <c r="S5" s="4" t="s">
        <v>121</v>
      </c>
    </row>
    <row r="6" spans="2:19" ht="30" customHeight="1" thickTop="1" thickBot="1" x14ac:dyDescent="0.3">
      <c r="B6" s="92"/>
      <c r="C6" s="60"/>
      <c r="D6" s="65"/>
      <c r="E6" s="65"/>
      <c r="F6" s="65"/>
      <c r="G6" s="65"/>
      <c r="H6" s="65"/>
      <c r="I6" s="65"/>
      <c r="J6" s="69"/>
      <c r="K6" s="61"/>
      <c r="L6" s="68"/>
      <c r="M6" s="69"/>
      <c r="N6" s="93"/>
      <c r="P6" s="4">
        <v>3</v>
      </c>
      <c r="Q6" s="4" t="s">
        <v>114</v>
      </c>
      <c r="R6" s="4">
        <v>3</v>
      </c>
      <c r="S6" s="4" t="s">
        <v>7</v>
      </c>
    </row>
    <row r="7" spans="2:19" ht="30" customHeight="1" thickTop="1" thickBot="1" x14ac:dyDescent="0.3">
      <c r="B7" s="92"/>
      <c r="C7" s="60"/>
      <c r="D7" s="82"/>
      <c r="E7" s="60"/>
      <c r="F7" s="60"/>
      <c r="G7" s="82"/>
      <c r="H7" s="93"/>
      <c r="I7" s="60"/>
      <c r="J7" s="73"/>
      <c r="K7" s="62"/>
      <c r="L7" s="70"/>
      <c r="M7" s="75"/>
      <c r="N7" s="93"/>
      <c r="P7" s="4">
        <v>4</v>
      </c>
      <c r="Q7" s="4" t="s">
        <v>115</v>
      </c>
      <c r="R7" s="4">
        <v>4</v>
      </c>
      <c r="S7" s="4" t="s">
        <v>122</v>
      </c>
    </row>
    <row r="8" spans="2:19" ht="30" customHeight="1" thickTop="1" thickBot="1" x14ac:dyDescent="0.3">
      <c r="B8" s="92"/>
      <c r="C8" s="60"/>
      <c r="D8" s="83"/>
      <c r="E8" s="83"/>
      <c r="F8" s="67"/>
      <c r="G8" s="60"/>
      <c r="H8" s="66"/>
      <c r="I8" s="83"/>
      <c r="J8" s="78"/>
      <c r="K8" s="83"/>
      <c r="L8" s="60"/>
      <c r="M8" s="73"/>
      <c r="N8" s="93"/>
      <c r="P8" s="4">
        <v>5</v>
      </c>
      <c r="Q8" s="4" t="s">
        <v>116</v>
      </c>
      <c r="R8" s="4">
        <v>5</v>
      </c>
      <c r="S8" s="4" t="s">
        <v>123</v>
      </c>
    </row>
    <row r="9" spans="2:19" ht="30" customHeight="1" thickTop="1" thickBot="1" x14ac:dyDescent="0.3">
      <c r="B9" s="92"/>
      <c r="C9" s="60"/>
      <c r="D9" s="78"/>
      <c r="E9" s="78"/>
      <c r="F9" s="75"/>
      <c r="G9" s="60"/>
      <c r="H9" s="84"/>
      <c r="I9" s="78"/>
      <c r="J9" s="78"/>
      <c r="K9" s="78"/>
      <c r="L9" s="60"/>
      <c r="M9" s="73"/>
      <c r="N9" s="93"/>
      <c r="P9" s="4">
        <v>6</v>
      </c>
      <c r="Q9" s="4" t="s">
        <v>117</v>
      </c>
      <c r="R9" s="4">
        <v>6</v>
      </c>
      <c r="S9" s="4" t="s">
        <v>124</v>
      </c>
    </row>
    <row r="10" spans="2:19" ht="30" customHeight="1" thickTop="1" thickBot="1" x14ac:dyDescent="0.3">
      <c r="B10" s="92"/>
      <c r="C10" s="60"/>
      <c r="D10" s="80"/>
      <c r="E10" s="80"/>
      <c r="F10" s="71"/>
      <c r="G10" s="82"/>
      <c r="H10" s="84"/>
      <c r="I10" s="78"/>
      <c r="J10" s="78"/>
      <c r="K10" s="78"/>
      <c r="L10" s="60"/>
      <c r="M10" s="74"/>
      <c r="N10" s="93"/>
      <c r="P10" s="4">
        <v>7</v>
      </c>
      <c r="Q10" s="4" t="s">
        <v>118</v>
      </c>
      <c r="R10" s="4">
        <v>7</v>
      </c>
      <c r="S10" s="4" t="s">
        <v>125</v>
      </c>
    </row>
    <row r="11" spans="2:19" ht="30" customHeight="1" thickTop="1" thickBot="1" x14ac:dyDescent="0.3">
      <c r="B11" s="92"/>
      <c r="C11" s="60"/>
      <c r="D11" s="82"/>
      <c r="E11" s="61"/>
      <c r="F11" s="82"/>
      <c r="G11" s="101"/>
      <c r="H11" s="60"/>
      <c r="I11" s="82"/>
      <c r="J11" s="88"/>
      <c r="K11" s="81"/>
      <c r="L11" s="60"/>
      <c r="M11" s="82"/>
      <c r="N11" s="93"/>
      <c r="P11" s="4">
        <v>8</v>
      </c>
      <c r="Q11" s="4" t="s">
        <v>119</v>
      </c>
      <c r="R11" s="4">
        <v>8</v>
      </c>
      <c r="S11" s="4" t="s">
        <v>126</v>
      </c>
    </row>
    <row r="12" spans="2:19" ht="30" customHeight="1" thickTop="1" thickBot="1" x14ac:dyDescent="0.3">
      <c r="B12" s="92"/>
      <c r="C12" s="60"/>
      <c r="D12" s="83"/>
      <c r="E12" s="83"/>
      <c r="F12" s="83"/>
      <c r="G12" s="83"/>
      <c r="H12" s="60"/>
      <c r="I12" s="66"/>
      <c r="J12" s="83"/>
      <c r="K12" s="83"/>
      <c r="L12" s="60"/>
      <c r="M12" s="78"/>
      <c r="N12" s="94"/>
      <c r="Q12" s="4" t="s">
        <v>130</v>
      </c>
      <c r="R12" s="4">
        <v>9</v>
      </c>
      <c r="S12" s="4" t="s">
        <v>127</v>
      </c>
    </row>
    <row r="13" spans="2:19" ht="30" customHeight="1" thickTop="1" thickBot="1" x14ac:dyDescent="0.3">
      <c r="B13" s="92"/>
      <c r="C13" s="60"/>
      <c r="D13" s="80"/>
      <c r="E13" s="80"/>
      <c r="F13" s="80"/>
      <c r="G13" s="80"/>
      <c r="H13" s="60"/>
      <c r="I13" s="84"/>
      <c r="J13" s="80"/>
      <c r="K13" s="78"/>
      <c r="L13" s="60"/>
      <c r="M13" s="60"/>
      <c r="N13" s="62"/>
      <c r="R13" s="4">
        <v>10</v>
      </c>
      <c r="S13" s="4" t="s">
        <v>128</v>
      </c>
    </row>
    <row r="14" spans="2:19" ht="30" customHeight="1" thickTop="1" thickBot="1" x14ac:dyDescent="0.3">
      <c r="B14" s="92"/>
      <c r="C14" s="75"/>
      <c r="D14" s="60"/>
      <c r="E14" s="82"/>
      <c r="F14" s="60"/>
      <c r="G14" s="101"/>
      <c r="H14" s="60"/>
      <c r="I14" s="73"/>
      <c r="J14" s="82"/>
      <c r="K14" s="84"/>
      <c r="L14" s="60"/>
      <c r="M14" s="72"/>
      <c r="N14" s="62"/>
      <c r="R14" s="4">
        <v>11</v>
      </c>
      <c r="S14" s="4" t="s">
        <v>129</v>
      </c>
    </row>
    <row r="15" spans="2:19" ht="30" customHeight="1" thickTop="1" thickBot="1" x14ac:dyDescent="0.3">
      <c r="B15" s="92"/>
      <c r="C15" s="75"/>
      <c r="D15" s="82"/>
      <c r="E15" s="76"/>
      <c r="F15" s="77"/>
      <c r="G15" s="77"/>
      <c r="H15" s="60"/>
      <c r="I15" s="74"/>
      <c r="J15" s="82"/>
      <c r="K15" s="70"/>
      <c r="L15" s="60"/>
      <c r="M15" s="73"/>
      <c r="N15" s="60"/>
    </row>
    <row r="16" spans="2:19" ht="30" customHeight="1" thickTop="1" thickBot="1" x14ac:dyDescent="0.3">
      <c r="B16" s="92"/>
      <c r="C16" s="75"/>
      <c r="D16" s="60"/>
      <c r="E16" s="60"/>
      <c r="F16" s="60"/>
      <c r="G16" s="81"/>
      <c r="H16" s="60"/>
      <c r="I16" s="60"/>
      <c r="J16" s="60"/>
      <c r="K16" s="81"/>
      <c r="L16" s="60"/>
      <c r="M16" s="73"/>
      <c r="N16" s="60"/>
    </row>
    <row r="17" spans="2:14" ht="30" customHeight="1" thickTop="1" thickBot="1" x14ac:dyDescent="0.3">
      <c r="B17" s="92"/>
      <c r="C17" s="99"/>
      <c r="D17" s="83"/>
      <c r="E17" s="79"/>
      <c r="F17" s="86"/>
      <c r="G17" s="78"/>
      <c r="H17" s="60"/>
      <c r="I17" s="72"/>
      <c r="J17" s="82"/>
      <c r="K17" s="66"/>
      <c r="L17" s="83"/>
      <c r="M17" s="75"/>
      <c r="N17" s="60"/>
    </row>
    <row r="18" spans="2:14" ht="30" customHeight="1" thickTop="1" thickBot="1" x14ac:dyDescent="0.3">
      <c r="B18" s="92"/>
      <c r="C18" s="100"/>
      <c r="D18" s="75"/>
      <c r="E18" s="82"/>
      <c r="F18" s="82"/>
      <c r="G18" s="60"/>
      <c r="H18" s="84"/>
      <c r="I18" s="75"/>
      <c r="J18" s="88"/>
      <c r="K18" s="84"/>
      <c r="L18" s="78"/>
      <c r="M18" s="75"/>
      <c r="N18" s="60"/>
    </row>
    <row r="19" spans="2:14" ht="30" customHeight="1" thickTop="1" thickBot="1" x14ac:dyDescent="0.3">
      <c r="B19" s="92"/>
      <c r="C19" s="87"/>
      <c r="D19" s="78"/>
      <c r="E19" s="83"/>
      <c r="F19" s="83"/>
      <c r="G19" s="83"/>
      <c r="H19" s="78"/>
      <c r="I19" s="78"/>
      <c r="J19" s="83"/>
      <c r="K19" s="78"/>
      <c r="L19" s="78"/>
      <c r="M19" s="75"/>
      <c r="N19" s="60"/>
    </row>
    <row r="20" spans="2:14" ht="30" customHeight="1" thickTop="1" thickBot="1" x14ac:dyDescent="0.3">
      <c r="B20" s="92"/>
      <c r="C20" s="78"/>
      <c r="D20" s="60"/>
      <c r="E20" s="60"/>
      <c r="F20" s="62"/>
      <c r="G20" s="62"/>
      <c r="H20" s="60"/>
      <c r="I20" s="62"/>
      <c r="J20" s="60"/>
      <c r="K20" s="60"/>
      <c r="L20" s="60"/>
      <c r="M20" s="62"/>
      <c r="N20" s="60"/>
    </row>
    <row r="21" spans="2:14" ht="30" customHeight="1" thickTop="1" thickBot="1" x14ac:dyDescent="0.3"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85"/>
      <c r="N21" s="60"/>
    </row>
  </sheetData>
  <conditionalFormatting sqref="B4">
    <cfRule type="containsText" priority="122" operator="containsText" text="S">
      <formula>NOT(ISERROR(SEARCH("S",B4)))</formula>
    </cfRule>
    <cfRule type="containsText" dxfId="203" priority="124" operator="containsText" text="S">
      <formula>NOT(ISERROR(SEARCH("S",B4)))</formula>
    </cfRule>
    <cfRule type="containsText" dxfId="202" priority="126" operator="containsText" text="S">
      <formula>NOT(ISERROR(SEARCH("S",B4)))</formula>
    </cfRule>
  </conditionalFormatting>
  <conditionalFormatting sqref="D2">
    <cfRule type="containsText" dxfId="201" priority="125" operator="containsText" text="S">
      <formula>NOT(ISERROR(SEARCH("S",D2)))</formula>
    </cfRule>
  </conditionalFormatting>
  <conditionalFormatting sqref="C4">
    <cfRule type="containsText" dxfId="200" priority="121" operator="containsText" text="I">
      <formula>NOT(ISERROR(SEARCH("I",C4)))</formula>
    </cfRule>
  </conditionalFormatting>
  <conditionalFormatting sqref="D4">
    <cfRule type="containsText" dxfId="199" priority="120" operator="containsText" text="N">
      <formula>NOT(ISERROR(SEARCH("N",D4)))</formula>
    </cfRule>
  </conditionalFormatting>
  <conditionalFormatting sqref="E4">
    <cfRule type="containsText" dxfId="198" priority="119" operator="containsText" text="G">
      <formula>NOT(ISERROR(SEARCH("G",E4)))</formula>
    </cfRule>
  </conditionalFormatting>
  <conditionalFormatting sqref="F4">
    <cfRule type="containsText" dxfId="197" priority="118" operator="containsText" text="L">
      <formula>NOT(ISERROR(SEARCH("L",F4)))</formula>
    </cfRule>
  </conditionalFormatting>
  <conditionalFormatting sqref="G4">
    <cfRule type="containsText" dxfId="196" priority="117" operator="containsText" text="E">
      <formula>NOT(ISERROR(SEARCH("E",G4)))</formula>
    </cfRule>
  </conditionalFormatting>
  <conditionalFormatting sqref="H4">
    <cfRule type="containsText" dxfId="195" priority="116" operator="containsText" text="S">
      <formula>NOT(ISERROR(SEARCH("S",H4)))</formula>
    </cfRule>
  </conditionalFormatting>
  <conditionalFormatting sqref="I4">
    <cfRule type="containsText" dxfId="194" priority="115" operator="containsText" text="T">
      <formula>NOT(ISERROR(SEARCH("T",I4)))</formula>
    </cfRule>
  </conditionalFormatting>
  <conditionalFormatting sqref="J4">
    <cfRule type="containsText" dxfId="193" priority="114" operator="containsText" text="E">
      <formula>NOT(ISERROR(SEARCH("E",J4)))</formula>
    </cfRule>
  </conditionalFormatting>
  <conditionalFormatting sqref="K4">
    <cfRule type="containsText" dxfId="192" priority="113" operator="containsText" text="P">
      <formula>NOT(ISERROR(SEARCH("P",K4)))</formula>
    </cfRule>
  </conditionalFormatting>
  <conditionalFormatting sqref="K5">
    <cfRule type="containsText" dxfId="191" priority="112" operator="containsText" text="L">
      <formula>NOT(ISERROR(SEARCH("L",K5)))</formula>
    </cfRule>
  </conditionalFormatting>
  <conditionalFormatting sqref="K6">
    <cfRule type="containsText" dxfId="190" priority="111" operator="containsText" text="U">
      <formula>NOT(ISERROR(SEARCH("U",K6)))</formula>
    </cfRule>
  </conditionalFormatting>
  <conditionalFormatting sqref="K7">
    <cfRule type="containsText" dxfId="189" priority="110" operator="containsText" text="S">
      <formula>NOT(ISERROR(SEARCH("S",K7)))</formula>
    </cfRule>
  </conditionalFormatting>
  <conditionalFormatting sqref="N4">
    <cfRule type="containsText" dxfId="188" priority="109" operator="containsText" text="S">
      <formula>NOT(ISERROR(SEARCH("S",N4)))</formula>
    </cfRule>
  </conditionalFormatting>
  <conditionalFormatting sqref="N5">
    <cfRule type="containsText" dxfId="187" priority="108" operator="containsText" text="U">
      <formula>NOT(ISERROR(SEARCH("U",N5)))</formula>
    </cfRule>
  </conditionalFormatting>
  <conditionalFormatting sqref="N6">
    <cfRule type="containsText" dxfId="186" priority="107" operator="containsText" text="B">
      <formula>NOT(ISERROR(SEARCH("B",N6)))</formula>
    </cfRule>
  </conditionalFormatting>
  <conditionalFormatting sqref="N7">
    <cfRule type="containsText" dxfId="185" priority="106" operator="containsText" text="T">
      <formula>NOT(ISERROR(SEARCH("T",N7)))</formula>
    </cfRule>
  </conditionalFormatting>
  <conditionalFormatting sqref="N8">
    <cfRule type="containsText" dxfId="184" priority="105" operator="containsText" text="R">
      <formula>NOT(ISERROR(SEARCH("R",N8)))</formula>
    </cfRule>
  </conditionalFormatting>
  <conditionalFormatting sqref="N9">
    <cfRule type="containsText" dxfId="183" priority="104" operator="containsText" text="A">
      <formula>NOT(ISERROR(SEARCH("A",N9)))</formula>
    </cfRule>
  </conditionalFormatting>
  <conditionalFormatting sqref="N10">
    <cfRule type="containsText" dxfId="182" priority="103" operator="containsText" text="C">
      <formula>NOT(ISERROR(SEARCH("C",N10)))</formula>
    </cfRule>
  </conditionalFormatting>
  <conditionalFormatting sqref="N11">
    <cfRule type="containsText" dxfId="181" priority="102" operator="containsText" text="T">
      <formula>NOT(ISERROR(SEARCH("T",N11)))</formula>
    </cfRule>
  </conditionalFormatting>
  <conditionalFormatting sqref="C5">
    <cfRule type="containsText" dxfId="180" priority="101" operator="containsText" text="N">
      <formula>NOT(ISERROR(SEARCH("N",C5)))</formula>
    </cfRule>
  </conditionalFormatting>
  <conditionalFormatting sqref="C6">
    <cfRule type="containsText" dxfId="179" priority="99" operator="containsText" text="A">
      <formula>NOT(ISERROR(SEARCH("A",C6)))</formula>
    </cfRule>
    <cfRule type="containsText" dxfId="178" priority="100" operator="containsText" text="T">
      <formula>NOT(ISERROR(SEARCH("T",C6)))</formula>
    </cfRule>
  </conditionalFormatting>
  <conditionalFormatting sqref="C7">
    <cfRule type="containsText" dxfId="177" priority="98" operator="containsText" text="A">
      <formula>NOT(ISERROR(SEARCH("A",C7)))</formula>
    </cfRule>
  </conditionalFormatting>
  <conditionalFormatting sqref="C8">
    <cfRule type="containsText" dxfId="176" priority="97" operator="containsText" text="N">
      <formula>NOT(ISERROR(SEARCH("N",C8)))</formula>
    </cfRule>
  </conditionalFormatting>
  <conditionalFormatting sqref="C9">
    <cfRule type="containsText" dxfId="175" priority="96" operator="containsText" text="G">
      <formula>NOT(ISERROR(SEARCH("G",C9)))</formula>
    </cfRule>
  </conditionalFormatting>
  <conditionalFormatting sqref="C10">
    <cfRule type="containsText" dxfId="174" priority="95" operator="containsText" text="I">
      <formula>NOT(ISERROR(SEARCH("I",C10)))</formula>
    </cfRule>
  </conditionalFormatting>
  <conditionalFormatting sqref="C11">
    <cfRule type="containsText" dxfId="173" priority="93" operator="containsText" text="L">
      <formula>NOT(ISERROR(SEARCH("L",C11)))</formula>
    </cfRule>
    <cfRule type="containsText" dxfId="172" priority="94" operator="containsText" text="B">
      <formula>NOT(ISERROR(SEARCH("B",C11)))</formula>
    </cfRule>
  </conditionalFormatting>
  <conditionalFormatting sqref="C12">
    <cfRule type="containsText" dxfId="171" priority="92" operator="containsText" text="L">
      <formula>NOT(ISERROR(SEARCH("L",C12)))</formula>
    </cfRule>
  </conditionalFormatting>
  <conditionalFormatting sqref="C13">
    <cfRule type="containsText" dxfId="170" priority="91" operator="containsText" text="E">
      <formula>NOT(ISERROR(SEARCH("E",C13)))</formula>
    </cfRule>
  </conditionalFormatting>
  <conditionalFormatting sqref="D7">
    <cfRule type="containsText" dxfId="169" priority="90" operator="containsText" text="D">
      <formula>NOT(ISERROR(SEARCH("D",D7)))</formula>
    </cfRule>
  </conditionalFormatting>
  <conditionalFormatting sqref="E7">
    <cfRule type="containsText" dxfId="168" priority="89" operator="containsText" text="D">
      <formula>NOT(ISERROR(SEARCH("D",E7)))</formula>
    </cfRule>
  </conditionalFormatting>
  <conditionalFormatting sqref="F7">
    <cfRule type="containsText" dxfId="167" priority="88" operator="containsText" text="B">
      <formula>NOT(ISERROR(SEARCH("B",F7)))</formula>
    </cfRule>
  </conditionalFormatting>
  <conditionalFormatting sqref="G7">
    <cfRule type="containsText" dxfId="166" priority="87" operator="containsText" text="A">
      <formula>NOT(ISERROR(SEARCH("A",G7)))</formula>
    </cfRule>
  </conditionalFormatting>
  <conditionalFormatting sqref="D11">
    <cfRule type="containsText" dxfId="165" priority="86" operator="containsText" text="A">
      <formula>NOT(ISERROR(SEARCH("A",D11)))</formula>
    </cfRule>
  </conditionalFormatting>
  <conditionalFormatting sqref="F11">
    <cfRule type="containsText" dxfId="164" priority="85" operator="containsText" text="A">
      <formula>NOT(ISERROR(SEARCH("A",F11)))</formula>
    </cfRule>
  </conditionalFormatting>
  <conditionalFormatting sqref="G16">
    <cfRule type="containsText" dxfId="163" priority="84" operator="containsText" text="A">
      <formula>NOT(ISERROR(SEARCH("A",G16)))</formula>
    </cfRule>
  </conditionalFormatting>
  <conditionalFormatting sqref="J15">
    <cfRule type="containsText" dxfId="162" priority="83" operator="containsText" text="A">
      <formula>NOT(ISERROR(SEARCH("A",J15)))</formula>
    </cfRule>
  </conditionalFormatting>
  <conditionalFormatting sqref="J20">
    <cfRule type="containsText" dxfId="161" priority="82" operator="containsText" text="A">
      <formula>NOT(ISERROR(SEARCH("A",J20)))</formula>
    </cfRule>
  </conditionalFormatting>
  <conditionalFormatting sqref="N17">
    <cfRule type="containsText" dxfId="160" priority="81" operator="containsText" text="A">
      <formula>NOT(ISERROR(SEARCH("A",N17)))</formula>
    </cfRule>
  </conditionalFormatting>
  <conditionalFormatting sqref="G8">
    <cfRule type="containsText" dxfId="159" priority="80" operator="containsText" text="D">
      <formula>NOT(ISERROR(SEARCH("D",G8)))</formula>
    </cfRule>
  </conditionalFormatting>
  <conditionalFormatting sqref="G9">
    <cfRule type="containsText" dxfId="158" priority="79" operator="containsText" text="D">
      <formula>NOT(ISERROR(SEARCH("D",G9)))</formula>
    </cfRule>
  </conditionalFormatting>
  <conditionalFormatting sqref="N18">
    <cfRule type="containsText" dxfId="157" priority="77" operator="containsText" text="A">
      <formula>NOT(ISERROR(SEARCH("A",N18)))</formula>
    </cfRule>
    <cfRule type="containsText" dxfId="156" priority="78" operator="containsText" text="T">
      <formula>NOT(ISERROR(SEARCH("T",N18)))</formula>
    </cfRule>
  </conditionalFormatting>
  <conditionalFormatting sqref="K20">
    <cfRule type="containsText" dxfId="155" priority="75" operator="containsText" text="A">
      <formula>NOT(ISERROR(SEARCH("A",K20)))</formula>
    </cfRule>
    <cfRule type="containsText" dxfId="154" priority="76" operator="containsText" text="T">
      <formula>NOT(ISERROR(SEARCH("T",K20)))</formula>
    </cfRule>
  </conditionalFormatting>
  <conditionalFormatting sqref="E14">
    <cfRule type="containsText" dxfId="153" priority="73" operator="containsText" text="A">
      <formula>NOT(ISERROR(SEARCH("A",E14)))</formula>
    </cfRule>
    <cfRule type="containsText" dxfId="152" priority="74" operator="containsText" text="T">
      <formula>NOT(ISERROR(SEARCH("T",E14)))</formula>
    </cfRule>
  </conditionalFormatting>
  <conditionalFormatting sqref="L13">
    <cfRule type="containsText" dxfId="151" priority="71" operator="containsText" text="A">
      <formula>NOT(ISERROR(SEARCH("A",L13)))</formula>
    </cfRule>
    <cfRule type="containsText" dxfId="150" priority="72" operator="containsText" text="T">
      <formula>NOT(ISERROR(SEARCH("T",L13)))</formula>
    </cfRule>
  </conditionalFormatting>
  <conditionalFormatting sqref="H17">
    <cfRule type="containsText" dxfId="149" priority="69" operator="containsText" text="A">
      <formula>NOT(ISERROR(SEARCH("A",H17)))</formula>
    </cfRule>
    <cfRule type="containsText" dxfId="148" priority="70" operator="containsText" text="T">
      <formula>NOT(ISERROR(SEARCH("T",H17)))</formula>
    </cfRule>
  </conditionalFormatting>
  <conditionalFormatting sqref="J11">
    <cfRule type="containsText" priority="66" operator="containsText" text="S">
      <formula>NOT(ISERROR(SEARCH("S",J11)))</formula>
    </cfRule>
    <cfRule type="containsText" dxfId="147" priority="67" operator="containsText" text="S">
      <formula>NOT(ISERROR(SEARCH("S",J11)))</formula>
    </cfRule>
    <cfRule type="containsText" dxfId="146" priority="68" operator="containsText" text="S">
      <formula>NOT(ISERROR(SEARCH("S",J11)))</formula>
    </cfRule>
  </conditionalFormatting>
  <conditionalFormatting sqref="L12">
    <cfRule type="containsText" priority="63" operator="containsText" text="S">
      <formula>NOT(ISERROR(SEARCH("S",L12)))</formula>
    </cfRule>
    <cfRule type="containsText" dxfId="145" priority="64" operator="containsText" text="S">
      <formula>NOT(ISERROR(SEARCH("S",L12)))</formula>
    </cfRule>
    <cfRule type="containsText" dxfId="144" priority="65" operator="containsText" text="S">
      <formula>NOT(ISERROR(SEARCH("S",L12)))</formula>
    </cfRule>
  </conditionalFormatting>
  <conditionalFormatting sqref="C17">
    <cfRule type="containsText" priority="60" operator="containsText" text="S">
      <formula>NOT(ISERROR(SEARCH("S",C17)))</formula>
    </cfRule>
    <cfRule type="containsText" dxfId="143" priority="61" operator="containsText" text="S">
      <formula>NOT(ISERROR(SEARCH("S",C17)))</formula>
    </cfRule>
    <cfRule type="containsText" dxfId="142" priority="62" operator="containsText" text="S">
      <formula>NOT(ISERROR(SEARCH("S",C17)))</formula>
    </cfRule>
  </conditionalFormatting>
  <conditionalFormatting sqref="J18">
    <cfRule type="containsText" priority="57" operator="containsText" text="S">
      <formula>NOT(ISERROR(SEARCH("S",J18)))</formula>
    </cfRule>
    <cfRule type="containsText" dxfId="141" priority="58" operator="containsText" text="S">
      <formula>NOT(ISERROR(SEARCH("S",J18)))</formula>
    </cfRule>
    <cfRule type="containsText" dxfId="140" priority="59" operator="containsText" text="S">
      <formula>NOT(ISERROR(SEARCH("S",J18)))</formula>
    </cfRule>
  </conditionalFormatting>
  <conditionalFormatting sqref="G10">
    <cfRule type="containsText" dxfId="139" priority="56" operator="containsText" text="I">
      <formula>NOT(ISERROR(SEARCH("I",G10)))</formula>
    </cfRule>
  </conditionalFormatting>
  <conditionalFormatting sqref="L8">
    <cfRule type="containsText" dxfId="138" priority="55" operator="containsText" text="I">
      <formula>NOT(ISERROR(SEARCH("I",L8)))</formula>
    </cfRule>
  </conditionalFormatting>
  <conditionalFormatting sqref="L14">
    <cfRule type="containsText" dxfId="137" priority="54" operator="containsText" text="I">
      <formula>NOT(ISERROR(SEARCH("I",L14)))</formula>
    </cfRule>
  </conditionalFormatting>
  <conditionalFormatting sqref="J16">
    <cfRule type="containsText" dxfId="136" priority="53" operator="containsText" text="I">
      <formula>NOT(ISERROR(SEARCH("I",J16)))</formula>
    </cfRule>
  </conditionalFormatting>
  <conditionalFormatting sqref="D20">
    <cfRule type="containsText" dxfId="135" priority="52" operator="containsText" text="I">
      <formula>NOT(ISERROR(SEARCH("I",D20)))</formula>
    </cfRule>
  </conditionalFormatting>
  <conditionalFormatting sqref="H7">
    <cfRule type="containsText" dxfId="134" priority="51" operator="containsText" text="C">
      <formula>NOT(ISERROR(SEARCH("C",H7)))</formula>
    </cfRule>
  </conditionalFormatting>
  <conditionalFormatting sqref="C18">
    <cfRule type="containsText" dxfId="133" priority="50" operator="containsText" text="C">
      <formula>NOT(ISERROR(SEARCH("C",C18)))</formula>
    </cfRule>
  </conditionalFormatting>
  <conditionalFormatting sqref="I16">
    <cfRule type="containsText" dxfId="132" priority="49" operator="containsText" text="C">
      <formula>NOT(ISERROR(SEARCH("C",I16)))</formula>
    </cfRule>
  </conditionalFormatting>
  <conditionalFormatting sqref="G14">
    <cfRule type="containsText" dxfId="131" priority="48" operator="containsText" text="E">
      <formula>NOT(ISERROR(SEARCH("E",G14)))</formula>
    </cfRule>
  </conditionalFormatting>
  <conditionalFormatting sqref="H15">
    <cfRule type="containsText" dxfId="130" priority="47" operator="containsText" text="E">
      <formula>NOT(ISERROR(SEARCH("E",H15)))</formula>
    </cfRule>
  </conditionalFormatting>
  <conditionalFormatting sqref="M11">
    <cfRule type="containsText" dxfId="129" priority="46" operator="containsText" text="E">
      <formula>NOT(ISERROR(SEARCH("E",M11)))</formula>
    </cfRule>
  </conditionalFormatting>
  <conditionalFormatting sqref="L11">
    <cfRule type="containsText" dxfId="128" priority="45" operator="containsText" text="E">
      <formula>NOT(ISERROR(SEARCH("E",L11)))</formula>
    </cfRule>
  </conditionalFormatting>
  <conditionalFormatting sqref="I11">
    <cfRule type="containsText" dxfId="127" priority="44" operator="containsText" text="E">
      <formula>NOT(ISERROR(SEARCH("E",I11)))</formula>
    </cfRule>
  </conditionalFormatting>
  <conditionalFormatting sqref="E18">
    <cfRule type="containsText" dxfId="126" priority="43" operator="containsText" text="E">
      <formula>NOT(ISERROR(SEARCH("E",E18)))</formula>
    </cfRule>
  </conditionalFormatting>
  <conditionalFormatting sqref="I7">
    <cfRule type="containsText" dxfId="125" priority="42" operator="containsText" text="K">
      <formula>NOT(ISERROR(SEARCH("K",I7)))</formula>
    </cfRule>
  </conditionalFormatting>
  <conditionalFormatting sqref="D14">
    <cfRule type="containsText" dxfId="124" priority="40" operator="containsText" text="O">
      <formula>NOT(ISERROR(SEARCH("O",D14)))</formula>
    </cfRule>
    <cfRule type="containsText" dxfId="123" priority="41" operator="containsText" text="0">
      <formula>NOT(ISERROR(SEARCH("0",D14)))</formula>
    </cfRule>
  </conditionalFormatting>
  <conditionalFormatting sqref="D15">
    <cfRule type="containsText" dxfId="122" priority="39" operator="containsText" text="I">
      <formula>NOT(ISERROR(SEARCH("I",D15)))</formula>
    </cfRule>
  </conditionalFormatting>
  <conditionalFormatting sqref="E16">
    <cfRule type="containsText" dxfId="121" priority="38" operator="containsText" text="I">
      <formula>NOT(ISERROR(SEARCH("I",E16)))</formula>
    </cfRule>
  </conditionalFormatting>
  <conditionalFormatting sqref="L20">
    <cfRule type="containsText" dxfId="120" priority="37" operator="containsText" text="I">
      <formula>NOT(ISERROR(SEARCH("I",L20)))</formula>
    </cfRule>
  </conditionalFormatting>
  <conditionalFormatting sqref="N19">
    <cfRule type="containsText" dxfId="119" priority="36" operator="containsText" text="I">
      <formula>NOT(ISERROR(SEARCH("I",N19)))</formula>
    </cfRule>
  </conditionalFormatting>
  <conditionalFormatting sqref="E11">
    <cfRule type="containsText" dxfId="118" priority="35" operator="containsText" text="L">
      <formula>NOT(ISERROR(SEARCH("L",E11)))</formula>
    </cfRule>
  </conditionalFormatting>
  <conditionalFormatting sqref="L15">
    <cfRule type="containsText" dxfId="117" priority="34" operator="containsText" text="N">
      <formula>NOT(ISERROR(SEARCH("N",L15)))</formula>
    </cfRule>
  </conditionalFormatting>
  <conditionalFormatting sqref="K16">
    <cfRule type="containsText" dxfId="116" priority="33" operator="containsText" text="N">
      <formula>NOT(ISERROR(SEARCH("N",K16)))</formula>
    </cfRule>
  </conditionalFormatting>
  <conditionalFormatting sqref="J17">
    <cfRule type="containsText" dxfId="115" priority="32" operator="containsText" text="N">
      <formula>NOT(ISERROR(SEARCH("N",J17)))</formula>
    </cfRule>
  </conditionalFormatting>
  <conditionalFormatting sqref="N20">
    <cfRule type="containsText" dxfId="114" priority="31" operator="containsText" text="N">
      <formula>NOT(ISERROR(SEARCH("N",N20)))</formula>
    </cfRule>
  </conditionalFormatting>
  <conditionalFormatting sqref="E20">
    <cfRule type="containsText" dxfId="113" priority="30" operator="containsText" text="N">
      <formula>NOT(ISERROR(SEARCH("N",E20)))</formula>
    </cfRule>
  </conditionalFormatting>
  <conditionalFormatting sqref="F16">
    <cfRule type="containsText" dxfId="112" priority="29" operator="containsText" text="N">
      <formula>NOT(ISERROR(SEARCH("N",F16)))</formula>
    </cfRule>
  </conditionalFormatting>
  <conditionalFormatting sqref="F18">
    <cfRule type="containsText" dxfId="111" priority="28" operator="containsText" text="N">
      <formula>NOT(ISERROR(SEARCH("N",F18)))</formula>
    </cfRule>
  </conditionalFormatting>
  <conditionalFormatting sqref="G18">
    <cfRule type="containsText" dxfId="110" priority="27" operator="containsText" text="D">
      <formula>NOT(ISERROR(SEARCH("D",G18)))</formula>
    </cfRule>
  </conditionalFormatting>
  <conditionalFormatting sqref="H16">
    <cfRule type="containsText" dxfId="109" priority="26" operator="containsText" text="N">
      <formula>NOT(ISERROR(SEARCH("N",H16)))</formula>
    </cfRule>
  </conditionalFormatting>
  <conditionalFormatting sqref="N15">
    <cfRule type="containsText" dxfId="108" priority="25" operator="containsText" text="E">
      <formula>NOT(ISERROR(SEARCH("E",N15)))</formula>
    </cfRule>
  </conditionalFormatting>
  <conditionalFormatting sqref="H14">
    <cfRule type="containsText" dxfId="107" priority="24" operator="containsText" text="R">
      <formula>NOT(ISERROR(SEARCH("R",H14)))</formula>
    </cfRule>
  </conditionalFormatting>
  <conditionalFormatting sqref="H13">
    <cfRule type="containsText" dxfId="106" priority="23" operator="containsText" text="R">
      <formula>NOT(ISERROR(SEARCH("R",H13)))</formula>
    </cfRule>
  </conditionalFormatting>
  <conditionalFormatting sqref="H20">
    <cfRule type="containsText" dxfId="105" priority="22" operator="containsText" text="R">
      <formula>NOT(ISERROR(SEARCH("R",H20)))</formula>
    </cfRule>
  </conditionalFormatting>
  <conditionalFormatting sqref="N16">
    <cfRule type="containsText" dxfId="104" priority="21" operator="containsText" text="R">
      <formula>NOT(ISERROR(SEARCH("R",N16)))</formula>
    </cfRule>
  </conditionalFormatting>
  <conditionalFormatting sqref="L9">
    <cfRule type="containsText" dxfId="103" priority="20" operator="containsText" text="N">
      <formula>NOT(ISERROR(SEARCH("N",L9)))</formula>
    </cfRule>
  </conditionalFormatting>
  <conditionalFormatting sqref="G11">
    <cfRule type="containsText" dxfId="102" priority="19" operator="containsText" text="N">
      <formula>NOT(ISERROR(SEARCH("N",G11)))</formula>
    </cfRule>
  </conditionalFormatting>
  <conditionalFormatting sqref="L10">
    <cfRule type="containsText" dxfId="101" priority="18" operator="containsText" text="V">
      <formula>NOT(ISERROR(SEARCH("V",L10)))</formula>
    </cfRule>
  </conditionalFormatting>
  <conditionalFormatting sqref="D16">
    <cfRule type="containsText" dxfId="100" priority="17" operator="containsText" text="F">
      <formula>NOT(ISERROR(SEARCH("F",D16)))</formula>
    </cfRule>
  </conditionalFormatting>
  <conditionalFormatting sqref="C19">
    <cfRule type="containsText" dxfId="99" priority="16" operator="containsText" text="F">
      <formula>NOT(ISERROR(SEARCH("F",C19)))</formula>
    </cfRule>
  </conditionalFormatting>
  <conditionalFormatting sqref="F14">
    <cfRule type="containsText" dxfId="98" priority="15" operator="containsText" text="H">
      <formula>NOT(ISERROR(SEARCH("H",F14)))</formula>
    </cfRule>
  </conditionalFormatting>
  <conditionalFormatting sqref="K11">
    <cfRule type="containsText" dxfId="97" priority="14" operator="containsText" text="H">
      <formula>NOT(ISERROR(SEARCH("H",K11)))</formula>
    </cfRule>
  </conditionalFormatting>
  <conditionalFormatting sqref="H11">
    <cfRule type="containsText" dxfId="96" priority="13" operator="containsText" text="C">
      <formula>NOT(ISERROR(SEARCH("C",H11)))</formula>
    </cfRule>
  </conditionalFormatting>
  <conditionalFormatting sqref="H12">
    <cfRule type="containsText" dxfId="95" priority="12" operator="containsText" text="U">
      <formula>NOT(ISERROR(SEARCH("U",H12)))</formula>
    </cfRule>
  </conditionalFormatting>
  <conditionalFormatting sqref="F17">
    <cfRule type="containsText" dxfId="94" priority="11" operator="containsText" text="O">
      <formula>NOT(ISERROR(SEARCH("O",F17)))</formula>
    </cfRule>
  </conditionalFormatting>
  <conditionalFormatting sqref="G20">
    <cfRule type="containsText" dxfId="93" priority="10" operator="containsText" text="O">
      <formula>NOT(ISERROR(SEARCH("O",G20)))</formula>
    </cfRule>
  </conditionalFormatting>
  <conditionalFormatting sqref="N13">
    <cfRule type="containsText" dxfId="92" priority="9" operator="containsText" text="O">
      <formula>NOT(ISERROR(SEARCH("O",N13)))</formula>
    </cfRule>
  </conditionalFormatting>
  <conditionalFormatting sqref="F20">
    <cfRule type="containsText" dxfId="91" priority="8" operator="containsText" text="F">
      <formula>NOT(ISERROR(SEARCH("F",F20)))</formula>
    </cfRule>
  </conditionalFormatting>
  <conditionalFormatting sqref="N21">
    <cfRule type="containsText" dxfId="90" priority="7" operator="containsText" text="G">
      <formula>NOT(ISERROR(SEARCH("G",N21)))</formula>
    </cfRule>
  </conditionalFormatting>
  <conditionalFormatting sqref="M20">
    <cfRule type="containsText" dxfId="89" priority="6" operator="containsText" text="O">
      <formula>NOT(ISERROR(SEARCH("O",M20)))</formula>
    </cfRule>
  </conditionalFormatting>
  <conditionalFormatting sqref="J14">
    <cfRule type="containsText" dxfId="88" priority="5" operator="containsText" text="G">
      <formula>NOT(ISERROR(SEARCH("G",J14)))</formula>
    </cfRule>
  </conditionalFormatting>
  <conditionalFormatting sqref="L16">
    <cfRule type="containsText" dxfId="87" priority="4" operator="containsText" text="G">
      <formula>NOT(ISERROR(SEARCH("G",L16)))</formula>
    </cfRule>
  </conditionalFormatting>
  <conditionalFormatting sqref="I20">
    <cfRule type="containsText" dxfId="86" priority="3" operator="containsText" text="M">
      <formula>NOT(ISERROR(SEARCH("M",I20)))</formula>
    </cfRule>
  </conditionalFormatting>
  <conditionalFormatting sqref="M13">
    <cfRule type="containsText" dxfId="85" priority="2" operator="containsText" text="W">
      <formula>NOT(ISERROR(SEARCH("W",M13)))</formula>
    </cfRule>
  </conditionalFormatting>
  <conditionalFormatting sqref="N14">
    <cfRule type="containsText" dxfId="84" priority="1" operator="containsText" text="P">
      <formula>NOT(ISERROR(SEARCH("P",N14)))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B042-F6E3-034B-A6BC-89CA0E76D9C8}">
  <dimension ref="B1:Q50"/>
  <sheetViews>
    <sheetView topLeftCell="B1" workbookViewId="0">
      <selection activeCell="I19" sqref="I19"/>
    </sheetView>
  </sheetViews>
  <sheetFormatPr baseColWidth="10" defaultRowHeight="21" x14ac:dyDescent="0.25"/>
  <cols>
    <col min="2" max="2" width="46" style="4" bestFit="1" customWidth="1"/>
    <col min="3" max="3" width="10.6640625" style="4" bestFit="1" customWidth="1"/>
    <col min="4" max="4" width="35.5" style="4" bestFit="1" customWidth="1"/>
    <col min="5" max="5" width="10.6640625" style="4" bestFit="1" customWidth="1"/>
    <col min="8" max="8" width="1.33203125" customWidth="1"/>
    <col min="9" max="9" width="63.6640625" customWidth="1"/>
    <col min="10" max="10" width="7" style="8" customWidth="1"/>
    <col min="11" max="11" width="6.1640625" style="8" hidden="1" customWidth="1"/>
    <col min="12" max="12" width="15.6640625" style="48" customWidth="1"/>
    <col min="13" max="13" width="8.6640625" style="49" customWidth="1"/>
    <col min="14" max="14" width="6" style="48" hidden="1" customWidth="1"/>
    <col min="15" max="15" width="15.1640625" style="48" customWidth="1"/>
    <col min="16" max="16" width="8.33203125" style="49" customWidth="1"/>
    <col min="17" max="17" width="6.1640625" hidden="1" customWidth="1"/>
  </cols>
  <sheetData>
    <row r="1" spans="2:17" x14ac:dyDescent="0.25">
      <c r="F1" s="4"/>
    </row>
    <row r="2" spans="2:17" x14ac:dyDescent="0.25">
      <c r="B2" s="21" t="s">
        <v>25</v>
      </c>
      <c r="C2" s="21"/>
      <c r="D2" s="21"/>
      <c r="E2" s="21"/>
      <c r="F2" s="4"/>
      <c r="I2" s="24" t="s">
        <v>9</v>
      </c>
      <c r="J2" s="24"/>
      <c r="K2" s="24"/>
      <c r="L2" s="24"/>
      <c r="M2" s="24"/>
      <c r="N2" s="24"/>
      <c r="O2" s="24"/>
      <c r="P2" s="24"/>
    </row>
    <row r="3" spans="2:17" x14ac:dyDescent="0.25">
      <c r="B3" s="21"/>
      <c r="C3" s="21"/>
      <c r="D3" s="21"/>
      <c r="E3" s="21"/>
      <c r="F3" s="4"/>
      <c r="I3" s="24" t="s">
        <v>8</v>
      </c>
      <c r="J3" s="24"/>
      <c r="K3" s="24"/>
      <c r="L3" s="24"/>
      <c r="M3" s="24"/>
      <c r="N3" s="24"/>
      <c r="O3" s="24"/>
      <c r="P3" s="24"/>
    </row>
    <row r="4" spans="2:17" x14ac:dyDescent="0.25">
      <c r="B4" s="20"/>
      <c r="C4" s="20"/>
      <c r="D4" s="20"/>
      <c r="E4" s="20"/>
      <c r="F4" s="4"/>
      <c r="I4" s="24" t="s">
        <v>10</v>
      </c>
      <c r="J4" s="24"/>
      <c r="K4" s="24"/>
      <c r="L4" s="24"/>
      <c r="M4" s="24"/>
      <c r="N4" s="24"/>
      <c r="O4" s="24"/>
      <c r="P4" s="24"/>
    </row>
    <row r="5" spans="2:17" x14ac:dyDescent="0.25">
      <c r="B5" s="5" t="s">
        <v>26</v>
      </c>
      <c r="F5" s="4"/>
    </row>
    <row r="6" spans="2:17" x14ac:dyDescent="0.25">
      <c r="B6" s="5"/>
      <c r="F6" s="4"/>
      <c r="I6" s="13" t="s">
        <v>11</v>
      </c>
      <c r="J6" s="18"/>
    </row>
    <row r="7" spans="2:17" ht="22" thickBot="1" x14ac:dyDescent="0.3">
      <c r="B7" s="6" t="s">
        <v>0</v>
      </c>
      <c r="C7" s="7">
        <v>22000</v>
      </c>
      <c r="D7" s="4" t="s">
        <v>1</v>
      </c>
      <c r="E7" s="7">
        <v>63000</v>
      </c>
      <c r="F7" s="4"/>
    </row>
    <row r="8" spans="2:17" ht="22" thickBot="1" x14ac:dyDescent="0.3">
      <c r="B8" s="5" t="s">
        <v>2</v>
      </c>
      <c r="C8" s="7">
        <v>1000</v>
      </c>
      <c r="D8" s="4" t="s">
        <v>5</v>
      </c>
      <c r="E8" s="7">
        <v>33000</v>
      </c>
      <c r="F8" s="4"/>
      <c r="I8" s="37"/>
      <c r="J8" s="8" t="str">
        <f>K8</f>
        <v>X</v>
      </c>
      <c r="K8" s="17" t="str">
        <f>+IF(I8="Net Income"," ","X")</f>
        <v>X</v>
      </c>
      <c r="O8" s="50"/>
      <c r="P8" s="51" t="str">
        <f>Q8</f>
        <v>X</v>
      </c>
      <c r="Q8" s="17" t="str">
        <f>+IF(O8=63000," ","X")</f>
        <v>X</v>
      </c>
    </row>
    <row r="9" spans="2:17" x14ac:dyDescent="0.25">
      <c r="B9" s="5" t="s">
        <v>3</v>
      </c>
      <c r="C9" s="7">
        <v>5400</v>
      </c>
      <c r="D9" s="4" t="s">
        <v>6</v>
      </c>
      <c r="E9" s="7">
        <v>17000</v>
      </c>
      <c r="F9" s="4"/>
    </row>
    <row r="10" spans="2:17" x14ac:dyDescent="0.25">
      <c r="B10" s="5" t="s">
        <v>4</v>
      </c>
      <c r="C10" s="7">
        <v>25000</v>
      </c>
      <c r="D10" s="4" t="s">
        <v>7</v>
      </c>
      <c r="E10" s="7">
        <v>28000</v>
      </c>
      <c r="F10" s="4"/>
      <c r="I10" s="13" t="s">
        <v>12</v>
      </c>
    </row>
    <row r="11" spans="2:17" ht="22" thickBot="1" x14ac:dyDescent="0.3">
      <c r="B11" s="5"/>
      <c r="F11" s="4"/>
    </row>
    <row r="12" spans="2:17" ht="22" customHeight="1" thickBot="1" x14ac:dyDescent="0.3">
      <c r="B12" s="19" t="s">
        <v>14</v>
      </c>
      <c r="C12" s="19"/>
      <c r="D12" s="19"/>
      <c r="E12" s="19"/>
      <c r="I12" s="37"/>
      <c r="J12" s="8" t="str">
        <f>K12</f>
        <v>X</v>
      </c>
      <c r="K12" s="17" t="str">
        <f>+IF(I12="Depreciation Expense"," ","X")</f>
        <v>X</v>
      </c>
      <c r="L12" s="50"/>
      <c r="M12" s="51" t="str">
        <f>N12</f>
        <v>X</v>
      </c>
      <c r="N12" s="49" t="str">
        <f>+IF(L12=1000," ","X")</f>
        <v>X</v>
      </c>
    </row>
    <row r="13" spans="2:17" ht="19" x14ac:dyDescent="0.25">
      <c r="B13" s="19"/>
      <c r="C13" s="19"/>
      <c r="D13" s="19"/>
      <c r="E13" s="19"/>
    </row>
    <row r="14" spans="2:17" x14ac:dyDescent="0.25">
      <c r="I14" s="13" t="s">
        <v>13</v>
      </c>
      <c r="J14" s="18"/>
    </row>
    <row r="15" spans="2:17" ht="22" thickBot="1" x14ac:dyDescent="0.3">
      <c r="I15" s="4"/>
    </row>
    <row r="16" spans="2:17" ht="22" customHeight="1" thickBot="1" x14ac:dyDescent="0.3">
      <c r="I16" s="37"/>
      <c r="J16" s="8" t="str">
        <f>K16</f>
        <v>X</v>
      </c>
      <c r="K16" s="17" t="str">
        <f>+IF(I16="Increase in Current Assets"," ","X")</f>
        <v>X</v>
      </c>
      <c r="L16" s="50"/>
      <c r="M16" s="51" t="str">
        <f>N16</f>
        <v>X</v>
      </c>
      <c r="N16" s="49" t="str">
        <f>+IF(L16=-28000," ","X")</f>
        <v>X</v>
      </c>
    </row>
    <row r="17" spans="9:17" ht="16" customHeight="1" thickBot="1" x14ac:dyDescent="0.3">
      <c r="I17" s="4"/>
    </row>
    <row r="18" spans="9:17" ht="22" customHeight="1" thickBot="1" x14ac:dyDescent="0.3">
      <c r="I18" s="37"/>
      <c r="J18" s="8" t="str">
        <f>K18</f>
        <v>X</v>
      </c>
      <c r="K18" s="17" t="str">
        <f>+IF(I18="Decrease in Current Liabilities"," ","X")</f>
        <v>X</v>
      </c>
      <c r="L18" s="50"/>
      <c r="M18" s="52" t="str">
        <f>N18</f>
        <v>X</v>
      </c>
      <c r="N18" s="51" t="str">
        <f>+IF(L18=-17000," ","X")</f>
        <v>X</v>
      </c>
      <c r="O18" s="53"/>
      <c r="P18" s="51"/>
      <c r="Q18" s="17"/>
    </row>
    <row r="19" spans="9:17" ht="19" customHeight="1" thickBot="1" x14ac:dyDescent="0.3"/>
    <row r="20" spans="9:17" ht="22" thickBot="1" x14ac:dyDescent="0.3">
      <c r="I20" s="38"/>
      <c r="J20" s="8" t="str">
        <f>K20</f>
        <v>X</v>
      </c>
      <c r="K20" s="17" t="str">
        <f>+IF(I20="Net Cash Provided by Operating Activities"," ","X")</f>
        <v>X</v>
      </c>
      <c r="O20" s="50"/>
      <c r="P20" s="51" t="str">
        <f>Q20</f>
        <v>X</v>
      </c>
      <c r="Q20" s="17" t="str">
        <f>+IF(O20=19000," ","X")</f>
        <v>X</v>
      </c>
    </row>
    <row r="23" spans="9:17" x14ac:dyDescent="0.25">
      <c r="I23" s="13" t="s">
        <v>15</v>
      </c>
      <c r="J23" s="18"/>
    </row>
    <row r="24" spans="9:17" ht="22" thickBot="1" x14ac:dyDescent="0.3"/>
    <row r="25" spans="9:17" ht="22" customHeight="1" thickBot="1" x14ac:dyDescent="0.3">
      <c r="I25" s="37"/>
      <c r="J25" s="8" t="str">
        <f>K25</f>
        <v>X</v>
      </c>
      <c r="K25" s="17" t="str">
        <f>+IF(I25="Cash receipt from sale of land"," ","X")</f>
        <v>X</v>
      </c>
      <c r="L25" s="50"/>
      <c r="M25" s="51" t="str">
        <f>N25</f>
        <v>X</v>
      </c>
      <c r="N25" s="49" t="str">
        <f>+IF(L25=22000," ","X")</f>
        <v>X</v>
      </c>
    </row>
    <row r="26" spans="9:17" ht="22" thickBot="1" x14ac:dyDescent="0.3">
      <c r="I26" s="4"/>
    </row>
    <row r="27" spans="9:17" ht="22" customHeight="1" thickBot="1" x14ac:dyDescent="0.3">
      <c r="I27" s="37"/>
      <c r="J27" s="8" t="str">
        <f>K27</f>
        <v>X</v>
      </c>
      <c r="K27" s="17" t="str">
        <f>+IF(I27="Cash purchase of equipment"," ","X")</f>
        <v>X</v>
      </c>
      <c r="L27" s="50"/>
      <c r="M27" s="52" t="str">
        <f>N27</f>
        <v>X</v>
      </c>
      <c r="N27" s="51" t="str">
        <f>+IF(L27=-33000," ","X")</f>
        <v>X</v>
      </c>
      <c r="O27" s="53"/>
      <c r="P27" s="51"/>
    </row>
    <row r="28" spans="9:17" ht="22" thickBot="1" x14ac:dyDescent="0.3"/>
    <row r="29" spans="9:17" ht="22" thickBot="1" x14ac:dyDescent="0.3">
      <c r="I29" s="38"/>
      <c r="J29" s="8" t="str">
        <f>K29</f>
        <v>X</v>
      </c>
      <c r="K29" s="17" t="str">
        <f>+IF(I29="Net Cash Used by Investing Activities"," ","X")</f>
        <v>X</v>
      </c>
      <c r="O29" s="50"/>
      <c r="P29" s="51" t="str">
        <f>Q29</f>
        <v>X</v>
      </c>
      <c r="Q29" s="17" t="str">
        <f>+IF(O29=-11000," ","X")</f>
        <v>X</v>
      </c>
    </row>
    <row r="32" spans="9:17" x14ac:dyDescent="0.25">
      <c r="I32" s="13" t="s">
        <v>16</v>
      </c>
      <c r="J32" s="18"/>
    </row>
    <row r="33" spans="9:17" ht="22" thickBot="1" x14ac:dyDescent="0.3"/>
    <row r="34" spans="9:17" ht="22" customHeight="1" thickBot="1" x14ac:dyDescent="0.3">
      <c r="I34" s="37"/>
      <c r="J34" s="8" t="str">
        <f>K34</f>
        <v>X</v>
      </c>
      <c r="K34" s="17" t="str">
        <f>+IF(I34="Cash receipt from issuing common stock"," ","X")</f>
        <v>X</v>
      </c>
      <c r="L34" s="50"/>
      <c r="M34" s="51" t="str">
        <f>N34</f>
        <v>X</v>
      </c>
      <c r="N34" s="49" t="str">
        <f>+IF(L34=25000," ","X")</f>
        <v>X</v>
      </c>
    </row>
    <row r="35" spans="9:17" ht="22" thickBot="1" x14ac:dyDescent="0.3">
      <c r="I35" s="4"/>
    </row>
    <row r="36" spans="9:17" ht="22" customHeight="1" thickBot="1" x14ac:dyDescent="0.3">
      <c r="I36" s="37"/>
      <c r="J36" s="8" t="str">
        <f>K36</f>
        <v>X</v>
      </c>
      <c r="K36" s="17" t="str">
        <f>+IF(I36="Cash payment of dividends"," ","X")</f>
        <v>X</v>
      </c>
      <c r="L36" s="50"/>
      <c r="M36" s="52" t="str">
        <f>N36</f>
        <v>X</v>
      </c>
      <c r="N36" s="51" t="str">
        <f>+IF(L36=-5400," ","X")</f>
        <v>X</v>
      </c>
      <c r="O36" s="53"/>
      <c r="P36" s="51"/>
    </row>
    <row r="37" spans="9:17" ht="22" thickBot="1" x14ac:dyDescent="0.3"/>
    <row r="38" spans="9:17" ht="22" thickBot="1" x14ac:dyDescent="0.3">
      <c r="I38" s="38"/>
      <c r="J38" s="8" t="str">
        <f>K38</f>
        <v>X</v>
      </c>
      <c r="K38" s="17" t="str">
        <f>+IF(I38="Net Cash Provided by Financing Activities"," ","X")</f>
        <v>X</v>
      </c>
      <c r="O38" s="50"/>
      <c r="P38" s="51" t="str">
        <f>Q38</f>
        <v>X</v>
      </c>
      <c r="Q38" s="17" t="str">
        <f>+IF(O38=19600," ","X")</f>
        <v>X</v>
      </c>
    </row>
    <row r="40" spans="9:17" ht="22" thickBot="1" x14ac:dyDescent="0.3"/>
    <row r="41" spans="9:17" ht="22" thickBot="1" x14ac:dyDescent="0.3">
      <c r="I41" s="13" t="s">
        <v>17</v>
      </c>
      <c r="J41" s="18"/>
      <c r="O41" s="50"/>
      <c r="P41" s="51" t="str">
        <f>Q41</f>
        <v>X</v>
      </c>
      <c r="Q41" s="17" t="str">
        <f>+IF(O41=27600," ","X")</f>
        <v>X</v>
      </c>
    </row>
    <row r="42" spans="9:17" ht="22" thickBot="1" x14ac:dyDescent="0.3"/>
    <row r="43" spans="9:17" ht="22" customHeight="1" thickBot="1" x14ac:dyDescent="0.3">
      <c r="I43" s="37"/>
      <c r="J43" s="8" t="str">
        <f>K43</f>
        <v>X</v>
      </c>
      <c r="K43" s="17" t="str">
        <f>+IF(I43="Cash at the beginning of the year"," ","X")</f>
        <v>X</v>
      </c>
      <c r="O43" s="50"/>
      <c r="P43" s="51" t="str">
        <f>Q43</f>
        <v>X</v>
      </c>
      <c r="Q43" s="17" t="str">
        <f>+IF(O43=23000," ","X")</f>
        <v>X</v>
      </c>
    </row>
    <row r="44" spans="9:17" ht="22" thickBot="1" x14ac:dyDescent="0.3"/>
    <row r="45" spans="9:17" ht="22" thickBot="1" x14ac:dyDescent="0.3">
      <c r="I45" s="13" t="s">
        <v>24</v>
      </c>
      <c r="J45" s="18"/>
      <c r="O45" s="50"/>
      <c r="P45" s="51" t="str">
        <f>Q45</f>
        <v>X</v>
      </c>
      <c r="Q45" s="17" t="str">
        <f>+IF(O45=50600," ","X")</f>
        <v>X</v>
      </c>
    </row>
    <row r="47" spans="9:17" x14ac:dyDescent="0.25">
      <c r="I47" s="13"/>
    </row>
    <row r="50" spans="10:10" x14ac:dyDescent="0.25">
      <c r="J50"/>
    </row>
  </sheetData>
  <mergeCells count="5">
    <mergeCell ref="B2:E3"/>
    <mergeCell ref="I2:P2"/>
    <mergeCell ref="I3:P3"/>
    <mergeCell ref="I4:P4"/>
    <mergeCell ref="B12:E13"/>
  </mergeCells>
  <conditionalFormatting sqref="Q8">
    <cfRule type="containsText" dxfId="83" priority="28" operator="containsText" text="x">
      <formula>NOT(ISERROR(SEARCH("x",Q8)))</formula>
    </cfRule>
  </conditionalFormatting>
  <conditionalFormatting sqref="Q18">
    <cfRule type="containsText" dxfId="82" priority="16" operator="containsText" text="x">
      <formula>NOT(ISERROR(SEARCH("x",Q18)))</formula>
    </cfRule>
  </conditionalFormatting>
  <conditionalFormatting sqref="Q20">
    <cfRule type="containsText" dxfId="81" priority="15" operator="containsText" text="x">
      <formula>NOT(ISERROR(SEARCH("x",Q20)))</formula>
    </cfRule>
  </conditionalFormatting>
  <conditionalFormatting sqref="Q29">
    <cfRule type="containsText" dxfId="80" priority="12" operator="containsText" text="x">
      <formula>NOT(ISERROR(SEARCH("x",Q29)))</formula>
    </cfRule>
  </conditionalFormatting>
  <conditionalFormatting sqref="Q38">
    <cfRule type="containsText" dxfId="79" priority="9" operator="containsText" text="x">
      <formula>NOT(ISERROR(SEARCH("x",Q38)))</formula>
    </cfRule>
  </conditionalFormatting>
  <conditionalFormatting sqref="Q41">
    <cfRule type="containsText" dxfId="78" priority="8" operator="containsText" text="x">
      <formula>NOT(ISERROR(SEARCH("x",Q41)))</formula>
    </cfRule>
  </conditionalFormatting>
  <conditionalFormatting sqref="Q43">
    <cfRule type="containsText" dxfId="77" priority="7" operator="containsText" text="x">
      <formula>NOT(ISERROR(SEARCH("x",Q43)))</formula>
    </cfRule>
  </conditionalFormatting>
  <conditionalFormatting sqref="Q45">
    <cfRule type="containsText" dxfId="76" priority="6" operator="containsText" text="x">
      <formula>NOT(ISERROR(SEARCH("x",Q45)))</formula>
    </cfRule>
  </conditionalFormatting>
  <conditionalFormatting sqref="J1 J5:J19 J21:J28 J30:J1048576">
    <cfRule type="containsText" dxfId="75" priority="5" operator="containsText" text="X">
      <formula>NOT(ISERROR(SEARCH("X",J1)))</formula>
    </cfRule>
  </conditionalFormatting>
  <conditionalFormatting sqref="M1 M5:M1048576">
    <cfRule type="containsText" dxfId="74" priority="4" operator="containsText" text="x">
      <formula>NOT(ISERROR(SEARCH("x",M1)))</formula>
    </cfRule>
  </conditionalFormatting>
  <conditionalFormatting sqref="P1 P5:P1048576">
    <cfRule type="containsText" dxfId="73" priority="3" operator="containsText" text="X">
      <formula>NOT(ISERROR(SEARCH("X",P1)))</formula>
    </cfRule>
  </conditionalFormatting>
  <conditionalFormatting sqref="J20">
    <cfRule type="containsText" dxfId="72" priority="2" operator="containsText" text="X">
      <formula>NOT(ISERROR(SEARCH("X",J20)))</formula>
    </cfRule>
  </conditionalFormatting>
  <conditionalFormatting sqref="J29">
    <cfRule type="containsText" dxfId="71" priority="1" operator="containsText" text="X">
      <formula>NOT(ISERROR(SEARCH("X",J29)))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A138CC-12E6-F448-B0FB-AF83E4C43C4A}">
          <x14:formula1>
            <xm:f>P!$B$2:$B$19</xm:f>
          </x14:formula1>
          <xm:sqref>I8 I12 I16 I18 I20 I25 I27 I29 I34 I36 I38 I43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1B95-39C1-DA4B-830E-75F65DDB5684}">
  <dimension ref="B1:Q73"/>
  <sheetViews>
    <sheetView topLeftCell="A32" zoomScale="86" zoomScaleNormal="85" workbookViewId="0">
      <selection activeCell="E52" sqref="E52"/>
    </sheetView>
  </sheetViews>
  <sheetFormatPr baseColWidth="10" defaultRowHeight="21" x14ac:dyDescent="0.25"/>
  <cols>
    <col min="2" max="2" width="76.33203125" customWidth="1"/>
    <col min="3" max="3" width="14.33203125" style="30" customWidth="1"/>
    <col min="4" max="4" width="15.6640625" style="30" customWidth="1"/>
    <col min="5" max="5" width="10.6640625" bestFit="1" customWidth="1"/>
    <col min="8" max="8" width="1.33203125" customWidth="1"/>
    <col min="9" max="9" width="63.6640625" customWidth="1"/>
    <col min="10" max="10" width="7" style="8" customWidth="1"/>
    <col min="11" max="11" width="6.1640625" style="8" hidden="1" customWidth="1"/>
    <col min="12" max="12" width="15.6640625" style="28" customWidth="1"/>
    <col min="13" max="13" width="8.6640625" style="41" customWidth="1"/>
    <col min="14" max="14" width="6" style="28" hidden="1" customWidth="1"/>
    <col min="15" max="15" width="15.1640625" style="28" customWidth="1"/>
    <col min="16" max="16" width="8.33203125" style="22" customWidth="1"/>
    <col min="17" max="17" width="6.1640625" hidden="1" customWidth="1"/>
  </cols>
  <sheetData>
    <row r="1" spans="2:17" x14ac:dyDescent="0.25">
      <c r="B1" s="4"/>
      <c r="C1" s="28"/>
      <c r="D1" s="28"/>
      <c r="E1" s="4"/>
      <c r="F1" s="4"/>
    </row>
    <row r="2" spans="2:17" x14ac:dyDescent="0.25">
      <c r="B2" s="11" t="s">
        <v>27</v>
      </c>
      <c r="C2" s="11"/>
      <c r="D2" s="11"/>
      <c r="E2" s="11"/>
      <c r="F2" s="4"/>
      <c r="I2" s="27" t="str">
        <f>B5</f>
        <v>Nikki's Restaurant</v>
      </c>
      <c r="J2" s="27"/>
      <c r="K2" s="27"/>
      <c r="L2" s="27"/>
      <c r="M2" s="27"/>
      <c r="N2" s="27"/>
      <c r="O2" s="27"/>
      <c r="P2" s="27"/>
    </row>
    <row r="3" spans="2:17" x14ac:dyDescent="0.25">
      <c r="B3" s="11"/>
      <c r="C3" s="11"/>
      <c r="D3" s="11"/>
      <c r="E3" s="11"/>
      <c r="F3" s="4"/>
      <c r="I3" s="27" t="str">
        <f>B6</f>
        <v>Income Statement</v>
      </c>
      <c r="J3" s="27"/>
      <c r="K3" s="27"/>
      <c r="L3" s="27"/>
      <c r="M3" s="27"/>
      <c r="N3" s="27"/>
      <c r="O3" s="27"/>
      <c r="P3" s="27"/>
    </row>
    <row r="4" spans="2:17" x14ac:dyDescent="0.25">
      <c r="B4" s="14"/>
      <c r="C4" s="29"/>
      <c r="D4" s="29"/>
      <c r="E4" s="14"/>
      <c r="F4" s="4"/>
      <c r="I4" s="27" t="str">
        <f>B7</f>
        <v>For the Year Ending September 30, 20X2</v>
      </c>
      <c r="J4" s="27"/>
      <c r="K4" s="27"/>
      <c r="L4" s="27"/>
      <c r="M4" s="27"/>
      <c r="N4" s="27"/>
      <c r="O4" s="27"/>
      <c r="P4" s="27"/>
    </row>
    <row r="5" spans="2:17" x14ac:dyDescent="0.25">
      <c r="B5" s="25" t="s">
        <v>28</v>
      </c>
      <c r="C5" s="25"/>
      <c r="D5" s="25"/>
      <c r="E5" s="4"/>
      <c r="F5" s="4"/>
    </row>
    <row r="6" spans="2:17" x14ac:dyDescent="0.25">
      <c r="B6" s="25" t="s">
        <v>29</v>
      </c>
      <c r="C6" s="25"/>
      <c r="D6" s="25"/>
      <c r="E6" s="4"/>
      <c r="F6" s="4"/>
      <c r="I6" s="13" t="s">
        <v>11</v>
      </c>
      <c r="J6" s="18"/>
    </row>
    <row r="7" spans="2:17" ht="22" thickBot="1" x14ac:dyDescent="0.3">
      <c r="B7" s="26" t="s">
        <v>30</v>
      </c>
      <c r="C7" s="26"/>
      <c r="D7" s="26"/>
      <c r="E7" s="7"/>
      <c r="F7" s="4"/>
    </row>
    <row r="8" spans="2:17" ht="22" thickBot="1" x14ac:dyDescent="0.3">
      <c r="B8" s="5" t="s">
        <v>31</v>
      </c>
      <c r="C8" s="28"/>
      <c r="D8" s="28">
        <v>232000</v>
      </c>
      <c r="E8" s="7"/>
      <c r="F8" s="4"/>
      <c r="I8" s="37"/>
      <c r="J8" s="8" t="str">
        <f>K8</f>
        <v>X</v>
      </c>
      <c r="K8" s="17" t="str">
        <f>+IF(I8="Net Income"," ","X")</f>
        <v>X</v>
      </c>
      <c r="O8" s="42"/>
      <c r="P8" s="39" t="str">
        <f>Q8</f>
        <v>X</v>
      </c>
      <c r="Q8" s="17" t="str">
        <f>+IF(O8=49000," ","X")</f>
        <v>X</v>
      </c>
    </row>
    <row r="9" spans="2:17" x14ac:dyDescent="0.25">
      <c r="B9" s="5" t="s">
        <v>32</v>
      </c>
      <c r="C9" s="28"/>
      <c r="D9" s="31">
        <v>92000</v>
      </c>
      <c r="E9" s="7"/>
      <c r="F9" s="4"/>
      <c r="I9" s="4"/>
    </row>
    <row r="10" spans="2:17" x14ac:dyDescent="0.25">
      <c r="B10" s="5" t="s">
        <v>33</v>
      </c>
      <c r="C10" s="28"/>
      <c r="D10" s="28">
        <f>D8-D9</f>
        <v>140000</v>
      </c>
      <c r="E10" s="7"/>
      <c r="F10" s="4"/>
      <c r="I10" s="13" t="s">
        <v>12</v>
      </c>
    </row>
    <row r="11" spans="2:17" ht="22" thickBot="1" x14ac:dyDescent="0.3">
      <c r="B11" s="5"/>
      <c r="C11" s="28"/>
      <c r="D11" s="28"/>
      <c r="E11" s="4"/>
      <c r="F11" s="4"/>
      <c r="I11" s="4"/>
    </row>
    <row r="12" spans="2:17" ht="22" customHeight="1" thickBot="1" x14ac:dyDescent="0.3">
      <c r="B12" s="5" t="s">
        <v>34</v>
      </c>
      <c r="C12" s="28"/>
      <c r="D12" s="28"/>
      <c r="E12" s="4"/>
      <c r="I12" s="37"/>
      <c r="J12" s="8" t="str">
        <f>K12</f>
        <v>X</v>
      </c>
      <c r="K12" s="17" t="str">
        <f>+IF(I12="Depreciation Expense"," ","X")</f>
        <v>X</v>
      </c>
      <c r="L12" s="42"/>
      <c r="M12" s="43" t="str">
        <f>N12</f>
        <v>X</v>
      </c>
      <c r="N12" s="41" t="str">
        <f>+IF(L12=27000," ","X")</f>
        <v>X</v>
      </c>
    </row>
    <row r="13" spans="2:17" x14ac:dyDescent="0.25">
      <c r="B13" s="5" t="s">
        <v>35</v>
      </c>
      <c r="C13" s="28">
        <v>34000</v>
      </c>
      <c r="D13" s="28"/>
      <c r="E13" s="4"/>
      <c r="I13" s="4"/>
    </row>
    <row r="14" spans="2:17" x14ac:dyDescent="0.25">
      <c r="B14" s="5" t="s">
        <v>38</v>
      </c>
      <c r="C14" s="31">
        <v>20000</v>
      </c>
      <c r="D14" s="32"/>
      <c r="I14" s="13" t="s">
        <v>13</v>
      </c>
      <c r="J14" s="18"/>
    </row>
    <row r="15" spans="2:17" ht="22" thickBot="1" x14ac:dyDescent="0.3">
      <c r="B15" s="5" t="s">
        <v>37</v>
      </c>
      <c r="D15" s="28">
        <f>C13+C14</f>
        <v>54000</v>
      </c>
      <c r="I15" s="4"/>
    </row>
    <row r="16" spans="2:17" ht="22" customHeight="1" thickBot="1" x14ac:dyDescent="0.3">
      <c r="B16" s="5"/>
      <c r="I16" s="37"/>
      <c r="J16" s="8" t="str">
        <f>K16</f>
        <v>X</v>
      </c>
      <c r="K16" s="17" t="str">
        <f>+IF(I16="Decrease in Accounts Receivable"," ","X")</f>
        <v>X</v>
      </c>
      <c r="L16" s="42"/>
      <c r="M16" s="43" t="str">
        <f>N16</f>
        <v>X</v>
      </c>
      <c r="N16" s="41" t="str">
        <f>+IF(L16=21000," ","X")</f>
        <v>X</v>
      </c>
    </row>
    <row r="17" spans="2:17" ht="22" thickBot="1" x14ac:dyDescent="0.3">
      <c r="B17" s="5" t="s">
        <v>40</v>
      </c>
      <c r="D17" s="28">
        <f>D10-D15</f>
        <v>86000</v>
      </c>
      <c r="I17" s="4"/>
    </row>
    <row r="18" spans="2:17" ht="22" thickBot="1" x14ac:dyDescent="0.3">
      <c r="B18" s="5"/>
      <c r="I18" s="37"/>
      <c r="J18" s="8" t="str">
        <f>K18</f>
        <v>X</v>
      </c>
      <c r="K18" s="17" t="str">
        <f>+IF(I18="Increase in Food Inventory"," ","X")</f>
        <v>X</v>
      </c>
      <c r="L18" s="42"/>
      <c r="M18" s="44" t="str">
        <f>N18</f>
        <v>X</v>
      </c>
      <c r="N18" s="43" t="str">
        <f>+IF(L18=-6000," ","X")</f>
        <v>X</v>
      </c>
    </row>
    <row r="19" spans="2:17" ht="22" customHeight="1" thickBot="1" x14ac:dyDescent="0.3">
      <c r="B19" s="5" t="s">
        <v>36</v>
      </c>
      <c r="C19" s="28">
        <v>27000</v>
      </c>
      <c r="I19" s="4"/>
      <c r="P19" s="40"/>
      <c r="Q19" s="17"/>
    </row>
    <row r="20" spans="2:17" ht="21" customHeight="1" thickBot="1" x14ac:dyDescent="0.3">
      <c r="B20" s="5" t="s">
        <v>41</v>
      </c>
      <c r="C20" s="31">
        <v>10000</v>
      </c>
      <c r="D20" s="31">
        <f>C19+C20</f>
        <v>37000</v>
      </c>
      <c r="I20" s="37"/>
      <c r="J20" s="8" t="str">
        <f>K20</f>
        <v>X</v>
      </c>
      <c r="K20" s="17" t="str">
        <f>+IF(I20="Increase in Accounts Payable"," ","X")</f>
        <v>X</v>
      </c>
      <c r="L20" s="42"/>
      <c r="M20" s="44" t="str">
        <f>N20</f>
        <v>X</v>
      </c>
      <c r="N20" s="43" t="str">
        <f>+IF(L20=22000," ","X")</f>
        <v>X</v>
      </c>
    </row>
    <row r="21" spans="2:17" ht="19" customHeight="1" thickBot="1" x14ac:dyDescent="0.3">
      <c r="B21" s="5"/>
      <c r="D21" s="28"/>
      <c r="I21" s="4"/>
    </row>
    <row r="22" spans="2:17" ht="22" thickBot="1" x14ac:dyDescent="0.3">
      <c r="B22" s="5" t="s">
        <v>23</v>
      </c>
      <c r="D22" s="33">
        <f>D17-D20</f>
        <v>49000</v>
      </c>
      <c r="I22" s="37"/>
      <c r="J22" s="8" t="str">
        <f>K22</f>
        <v>X</v>
      </c>
      <c r="K22" s="17" t="str">
        <f>+IF(I22="Decrease in Accrued Liabilities"," ","X")</f>
        <v>X</v>
      </c>
      <c r="L22" s="42"/>
      <c r="M22" s="44" t="str">
        <f>N22</f>
        <v>X</v>
      </c>
      <c r="N22" s="45" t="str">
        <f>+IF(L22=-5000," ","X")</f>
        <v>X</v>
      </c>
      <c r="O22" s="46"/>
    </row>
    <row r="23" spans="2:17" ht="22" customHeight="1" thickTop="1" thickBot="1" x14ac:dyDescent="0.3">
      <c r="I23" s="4"/>
    </row>
    <row r="24" spans="2:17" ht="22" customHeight="1" thickBot="1" x14ac:dyDescent="0.3">
      <c r="I24" s="38"/>
      <c r="J24" s="8" t="str">
        <f>K24</f>
        <v>X</v>
      </c>
      <c r="K24" s="17" t="str">
        <f>+IF(I24="Net Cash Provided by Operating Activities"," ","X")</f>
        <v>X</v>
      </c>
      <c r="O24" s="42"/>
      <c r="P24" s="40" t="str">
        <f>Q24</f>
        <v>X</v>
      </c>
      <c r="Q24" s="17" t="str">
        <f>+IF(O24=108000," ","X")</f>
        <v>X</v>
      </c>
    </row>
    <row r="25" spans="2:17" x14ac:dyDescent="0.25">
      <c r="B25" s="1" t="s">
        <v>42</v>
      </c>
      <c r="I25" s="4"/>
    </row>
    <row r="26" spans="2:17" x14ac:dyDescent="0.25">
      <c r="I26" s="4"/>
    </row>
    <row r="27" spans="2:17" x14ac:dyDescent="0.25">
      <c r="B27" s="12" t="s">
        <v>47</v>
      </c>
      <c r="C27" s="12"/>
      <c r="D27" s="12"/>
      <c r="E27" s="12"/>
      <c r="I27" s="13" t="s">
        <v>15</v>
      </c>
      <c r="J27" s="18"/>
    </row>
    <row r="28" spans="2:17" ht="22" thickBot="1" x14ac:dyDescent="0.3">
      <c r="B28" s="35"/>
      <c r="C28" s="35"/>
      <c r="D28" s="35"/>
      <c r="E28" s="35"/>
      <c r="I28" s="4"/>
    </row>
    <row r="29" spans="2:17" ht="22" customHeight="1" thickBot="1" x14ac:dyDescent="0.3">
      <c r="B29" s="10" t="s">
        <v>43</v>
      </c>
      <c r="C29" s="10"/>
      <c r="D29" s="10"/>
      <c r="E29" s="10"/>
      <c r="I29" s="37"/>
      <c r="J29" s="8" t="str">
        <f>K29</f>
        <v>X</v>
      </c>
      <c r="K29" s="17" t="str">
        <f>+IF(I29="Acquisition of Equipment"," ","X")</f>
        <v>X</v>
      </c>
      <c r="L29" s="42"/>
      <c r="M29" s="43" t="str">
        <f>N29</f>
        <v>X</v>
      </c>
      <c r="N29" s="41" t="str">
        <f>+IF(L29=-102000," ","X")</f>
        <v>X</v>
      </c>
    </row>
    <row r="30" spans="2:17" ht="22" thickBot="1" x14ac:dyDescent="0.3">
      <c r="B30" s="35"/>
      <c r="C30" s="35"/>
      <c r="D30" s="35"/>
      <c r="E30" s="35"/>
      <c r="I30" s="4"/>
    </row>
    <row r="31" spans="2:17" ht="22" thickBot="1" x14ac:dyDescent="0.3">
      <c r="B31" s="10" t="s">
        <v>44</v>
      </c>
      <c r="C31" s="10"/>
      <c r="D31" s="10"/>
      <c r="E31" s="10"/>
      <c r="I31" s="37"/>
      <c r="J31" s="8" t="str">
        <f>K31</f>
        <v>X</v>
      </c>
      <c r="K31" s="17" t="str">
        <f>+IF(I31="Cash receipts from Sale of Land"," ","X")</f>
        <v>X</v>
      </c>
      <c r="L31" s="42"/>
      <c r="M31" s="44" t="str">
        <f>N31</f>
        <v>X</v>
      </c>
      <c r="N31" s="43" t="str">
        <f>+IF(L31=23000," ","X")</f>
        <v>X</v>
      </c>
      <c r="O31" s="46"/>
      <c r="P31" s="40"/>
    </row>
    <row r="32" spans="2:17" ht="22" thickBot="1" x14ac:dyDescent="0.3">
      <c r="B32" s="35"/>
      <c r="C32" s="35"/>
      <c r="D32" s="35"/>
      <c r="E32" s="35"/>
      <c r="I32" s="4"/>
    </row>
    <row r="33" spans="2:17" ht="22" thickBot="1" x14ac:dyDescent="0.3">
      <c r="B33" s="10" t="s">
        <v>45</v>
      </c>
      <c r="C33" s="10"/>
      <c r="D33" s="10"/>
      <c r="E33" s="10"/>
      <c r="I33" s="38"/>
      <c r="J33" s="8" t="str">
        <f>K33</f>
        <v>X</v>
      </c>
      <c r="K33" s="17" t="str">
        <f>+IF(I33="Net Cash Used by Investing Activities"," ","X")</f>
        <v>X</v>
      </c>
      <c r="O33" s="42"/>
      <c r="P33" s="40" t="str">
        <f>Q33</f>
        <v>X</v>
      </c>
      <c r="Q33" s="17" t="str">
        <f>+IF(O33=-79000," ","X")</f>
        <v>X</v>
      </c>
    </row>
    <row r="34" spans="2:17" x14ac:dyDescent="0.25">
      <c r="B34" s="9"/>
      <c r="C34" s="9"/>
      <c r="D34" s="9"/>
      <c r="E34" s="9"/>
      <c r="I34" s="4"/>
    </row>
    <row r="35" spans="2:17" x14ac:dyDescent="0.25">
      <c r="B35" s="10" t="s">
        <v>46</v>
      </c>
      <c r="C35" s="10"/>
      <c r="D35" s="10"/>
      <c r="E35" s="10"/>
      <c r="I35" s="4"/>
    </row>
    <row r="36" spans="2:17" ht="22" customHeight="1" x14ac:dyDescent="0.25">
      <c r="I36" s="13" t="s">
        <v>16</v>
      </c>
      <c r="J36" s="18"/>
    </row>
    <row r="37" spans="2:17" ht="22" thickBot="1" x14ac:dyDescent="0.3">
      <c r="B37" s="25" t="s">
        <v>28</v>
      </c>
      <c r="C37" s="25"/>
      <c r="D37" s="25"/>
      <c r="I37" s="4"/>
    </row>
    <row r="38" spans="2:17" ht="22" customHeight="1" thickBot="1" x14ac:dyDescent="0.3">
      <c r="B38" s="25" t="s">
        <v>48</v>
      </c>
      <c r="C38" s="25"/>
      <c r="D38" s="25"/>
      <c r="I38" s="37"/>
      <c r="J38" s="8" t="str">
        <f>K38</f>
        <v>X</v>
      </c>
      <c r="K38" s="17" t="str">
        <f>+IF(I38="Cash receipts sale of common stock"," ","X")</f>
        <v>X</v>
      </c>
      <c r="L38" s="42"/>
      <c r="M38" s="43" t="str">
        <f>N38</f>
        <v>X</v>
      </c>
      <c r="N38" s="41" t="str">
        <f>+IF(L38=30000," ","X")</f>
        <v>X</v>
      </c>
    </row>
    <row r="39" spans="2:17" ht="22" thickBot="1" x14ac:dyDescent="0.3">
      <c r="B39" s="26" t="s">
        <v>49</v>
      </c>
      <c r="C39" s="26"/>
      <c r="D39" s="26"/>
      <c r="I39" s="4"/>
    </row>
    <row r="40" spans="2:17" ht="22" thickBot="1" x14ac:dyDescent="0.3">
      <c r="C40" s="23" t="s">
        <v>55</v>
      </c>
      <c r="D40" s="23" t="s">
        <v>56</v>
      </c>
      <c r="I40" s="37"/>
      <c r="J40" s="8" t="str">
        <f>K40</f>
        <v>X</v>
      </c>
      <c r="K40" s="17" t="str">
        <f>+IF(I40="Cash Payment--Notes Payable"," ","X")</f>
        <v>X</v>
      </c>
      <c r="L40" s="42"/>
      <c r="M40" s="43" t="str">
        <f>N40</f>
        <v>X</v>
      </c>
      <c r="N40" s="41" t="str">
        <f>+IF(L40=-12000," ","X")</f>
        <v>X</v>
      </c>
    </row>
    <row r="41" spans="2:17" ht="22" customHeight="1" thickBot="1" x14ac:dyDescent="0.3">
      <c r="B41" s="5" t="s">
        <v>50</v>
      </c>
      <c r="C41" s="36">
        <v>49000</v>
      </c>
      <c r="D41" s="36">
        <v>10000</v>
      </c>
      <c r="I41" s="4"/>
    </row>
    <row r="42" spans="2:17" ht="22" customHeight="1" thickBot="1" x14ac:dyDescent="0.3">
      <c r="B42" s="5" t="s">
        <v>51</v>
      </c>
      <c r="C42" s="36">
        <v>42000</v>
      </c>
      <c r="D42" s="36">
        <v>63000</v>
      </c>
      <c r="I42" s="37"/>
      <c r="J42" s="8" t="str">
        <f>K42</f>
        <v>X</v>
      </c>
      <c r="K42" s="17" t="str">
        <f>+IF(I42="Cash payment--dividends"," ","X")</f>
        <v>X</v>
      </c>
      <c r="L42" s="42"/>
      <c r="M42" s="44" t="str">
        <f>N42</f>
        <v>X</v>
      </c>
      <c r="N42" s="43" t="str">
        <f>+IF(L42=-8000," ","X")</f>
        <v>X</v>
      </c>
      <c r="O42" s="46"/>
      <c r="P42" s="40"/>
    </row>
    <row r="43" spans="2:17" ht="22" thickBot="1" x14ac:dyDescent="0.3">
      <c r="B43" s="5" t="s">
        <v>52</v>
      </c>
      <c r="C43" s="36">
        <v>91000</v>
      </c>
      <c r="D43" s="36">
        <v>85000</v>
      </c>
      <c r="I43" s="4"/>
    </row>
    <row r="44" spans="2:17" ht="22" thickBot="1" x14ac:dyDescent="0.3">
      <c r="B44" s="5" t="s">
        <v>53</v>
      </c>
      <c r="C44" s="36">
        <v>33000</v>
      </c>
      <c r="D44" s="36">
        <v>11000</v>
      </c>
      <c r="I44" s="38"/>
      <c r="J44" s="8" t="str">
        <f>K44</f>
        <v>X</v>
      </c>
      <c r="K44" s="17" t="str">
        <f>+IF(I44="Net Cash Provided by Financing Activities"," ","X")</f>
        <v>X</v>
      </c>
      <c r="O44" s="42"/>
      <c r="P44" s="40" t="str">
        <f>Q44</f>
        <v>X</v>
      </c>
      <c r="Q44" s="17" t="str">
        <f>+IF(O44=10000," ","X")</f>
        <v>X</v>
      </c>
    </row>
    <row r="45" spans="2:17" ht="22" customHeight="1" x14ac:dyDescent="0.25">
      <c r="B45" s="5" t="s">
        <v>54</v>
      </c>
      <c r="C45" s="36">
        <v>22000</v>
      </c>
      <c r="D45" s="36">
        <v>27000</v>
      </c>
      <c r="I45" s="4"/>
    </row>
    <row r="46" spans="2:17" ht="22" thickBot="1" x14ac:dyDescent="0.3">
      <c r="B46" s="5"/>
      <c r="C46" s="36"/>
      <c r="D46" s="36"/>
      <c r="I46" s="4"/>
    </row>
    <row r="47" spans="2:17" ht="22" thickBot="1" x14ac:dyDescent="0.3">
      <c r="I47" s="13" t="s">
        <v>17</v>
      </c>
      <c r="J47" s="18"/>
      <c r="O47" s="42"/>
      <c r="P47" s="40" t="str">
        <f>Q47</f>
        <v>X</v>
      </c>
      <c r="Q47" s="17" t="str">
        <f>+IF(O47=39000," ","X")</f>
        <v>X</v>
      </c>
    </row>
    <row r="48" spans="2:17" ht="22" thickBot="1" x14ac:dyDescent="0.3">
      <c r="I48" s="4"/>
    </row>
    <row r="49" spans="2:17" ht="22" thickBot="1" x14ac:dyDescent="0.3">
      <c r="B49" s="5"/>
      <c r="C49" s="36"/>
      <c r="D49" s="36"/>
      <c r="I49" s="38"/>
      <c r="J49" s="8" t="str">
        <f>K49</f>
        <v>X</v>
      </c>
      <c r="K49" s="17" t="str">
        <f>+IF(I49="Cash Balance at the beginning of the year"," ","X")</f>
        <v>X</v>
      </c>
      <c r="O49" s="42"/>
      <c r="P49" s="40" t="str">
        <f>Q49</f>
        <v>X</v>
      </c>
      <c r="Q49" s="17" t="str">
        <f>+IF(O49=10000," ","X")</f>
        <v>X</v>
      </c>
    </row>
    <row r="50" spans="2:17" ht="22" thickBot="1" x14ac:dyDescent="0.3">
      <c r="B50" s="5"/>
      <c r="C50" s="36"/>
      <c r="D50" s="36"/>
      <c r="I50" s="4"/>
    </row>
    <row r="51" spans="2:17" ht="22" thickBot="1" x14ac:dyDescent="0.3">
      <c r="B51" s="5"/>
      <c r="C51" s="36"/>
      <c r="D51" s="36"/>
      <c r="I51" s="13" t="s">
        <v>24</v>
      </c>
      <c r="J51" s="18"/>
      <c r="O51" s="42"/>
      <c r="P51" s="40" t="str">
        <f>Q51</f>
        <v>X</v>
      </c>
      <c r="Q51" s="17" t="str">
        <f>+IF(O51=49000," ","X")</f>
        <v>X</v>
      </c>
    </row>
    <row r="52" spans="2:17" x14ac:dyDescent="0.25">
      <c r="I52" s="4"/>
    </row>
    <row r="53" spans="2:17" x14ac:dyDescent="0.25">
      <c r="I53" s="13" t="s">
        <v>97</v>
      </c>
    </row>
    <row r="54" spans="2:17" ht="22" thickBot="1" x14ac:dyDescent="0.3">
      <c r="I54" s="4"/>
    </row>
    <row r="55" spans="2:17" ht="22" thickBot="1" x14ac:dyDescent="0.3">
      <c r="I55" s="37"/>
      <c r="J55" s="8" t="str">
        <f>K55</f>
        <v>X</v>
      </c>
      <c r="K55" s="17" t="str">
        <f>+IF(I55="Acquisition of Equipment with Notes Payable"," ","X")</f>
        <v>X</v>
      </c>
      <c r="M55" s="28"/>
      <c r="O55" s="42"/>
      <c r="P55" s="40" t="str">
        <f>Q55</f>
        <v>X</v>
      </c>
      <c r="Q55" s="17" t="str">
        <f>+IF(O55=23000," ","X")</f>
        <v>X</v>
      </c>
    </row>
    <row r="56" spans="2:17" x14ac:dyDescent="0.25">
      <c r="I56" s="4"/>
    </row>
    <row r="57" spans="2:17" ht="22" thickBot="1" x14ac:dyDescent="0.3">
      <c r="I57" s="13" t="s">
        <v>67</v>
      </c>
      <c r="O57" s="47"/>
      <c r="P57" s="40" t="str">
        <f>Q57</f>
        <v>X</v>
      </c>
      <c r="Q57" s="17" t="str">
        <f>+IF(O57=23000," ","X")</f>
        <v>X</v>
      </c>
    </row>
    <row r="58" spans="2:17" ht="22" thickTop="1" x14ac:dyDescent="0.25"/>
    <row r="73" spans="9:9" x14ac:dyDescent="0.25">
      <c r="I73" s="13"/>
    </row>
  </sheetData>
  <mergeCells count="19">
    <mergeCell ref="B37:D37"/>
    <mergeCell ref="B38:D38"/>
    <mergeCell ref="B39:D39"/>
    <mergeCell ref="B27:E27"/>
    <mergeCell ref="B29:E29"/>
    <mergeCell ref="B31:E31"/>
    <mergeCell ref="B33:E33"/>
    <mergeCell ref="B35:E35"/>
    <mergeCell ref="B28:E28"/>
    <mergeCell ref="B30:E30"/>
    <mergeCell ref="B34:E34"/>
    <mergeCell ref="B32:E32"/>
    <mergeCell ref="B5:D5"/>
    <mergeCell ref="B6:D6"/>
    <mergeCell ref="B7:D7"/>
    <mergeCell ref="I2:P2"/>
    <mergeCell ref="I3:P3"/>
    <mergeCell ref="I4:P4"/>
    <mergeCell ref="B2:E3"/>
  </mergeCells>
  <phoneticPr fontId="11" type="noConversion"/>
  <conditionalFormatting sqref="Q8 M21 M5:M18 M24 M72:M1048576 M27:M37 M40:M51">
    <cfRule type="containsText" dxfId="70" priority="25" operator="containsText" text="x">
      <formula>NOT(ISERROR(SEARCH("x",M5)))</formula>
    </cfRule>
  </conditionalFormatting>
  <conditionalFormatting sqref="Q19">
    <cfRule type="containsText" dxfId="69" priority="24" operator="containsText" text="x">
      <formula>NOT(ISERROR(SEARCH("x",Q19)))</formula>
    </cfRule>
  </conditionalFormatting>
  <conditionalFormatting sqref="Q24">
    <cfRule type="containsText" dxfId="68" priority="23" operator="containsText" text="x">
      <formula>NOT(ISERROR(SEARCH("x",Q24)))</formula>
    </cfRule>
  </conditionalFormatting>
  <conditionalFormatting sqref="Q33">
    <cfRule type="containsText" dxfId="67" priority="22" operator="containsText" text="x">
      <formula>NOT(ISERROR(SEARCH("x",Q33)))</formula>
    </cfRule>
  </conditionalFormatting>
  <conditionalFormatting sqref="Q44">
    <cfRule type="containsText" dxfId="66" priority="21" operator="containsText" text="x">
      <formula>NOT(ISERROR(SEARCH("x",Q44)))</formula>
    </cfRule>
  </conditionalFormatting>
  <conditionalFormatting sqref="Q47">
    <cfRule type="containsText" dxfId="65" priority="20" operator="containsText" text="x">
      <formula>NOT(ISERROR(SEARCH("x",Q47)))</formula>
    </cfRule>
  </conditionalFormatting>
  <conditionalFormatting sqref="Q49">
    <cfRule type="containsText" dxfId="64" priority="19" operator="containsText" text="x">
      <formula>NOT(ISERROR(SEARCH("x",Q49)))</formula>
    </cfRule>
  </conditionalFormatting>
  <conditionalFormatting sqref="Q51">
    <cfRule type="containsText" dxfId="63" priority="18" operator="containsText" text="x">
      <formula>NOT(ISERROR(SEARCH("x",Q51)))</formula>
    </cfRule>
  </conditionalFormatting>
  <conditionalFormatting sqref="J1 P5:P21 J21 J5:J18 P24 J72:J1048576 P72:P1048576 J27:J32 J40:J43 P27:P37 P40:P51 J34:J37 J45:J51">
    <cfRule type="containsText" dxfId="62" priority="17" operator="containsText" text="X">
      <formula>NOT(ISERROR(SEARCH("X",J1)))</formula>
    </cfRule>
  </conditionalFormatting>
  <conditionalFormatting sqref="M1">
    <cfRule type="containsText" dxfId="61" priority="16" operator="containsText" text="x">
      <formula>NOT(ISERROR(SEARCH("x",M1)))</formula>
    </cfRule>
  </conditionalFormatting>
  <conditionalFormatting sqref="P1">
    <cfRule type="containsText" dxfId="60" priority="15" operator="containsText" text="X">
      <formula>NOT(ISERROR(SEARCH("X",P1)))</formula>
    </cfRule>
  </conditionalFormatting>
  <conditionalFormatting sqref="M20">
    <cfRule type="containsText" dxfId="59" priority="14" operator="containsText" text="x">
      <formula>NOT(ISERROR(SEARCH("x",M20)))</formula>
    </cfRule>
  </conditionalFormatting>
  <conditionalFormatting sqref="J20">
    <cfRule type="containsText" dxfId="58" priority="13" operator="containsText" text="X">
      <formula>NOT(ISERROR(SEARCH("X",J20)))</formula>
    </cfRule>
  </conditionalFormatting>
  <conditionalFormatting sqref="M22">
    <cfRule type="containsText" dxfId="57" priority="12" operator="containsText" text="x">
      <formula>NOT(ISERROR(SEARCH("x",M22)))</formula>
    </cfRule>
  </conditionalFormatting>
  <conditionalFormatting sqref="J22">
    <cfRule type="containsText" dxfId="56" priority="11" operator="containsText" text="X">
      <formula>NOT(ISERROR(SEARCH("X",J22)))</formula>
    </cfRule>
  </conditionalFormatting>
  <conditionalFormatting sqref="M38">
    <cfRule type="containsText" dxfId="55" priority="10" operator="containsText" text="x">
      <formula>NOT(ISERROR(SEARCH("x",M38)))</formula>
    </cfRule>
  </conditionalFormatting>
  <conditionalFormatting sqref="J38">
    <cfRule type="containsText" dxfId="54" priority="9" operator="containsText" text="X">
      <formula>NOT(ISERROR(SEARCH("X",J38)))</formula>
    </cfRule>
  </conditionalFormatting>
  <conditionalFormatting sqref="J55">
    <cfRule type="containsText" dxfId="53" priority="8" operator="containsText" text="X">
      <formula>NOT(ISERROR(SEARCH("X",J55)))</formula>
    </cfRule>
  </conditionalFormatting>
  <conditionalFormatting sqref="Q55">
    <cfRule type="containsText" dxfId="52" priority="7" operator="containsText" text="x">
      <formula>NOT(ISERROR(SEARCH("x",Q55)))</formula>
    </cfRule>
  </conditionalFormatting>
  <conditionalFormatting sqref="P55">
    <cfRule type="containsText" dxfId="51" priority="6" operator="containsText" text="X">
      <formula>NOT(ISERROR(SEARCH("X",P55)))</formula>
    </cfRule>
  </conditionalFormatting>
  <conditionalFormatting sqref="Q57">
    <cfRule type="containsText" dxfId="50" priority="5" operator="containsText" text="x">
      <formula>NOT(ISERROR(SEARCH("x",Q57)))</formula>
    </cfRule>
  </conditionalFormatting>
  <conditionalFormatting sqref="P57">
    <cfRule type="containsText" dxfId="49" priority="4" operator="containsText" text="X">
      <formula>NOT(ISERROR(SEARCH("X",P57)))</formula>
    </cfRule>
  </conditionalFormatting>
  <conditionalFormatting sqref="J24">
    <cfRule type="containsText" dxfId="48" priority="3" operator="containsText" text="X">
      <formula>NOT(ISERROR(SEARCH("X",J24)))</formula>
    </cfRule>
  </conditionalFormatting>
  <conditionalFormatting sqref="J33">
    <cfRule type="containsText" dxfId="47" priority="2" operator="containsText" text="X">
      <formula>NOT(ISERROR(SEARCH("X",J33)))</formula>
    </cfRule>
  </conditionalFormatting>
  <conditionalFormatting sqref="J44">
    <cfRule type="containsText" dxfId="46" priority="1" operator="containsText" text="X">
      <formula>NOT(ISERROR(SEARCH("X",J44)))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60FC6F-4ABA-124E-8BC9-6F862D4D12F9}">
          <x14:formula1>
            <xm:f>P!$B$25:$B$48</xm:f>
          </x14:formula1>
          <xm:sqref>I8 I12 I16 I18 I20 I22 I24 I29 I31 I33 I38 I40 I42 I44 I49 I55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17C4-730F-F24A-A8CF-632D024500DC}">
  <dimension ref="B1:X73"/>
  <sheetViews>
    <sheetView topLeftCell="C41" workbookViewId="0">
      <selection activeCell="L48" sqref="L48"/>
    </sheetView>
  </sheetViews>
  <sheetFormatPr baseColWidth="10" defaultRowHeight="21" x14ac:dyDescent="0.25"/>
  <cols>
    <col min="2" max="2" width="76.33203125" customWidth="1"/>
    <col min="3" max="3" width="14.33203125" style="30" customWidth="1"/>
    <col min="4" max="4" width="15.6640625" style="30" customWidth="1"/>
    <col min="5" max="5" width="10.6640625" bestFit="1" customWidth="1"/>
    <col min="8" max="8" width="1.33203125" customWidth="1"/>
    <col min="9" max="9" width="63.6640625" style="4" customWidth="1"/>
    <col min="10" max="10" width="7" style="8" customWidth="1"/>
    <col min="11" max="11" width="6.1640625" style="8" hidden="1" customWidth="1"/>
    <col min="12" max="12" width="15.6640625" style="28" customWidth="1"/>
    <col min="13" max="13" width="8.6640625" style="41" customWidth="1"/>
    <col min="14" max="14" width="6" style="28" hidden="1" customWidth="1"/>
    <col min="15" max="15" width="15.1640625" style="28" customWidth="1"/>
    <col min="16" max="16" width="8.33203125" style="22" customWidth="1"/>
    <col min="17" max="17" width="6.1640625" hidden="1" customWidth="1"/>
  </cols>
  <sheetData>
    <row r="1" spans="2:17" x14ac:dyDescent="0.25">
      <c r="B1" s="4"/>
      <c r="C1" s="28"/>
      <c r="D1" s="28"/>
      <c r="E1" s="4"/>
      <c r="F1" s="4"/>
    </row>
    <row r="2" spans="2:17" x14ac:dyDescent="0.25">
      <c r="B2" s="11" t="s">
        <v>79</v>
      </c>
      <c r="C2" s="11"/>
      <c r="D2" s="11"/>
      <c r="E2" s="11"/>
      <c r="F2" s="4"/>
      <c r="I2" s="59" t="str">
        <f>B5</f>
        <v>Cougar Hotel</v>
      </c>
      <c r="J2" s="59"/>
      <c r="K2" s="59"/>
      <c r="L2" s="59"/>
      <c r="M2" s="59"/>
      <c r="N2" s="59"/>
      <c r="O2" s="59"/>
      <c r="P2" s="59"/>
    </row>
    <row r="3" spans="2:17" x14ac:dyDescent="0.25">
      <c r="B3" s="11"/>
      <c r="C3" s="11"/>
      <c r="D3" s="11"/>
      <c r="E3" s="11"/>
      <c r="F3" s="4"/>
      <c r="I3" s="59" t="str">
        <f>B6</f>
        <v>Income Statement</v>
      </c>
      <c r="J3" s="59"/>
      <c r="K3" s="59"/>
      <c r="L3" s="59"/>
      <c r="M3" s="59"/>
      <c r="N3" s="59"/>
      <c r="O3" s="59"/>
      <c r="P3" s="59"/>
    </row>
    <row r="4" spans="2:17" x14ac:dyDescent="0.25">
      <c r="B4" s="14"/>
      <c r="C4" s="29"/>
      <c r="D4" s="29"/>
      <c r="E4" s="14"/>
      <c r="F4" s="4"/>
      <c r="I4" s="59" t="str">
        <f>B7</f>
        <v>For the Year Ending September 30, 20X2</v>
      </c>
      <c r="J4" s="59"/>
      <c r="K4" s="59"/>
      <c r="L4" s="59"/>
      <c r="M4" s="59"/>
      <c r="N4" s="59"/>
      <c r="O4" s="59"/>
      <c r="P4" s="59"/>
    </row>
    <row r="5" spans="2:17" x14ac:dyDescent="0.25">
      <c r="B5" s="57" t="s">
        <v>80</v>
      </c>
      <c r="C5" s="57"/>
      <c r="D5" s="57"/>
      <c r="E5" s="4"/>
      <c r="F5" s="4"/>
    </row>
    <row r="6" spans="2:17" x14ac:dyDescent="0.25">
      <c r="B6" s="57" t="s">
        <v>29</v>
      </c>
      <c r="C6" s="57"/>
      <c r="D6" s="57"/>
      <c r="E6" s="4"/>
      <c r="F6" s="4"/>
      <c r="I6" s="13" t="s">
        <v>11</v>
      </c>
      <c r="J6" s="18"/>
    </row>
    <row r="7" spans="2:17" ht="22" thickBot="1" x14ac:dyDescent="0.3">
      <c r="B7" s="58" t="s">
        <v>30</v>
      </c>
      <c r="C7" s="58"/>
      <c r="D7" s="58"/>
      <c r="E7" s="7"/>
      <c r="F7" s="4"/>
    </row>
    <row r="8" spans="2:17" ht="22" thickBot="1" x14ac:dyDescent="0.3">
      <c r="B8" s="5" t="s">
        <v>82</v>
      </c>
      <c r="C8" s="28"/>
      <c r="D8" s="28">
        <v>1100000</v>
      </c>
      <c r="E8" s="7"/>
      <c r="F8" s="4"/>
      <c r="I8" s="37"/>
      <c r="J8" s="8" t="str">
        <f>K8</f>
        <v>X</v>
      </c>
      <c r="K8" s="17" t="str">
        <f>+IF(I8="Net Income"," ","X")</f>
        <v>X</v>
      </c>
      <c r="O8" s="42"/>
      <c r="P8" s="39" t="str">
        <f>Q8</f>
        <v>X</v>
      </c>
      <c r="Q8" s="17" t="str">
        <f>+IF(O8=102900," ","X")</f>
        <v>X</v>
      </c>
    </row>
    <row r="9" spans="2:17" x14ac:dyDescent="0.25">
      <c r="B9" s="5" t="s">
        <v>81</v>
      </c>
      <c r="C9" s="28"/>
      <c r="D9" s="31">
        <v>730000</v>
      </c>
      <c r="E9" s="7"/>
      <c r="F9" s="4"/>
    </row>
    <row r="10" spans="2:17" x14ac:dyDescent="0.25">
      <c r="B10" s="5" t="s">
        <v>33</v>
      </c>
      <c r="C10" s="28"/>
      <c r="D10" s="28">
        <f>D8-D9</f>
        <v>370000</v>
      </c>
      <c r="E10" s="7"/>
      <c r="F10" s="4"/>
      <c r="I10" s="13" t="s">
        <v>12</v>
      </c>
    </row>
    <row r="11" spans="2:17" ht="22" thickBot="1" x14ac:dyDescent="0.3">
      <c r="B11" s="5"/>
      <c r="C11" s="28"/>
      <c r="D11" s="28"/>
      <c r="E11" s="4"/>
      <c r="F11" s="4"/>
    </row>
    <row r="12" spans="2:17" ht="22" customHeight="1" thickBot="1" x14ac:dyDescent="0.3">
      <c r="B12" s="5" t="s">
        <v>34</v>
      </c>
      <c r="C12" s="28"/>
      <c r="D12" s="28"/>
      <c r="E12" s="4"/>
      <c r="I12" s="37"/>
      <c r="J12" s="8" t="str">
        <f>K12</f>
        <v>X</v>
      </c>
      <c r="K12" s="17" t="str">
        <f>+IF(I12="Depreciation Expense"," ","X")</f>
        <v>X</v>
      </c>
      <c r="L12" s="42"/>
      <c r="M12" s="43" t="str">
        <f>N12</f>
        <v>X</v>
      </c>
      <c r="N12" s="41" t="str">
        <f>+IF(L12=23100," ","X")</f>
        <v>X</v>
      </c>
    </row>
    <row r="13" spans="2:17" ht="22" thickBot="1" x14ac:dyDescent="0.3">
      <c r="B13" s="5" t="s">
        <v>87</v>
      </c>
      <c r="C13" s="28">
        <v>140000</v>
      </c>
      <c r="D13" s="28"/>
      <c r="E13" s="4"/>
    </row>
    <row r="14" spans="2:17" ht="22" thickBot="1" x14ac:dyDescent="0.3">
      <c r="B14" s="5" t="s">
        <v>88</v>
      </c>
      <c r="C14" s="31">
        <v>53000</v>
      </c>
      <c r="D14" s="32"/>
      <c r="I14" s="37"/>
      <c r="J14" s="8" t="str">
        <f>K14</f>
        <v>X</v>
      </c>
      <c r="K14" s="17" t="str">
        <f>+IF(I14="Patent Amortization"," ","X")</f>
        <v>X</v>
      </c>
      <c r="L14" s="42"/>
      <c r="M14" s="43" t="str">
        <f>N14</f>
        <v>X</v>
      </c>
      <c r="N14" s="41" t="str">
        <f>+IF(L14=8000," ","X")</f>
        <v>X</v>
      </c>
    </row>
    <row r="15" spans="2:17" ht="22" thickBot="1" x14ac:dyDescent="0.3">
      <c r="B15" s="5" t="s">
        <v>37</v>
      </c>
      <c r="D15" s="28">
        <f>C13+C14</f>
        <v>193000</v>
      </c>
    </row>
    <row r="16" spans="2:17" ht="22" customHeight="1" thickBot="1" x14ac:dyDescent="0.3">
      <c r="B16" s="5"/>
      <c r="I16" s="37"/>
      <c r="J16" s="8" t="str">
        <f>K16</f>
        <v>X</v>
      </c>
      <c r="K16" s="17" t="str">
        <f>+IF(I16="Gain on Sale of Investment"," ","X")</f>
        <v>X</v>
      </c>
      <c r="L16" s="42"/>
      <c r="M16" s="43" t="str">
        <f>N16</f>
        <v>X</v>
      </c>
      <c r="N16" s="41" t="str">
        <f>+IF(L16=-15000," ","X")</f>
        <v>X</v>
      </c>
    </row>
    <row r="17" spans="2:17" x14ac:dyDescent="0.25">
      <c r="B17" s="5" t="s">
        <v>86</v>
      </c>
      <c r="D17" s="28">
        <f>+D10-D15</f>
        <v>177000</v>
      </c>
    </row>
    <row r="18" spans="2:17" x14ac:dyDescent="0.25">
      <c r="I18" s="13" t="s">
        <v>13</v>
      </c>
      <c r="J18" s="18"/>
    </row>
    <row r="19" spans="2:17" ht="22" customHeight="1" thickBot="1" x14ac:dyDescent="0.3">
      <c r="B19" s="5" t="s">
        <v>39</v>
      </c>
      <c r="Q19" s="17"/>
    </row>
    <row r="20" spans="2:17" ht="21" customHeight="1" thickBot="1" x14ac:dyDescent="0.3">
      <c r="B20" s="5" t="s">
        <v>85</v>
      </c>
      <c r="D20" s="28">
        <v>-15000</v>
      </c>
      <c r="I20" s="37"/>
      <c r="J20" s="8" t="str">
        <f>K20</f>
        <v>X</v>
      </c>
      <c r="K20" s="17" t="str">
        <f>+IF(I20="Decrease in Accounts Receivable"," ","X")</f>
        <v>X</v>
      </c>
      <c r="L20" s="42"/>
      <c r="M20" s="43" t="str">
        <f>N20</f>
        <v>X</v>
      </c>
      <c r="N20" s="41" t="str">
        <f>+IF(L20=7400," ","X")</f>
        <v>X</v>
      </c>
    </row>
    <row r="21" spans="2:17" ht="19" customHeight="1" thickBot="1" x14ac:dyDescent="0.3"/>
    <row r="22" spans="2:17" ht="22" thickBot="1" x14ac:dyDescent="0.3">
      <c r="B22" s="5" t="s">
        <v>40</v>
      </c>
      <c r="D22" s="28">
        <f>+D17-D20</f>
        <v>192000</v>
      </c>
      <c r="I22" s="37"/>
      <c r="J22" s="8" t="str">
        <f>K22</f>
        <v>X</v>
      </c>
      <c r="K22" s="17" t="str">
        <f>+IF(I22="Increase in Food Inventory"," ","X")</f>
        <v>X</v>
      </c>
      <c r="L22" s="42"/>
      <c r="M22" s="41" t="str">
        <f>N22</f>
        <v>X</v>
      </c>
      <c r="N22" s="43" t="str">
        <f>+IF(L22=-7100," ","X")</f>
        <v>X</v>
      </c>
    </row>
    <row r="23" spans="2:17" ht="22" customHeight="1" thickBot="1" x14ac:dyDescent="0.3">
      <c r="P23" s="40"/>
    </row>
    <row r="24" spans="2:17" ht="22" customHeight="1" thickBot="1" x14ac:dyDescent="0.3">
      <c r="B24" s="5" t="s">
        <v>83</v>
      </c>
      <c r="C24" s="28">
        <v>28000</v>
      </c>
      <c r="I24" s="37"/>
      <c r="J24" s="8" t="str">
        <f>K24</f>
        <v>X</v>
      </c>
      <c r="K24" s="17" t="str">
        <f>+IF(I24="Increase in Prepaid Expenses"," ","X")</f>
        <v>X</v>
      </c>
      <c r="L24" s="42"/>
      <c r="M24" s="41" t="str">
        <f>N24</f>
        <v>X</v>
      </c>
      <c r="N24" s="43" t="str">
        <f>+IF(L24=-410," ","X")</f>
        <v>X</v>
      </c>
    </row>
    <row r="25" spans="2:17" ht="22" thickBot="1" x14ac:dyDescent="0.3">
      <c r="B25" s="5" t="s">
        <v>41</v>
      </c>
      <c r="C25" s="28">
        <v>30000</v>
      </c>
    </row>
    <row r="26" spans="2:17" ht="22" thickBot="1" x14ac:dyDescent="0.3">
      <c r="B26" s="5" t="s">
        <v>36</v>
      </c>
      <c r="C26" s="28">
        <v>23100</v>
      </c>
      <c r="I26" s="37"/>
      <c r="J26" s="8" t="str">
        <f>K26</f>
        <v>X</v>
      </c>
      <c r="K26" s="17" t="str">
        <f>+IF(I26="Decrease in Accounts Payable"," ","X")</f>
        <v>X</v>
      </c>
      <c r="L26" s="42"/>
      <c r="M26" s="43" t="str">
        <f>N26</f>
        <v>X</v>
      </c>
      <c r="N26" s="43" t="str">
        <f>+IF(L26=-3200," ","X")</f>
        <v>X</v>
      </c>
      <c r="O26" s="55"/>
    </row>
    <row r="27" spans="2:17" ht="21" customHeight="1" thickBot="1" x14ac:dyDescent="0.3">
      <c r="B27" s="5" t="s">
        <v>84</v>
      </c>
      <c r="C27" s="31">
        <v>8000</v>
      </c>
      <c r="D27" s="31">
        <f>SUM(C24:C27)</f>
        <v>89100</v>
      </c>
    </row>
    <row r="28" spans="2:17" ht="22" thickBot="1" x14ac:dyDescent="0.3">
      <c r="B28" s="5"/>
      <c r="D28" s="28"/>
      <c r="I28" s="37"/>
      <c r="J28" s="8" t="str">
        <f>K28</f>
        <v>X</v>
      </c>
      <c r="K28" s="17" t="str">
        <f>+IF(I28="Increase in Accrued Liabilities"," ","X")</f>
        <v>X</v>
      </c>
      <c r="L28" s="42"/>
      <c r="M28" s="43" t="str">
        <f>N28</f>
        <v>X</v>
      </c>
      <c r="N28" s="43" t="str">
        <f>+IF(L28=2200," ","X")</f>
        <v>X</v>
      </c>
    </row>
    <row r="29" spans="2:17" ht="22" customHeight="1" thickBot="1" x14ac:dyDescent="0.3">
      <c r="B29" s="5" t="s">
        <v>23</v>
      </c>
      <c r="D29" s="33">
        <f>D22-D27</f>
        <v>102900</v>
      </c>
    </row>
    <row r="30" spans="2:17" ht="23" thickTop="1" thickBot="1" x14ac:dyDescent="0.3">
      <c r="E30" s="34"/>
      <c r="I30" s="37"/>
      <c r="J30" s="8" t="str">
        <f>K30</f>
        <v>X</v>
      </c>
      <c r="K30" s="17" t="str">
        <f>+IF(I30="Decrease in Income Tax Payable"," ","X")</f>
        <v>X</v>
      </c>
      <c r="L30" s="42"/>
      <c r="M30" s="45" t="str">
        <f>N30</f>
        <v>X</v>
      </c>
      <c r="N30" s="45" t="str">
        <f>+IF(L30=-500," ","X")</f>
        <v>X</v>
      </c>
      <c r="O30" s="46"/>
      <c r="P30" s="56"/>
    </row>
    <row r="31" spans="2:17" ht="22" thickBot="1" x14ac:dyDescent="0.3">
      <c r="E31" s="8"/>
    </row>
    <row r="32" spans="2:17" ht="22" thickBot="1" x14ac:dyDescent="0.3">
      <c r="B32" s="1" t="s">
        <v>42</v>
      </c>
      <c r="E32" s="3"/>
      <c r="I32" s="38"/>
      <c r="J32" s="8" t="str">
        <f>K32</f>
        <v>X</v>
      </c>
      <c r="K32" s="17" t="str">
        <f>+IF(I32="Net Cash Provided by Operating Activities"," ","X")</f>
        <v>X</v>
      </c>
      <c r="O32" s="42"/>
      <c r="P32" s="40" t="str">
        <f>Q32</f>
        <v>X</v>
      </c>
      <c r="Q32" s="17" t="str">
        <f>+IF(O32=117390," ","X")</f>
        <v>X</v>
      </c>
    </row>
    <row r="33" spans="2:24" x14ac:dyDescent="0.25">
      <c r="E33" s="8"/>
    </row>
    <row r="34" spans="2:24" x14ac:dyDescent="0.25">
      <c r="B34" s="1" t="s">
        <v>89</v>
      </c>
      <c r="C34" s="34"/>
      <c r="D34" s="34"/>
      <c r="E34" s="3"/>
    </row>
    <row r="35" spans="2:24" x14ac:dyDescent="0.25">
      <c r="C35" s="8"/>
      <c r="D35" s="8"/>
      <c r="E35" s="8"/>
      <c r="I35" s="13" t="s">
        <v>15</v>
      </c>
      <c r="J35" s="18"/>
    </row>
    <row r="36" spans="2:24" ht="22" customHeight="1" thickBot="1" x14ac:dyDescent="0.3">
      <c r="B36" s="1" t="s">
        <v>90</v>
      </c>
      <c r="C36" s="3"/>
      <c r="D36" s="3"/>
      <c r="E36" s="3"/>
      <c r="X36">
        <v>102900</v>
      </c>
    </row>
    <row r="37" spans="2:24" ht="22" thickBot="1" x14ac:dyDescent="0.3">
      <c r="C37" s="8"/>
      <c r="D37" s="8"/>
      <c r="E37" s="2"/>
      <c r="I37" s="37"/>
      <c r="J37" s="8" t="str">
        <f>K37</f>
        <v>X</v>
      </c>
      <c r="K37" s="17" t="str">
        <f>+IF(I37="Cash Receipts From Sale of Land"," ","X")</f>
        <v>X</v>
      </c>
      <c r="L37" s="42"/>
      <c r="M37" s="43" t="str">
        <f>N37</f>
        <v>X</v>
      </c>
      <c r="N37" s="41" t="str">
        <f>+IF(L37=18000," ","X")</f>
        <v>X</v>
      </c>
      <c r="X37">
        <v>23100</v>
      </c>
    </row>
    <row r="38" spans="2:24" ht="22" customHeight="1" thickBot="1" x14ac:dyDescent="0.3">
      <c r="B38" s="1" t="s">
        <v>91</v>
      </c>
      <c r="C38" s="3"/>
      <c r="D38" s="3"/>
      <c r="E38" s="3"/>
      <c r="X38">
        <v>8000</v>
      </c>
    </row>
    <row r="39" spans="2:24" ht="22" thickBot="1" x14ac:dyDescent="0.3">
      <c r="C39" s="8"/>
      <c r="D39" s="8"/>
      <c r="I39" s="37"/>
      <c r="J39" s="8" t="str">
        <f>K39</f>
        <v>X</v>
      </c>
      <c r="K39" s="17" t="str">
        <f>+IF(I39="Cash Paid--Construction of Building"," ","X")</f>
        <v>X</v>
      </c>
      <c r="L39" s="42"/>
      <c r="M39" s="43" t="str">
        <f>N39</f>
        <v>X</v>
      </c>
      <c r="N39" s="43" t="str">
        <f>+IF(L39=-116000," ","X")</f>
        <v>X</v>
      </c>
      <c r="O39" s="55"/>
      <c r="P39" s="40"/>
      <c r="X39">
        <v>-15000</v>
      </c>
    </row>
    <row r="40" spans="2:24" ht="22" thickBot="1" x14ac:dyDescent="0.3">
      <c r="B40" s="1" t="s">
        <v>92</v>
      </c>
      <c r="C40" s="3"/>
      <c r="D40" s="3"/>
      <c r="X40">
        <v>7400</v>
      </c>
    </row>
    <row r="41" spans="2:24" ht="22" customHeight="1" thickBot="1" x14ac:dyDescent="0.3">
      <c r="C41" s="2"/>
      <c r="D41" s="2"/>
      <c r="I41" s="37"/>
      <c r="J41" s="8" t="str">
        <f>K41</f>
        <v>X</v>
      </c>
      <c r="K41" s="17" t="str">
        <f>+IF(I41="Cash receipts from Sale of Land"," ","X")</f>
        <v>X</v>
      </c>
      <c r="L41" s="42"/>
      <c r="M41" s="45" t="str">
        <f>N41</f>
        <v>X</v>
      </c>
      <c r="N41" s="43" t="str">
        <f>+IF(L41=64200," ","X")</f>
        <v>X</v>
      </c>
      <c r="O41" s="46"/>
      <c r="P41" s="56"/>
      <c r="X41">
        <v>-7100</v>
      </c>
    </row>
    <row r="42" spans="2:24" ht="22" customHeight="1" thickBot="1" x14ac:dyDescent="0.3">
      <c r="B42" s="1" t="s">
        <v>93</v>
      </c>
      <c r="C42" s="3"/>
      <c r="D42" s="3"/>
      <c r="X42">
        <v>-410</v>
      </c>
    </row>
    <row r="43" spans="2:24" ht="22" thickBot="1" x14ac:dyDescent="0.3">
      <c r="I43" s="38"/>
      <c r="J43" s="8" t="str">
        <f>K43</f>
        <v>X</v>
      </c>
      <c r="K43" s="17" t="str">
        <f>+IF(I43="Net Cash Used by Investing Activities"," ","X")</f>
        <v>X</v>
      </c>
      <c r="O43" s="42"/>
      <c r="P43" s="40" t="str">
        <f>Q43</f>
        <v>X</v>
      </c>
      <c r="Q43" s="17" t="str">
        <f>+IF(O43=-33800," ","X")</f>
        <v>X</v>
      </c>
      <c r="X43">
        <v>-3200</v>
      </c>
    </row>
    <row r="44" spans="2:24" x14ac:dyDescent="0.25">
      <c r="Q44" s="17"/>
      <c r="X44">
        <v>2200</v>
      </c>
    </row>
    <row r="45" spans="2:24" ht="22" customHeight="1" x14ac:dyDescent="0.25">
      <c r="B45" s="25" t="s">
        <v>80</v>
      </c>
      <c r="C45" s="25"/>
      <c r="D45" s="25"/>
      <c r="X45">
        <v>-500</v>
      </c>
    </row>
    <row r="46" spans="2:24" x14ac:dyDescent="0.25">
      <c r="B46" s="25" t="s">
        <v>48</v>
      </c>
      <c r="C46" s="25"/>
      <c r="D46" s="25"/>
      <c r="I46" s="13" t="s">
        <v>16</v>
      </c>
      <c r="J46" s="18"/>
    </row>
    <row r="47" spans="2:24" ht="22" thickBot="1" x14ac:dyDescent="0.3">
      <c r="B47" s="26" t="s">
        <v>49</v>
      </c>
      <c r="C47" s="26"/>
      <c r="D47" s="26"/>
      <c r="Q47" s="17"/>
    </row>
    <row r="48" spans="2:24" ht="22" thickBot="1" x14ac:dyDescent="0.3">
      <c r="C48" s="23" t="s">
        <v>55</v>
      </c>
      <c r="D48" s="23" t="s">
        <v>56</v>
      </c>
      <c r="I48" s="37"/>
      <c r="J48" s="8" t="str">
        <f>K48</f>
        <v>X</v>
      </c>
      <c r="K48" s="17" t="str">
        <f>+IF(I48="Cash Received--Issue of Mortgage Note Payable"," ","X")</f>
        <v>X</v>
      </c>
      <c r="L48" s="42"/>
      <c r="M48" s="43" t="str">
        <f>N48</f>
        <v>X</v>
      </c>
      <c r="N48" s="41" t="str">
        <f>+IF(L48=30000," ","X")</f>
        <v>X</v>
      </c>
    </row>
    <row r="49" spans="2:17" ht="22" thickBot="1" x14ac:dyDescent="0.3">
      <c r="B49" s="5" t="s">
        <v>50</v>
      </c>
      <c r="C49" s="36">
        <v>133640</v>
      </c>
      <c r="D49" s="36">
        <v>95700</v>
      </c>
      <c r="E49" s="54"/>
      <c r="Q49" s="17"/>
    </row>
    <row r="50" spans="2:17" ht="22" thickBot="1" x14ac:dyDescent="0.3">
      <c r="B50" s="5" t="s">
        <v>51</v>
      </c>
      <c r="C50" s="36">
        <v>95100</v>
      </c>
      <c r="D50" s="36">
        <v>102500</v>
      </c>
      <c r="E50" s="54"/>
      <c r="I50" s="37"/>
      <c r="J50" s="8" t="str">
        <f>K50</f>
        <v>X</v>
      </c>
      <c r="K50" s="17" t="str">
        <f>+IF(I50="Cash payment--dividends"," ","X")</f>
        <v>X</v>
      </c>
      <c r="L50" s="42"/>
      <c r="M50" s="44" t="str">
        <f>N50</f>
        <v>X</v>
      </c>
      <c r="N50" s="43" t="str">
        <f>+IF(L50=-75650," ","X")</f>
        <v>X</v>
      </c>
      <c r="O50" s="46"/>
      <c r="P50" s="40"/>
    </row>
    <row r="51" spans="2:17" ht="22" thickBot="1" x14ac:dyDescent="0.3">
      <c r="B51" s="5" t="s">
        <v>52</v>
      </c>
      <c r="C51" s="36">
        <v>165300</v>
      </c>
      <c r="D51" s="36">
        <v>158200</v>
      </c>
      <c r="E51" s="54"/>
    </row>
    <row r="52" spans="2:17" ht="22" thickBot="1" x14ac:dyDescent="0.3">
      <c r="B52" s="5" t="s">
        <v>94</v>
      </c>
      <c r="C52" s="36">
        <v>6240</v>
      </c>
      <c r="D52" s="36">
        <v>5830</v>
      </c>
      <c r="E52" s="54"/>
      <c r="I52" s="38"/>
      <c r="J52" s="8" t="str">
        <f>K52</f>
        <v>X</v>
      </c>
      <c r="K52" s="17" t="str">
        <f>+IF(I52="Net Cash Used by Financing Activities"," ","X")</f>
        <v>X</v>
      </c>
      <c r="O52" s="42"/>
      <c r="P52" s="40" t="str">
        <f>Q52</f>
        <v>X</v>
      </c>
      <c r="Q52" s="17" t="str">
        <f>+IF(O52=-45650," ","X")</f>
        <v>X</v>
      </c>
    </row>
    <row r="53" spans="2:17" x14ac:dyDescent="0.25">
      <c r="B53" s="5" t="s">
        <v>98</v>
      </c>
      <c r="C53" s="36">
        <v>35400</v>
      </c>
      <c r="D53" s="36">
        <v>84600</v>
      </c>
      <c r="E53" s="54"/>
    </row>
    <row r="54" spans="2:17" ht="22" thickBot="1" x14ac:dyDescent="0.3">
      <c r="B54" s="5" t="s">
        <v>53</v>
      </c>
      <c r="C54" s="36">
        <v>43400</v>
      </c>
      <c r="D54" s="36">
        <v>46600</v>
      </c>
      <c r="E54" s="54"/>
    </row>
    <row r="55" spans="2:17" ht="22" thickBot="1" x14ac:dyDescent="0.3">
      <c r="B55" s="5" t="s">
        <v>54</v>
      </c>
      <c r="C55" s="36">
        <v>15000</v>
      </c>
      <c r="D55" s="36">
        <v>12800</v>
      </c>
      <c r="E55" s="54"/>
      <c r="I55" s="13" t="s">
        <v>17</v>
      </c>
      <c r="J55" s="18"/>
      <c r="O55" s="42"/>
      <c r="P55" s="40" t="str">
        <f>Q55</f>
        <v>X</v>
      </c>
      <c r="Q55" s="17" t="str">
        <f>+IF(O55=37940," ","X")</f>
        <v>X</v>
      </c>
    </row>
    <row r="56" spans="2:17" ht="22" thickBot="1" x14ac:dyDescent="0.3">
      <c r="B56" s="5" t="s">
        <v>95</v>
      </c>
      <c r="C56" s="36">
        <v>8100</v>
      </c>
      <c r="D56" s="36">
        <v>8600</v>
      </c>
      <c r="E56" s="54"/>
    </row>
    <row r="57" spans="2:17" ht="22" thickBot="1" x14ac:dyDescent="0.3">
      <c r="B57" s="5" t="s">
        <v>96</v>
      </c>
      <c r="C57" s="36">
        <v>14000</v>
      </c>
      <c r="D57" s="36">
        <v>15000</v>
      </c>
      <c r="E57" s="54"/>
      <c r="I57" s="38"/>
      <c r="J57" s="8" t="str">
        <f>K57</f>
        <v>X</v>
      </c>
      <c r="K57" s="17" t="str">
        <f>+IF(I57="Cash Balance at the beginning of the year"," ","X")</f>
        <v>X</v>
      </c>
      <c r="O57" s="42"/>
      <c r="P57" s="40" t="str">
        <f>Q57</f>
        <v>X</v>
      </c>
      <c r="Q57" s="17" t="str">
        <f>+IF(O57=95700," ","X")</f>
        <v>X</v>
      </c>
    </row>
    <row r="58" spans="2:17" ht="22" thickBot="1" x14ac:dyDescent="0.3"/>
    <row r="59" spans="2:17" ht="22" thickBot="1" x14ac:dyDescent="0.3">
      <c r="I59" s="13" t="s">
        <v>24</v>
      </c>
      <c r="J59" s="18"/>
      <c r="O59" s="42"/>
      <c r="P59" s="40" t="str">
        <f>Q59</f>
        <v>X</v>
      </c>
      <c r="Q59" s="17" t="str">
        <f>+IF(O59=133640," ","X")</f>
        <v>X</v>
      </c>
    </row>
    <row r="61" spans="2:17" x14ac:dyDescent="0.25">
      <c r="I61" s="13" t="s">
        <v>97</v>
      </c>
    </row>
    <row r="62" spans="2:17" ht="22" thickBot="1" x14ac:dyDescent="0.3"/>
    <row r="63" spans="2:17" ht="22" thickBot="1" x14ac:dyDescent="0.3">
      <c r="I63" s="37"/>
      <c r="J63" s="8" t="str">
        <f>K63</f>
        <v>X</v>
      </c>
      <c r="K63" s="17" t="str">
        <f>+IF(I63="Issue of Common Stock to Retire Bond Payable"," ","X")</f>
        <v>X</v>
      </c>
      <c r="M63" s="28"/>
      <c r="O63" s="42"/>
      <c r="P63" s="40" t="str">
        <f>Q63</f>
        <v>X</v>
      </c>
      <c r="Q63" s="17" t="str">
        <f>+IF(O63=50000," ","X")</f>
        <v>X</v>
      </c>
    </row>
    <row r="65" spans="9:17" ht="22" thickBot="1" x14ac:dyDescent="0.3">
      <c r="I65" s="13" t="s">
        <v>67</v>
      </c>
      <c r="O65" s="47"/>
      <c r="P65" s="40" t="str">
        <f>Q55</f>
        <v>X</v>
      </c>
      <c r="Q65" s="17" t="str">
        <f>+IF(O65=50000," ","X")</f>
        <v>X</v>
      </c>
    </row>
    <row r="66" spans="9:17" ht="22" thickTop="1" x14ac:dyDescent="0.25"/>
    <row r="73" spans="9:17" x14ac:dyDescent="0.25">
      <c r="I73" s="13"/>
    </row>
  </sheetData>
  <mergeCells count="10">
    <mergeCell ref="B45:D45"/>
    <mergeCell ref="B46:D46"/>
    <mergeCell ref="B47:D47"/>
    <mergeCell ref="B7:D7"/>
    <mergeCell ref="B2:E3"/>
    <mergeCell ref="I2:P2"/>
    <mergeCell ref="I3:P3"/>
    <mergeCell ref="I4:P4"/>
    <mergeCell ref="B5:D5"/>
    <mergeCell ref="B6:D6"/>
  </mergeCells>
  <conditionalFormatting sqref="Q8 M32 M72:M1048576 M5:M13 M35:M40 M43:M47 M50:M59 M18:M25">
    <cfRule type="containsText" dxfId="45" priority="46" operator="containsText" text="x">
      <formula>NOT(ISERROR(SEARCH("x",M5)))</formula>
    </cfRule>
  </conditionalFormatting>
  <conditionalFormatting sqref="Q19">
    <cfRule type="containsText" dxfId="44" priority="45" operator="containsText" text="x">
      <formula>NOT(ISERROR(SEARCH("x",Q19)))</formula>
    </cfRule>
  </conditionalFormatting>
  <conditionalFormatting sqref="Q32">
    <cfRule type="containsText" dxfId="43" priority="44" operator="containsText" text="x">
      <formula>NOT(ISERROR(SEARCH("x",Q32)))</formula>
    </cfRule>
  </conditionalFormatting>
  <conditionalFormatting sqref="Q43">
    <cfRule type="containsText" dxfId="42" priority="43" operator="containsText" text="x">
      <formula>NOT(ISERROR(SEARCH("x",Q43)))</formula>
    </cfRule>
  </conditionalFormatting>
  <conditionalFormatting sqref="Q44">
    <cfRule type="containsText" dxfId="41" priority="42" operator="containsText" text="x">
      <formula>NOT(ISERROR(SEARCH("x",Q44)))</formula>
    </cfRule>
  </conditionalFormatting>
  <conditionalFormatting sqref="Q47">
    <cfRule type="containsText" dxfId="40" priority="41" operator="containsText" text="x">
      <formula>NOT(ISERROR(SEARCH("x",Q47)))</formula>
    </cfRule>
  </conditionalFormatting>
  <conditionalFormatting sqref="Q49">
    <cfRule type="containsText" dxfId="39" priority="40" operator="containsText" text="x">
      <formula>NOT(ISERROR(SEARCH("x",Q49)))</formula>
    </cfRule>
  </conditionalFormatting>
  <conditionalFormatting sqref="J1 J25 P32 J72:J1048576 P72:P1048576 J35:J40 J44:J47 J53:J59 P5:P13 P18:P25 J5:J13 J18:J19 P35:P40 P43:P47 J51 P50:P59 J21:J22">
    <cfRule type="containsText" dxfId="38" priority="38" operator="containsText" text="X">
      <formula>NOT(ISERROR(SEARCH("X",J1)))</formula>
    </cfRule>
  </conditionalFormatting>
  <conditionalFormatting sqref="M1">
    <cfRule type="containsText" dxfId="37" priority="37" operator="containsText" text="x">
      <formula>NOT(ISERROR(SEARCH("x",M1)))</formula>
    </cfRule>
  </conditionalFormatting>
  <conditionalFormatting sqref="P1">
    <cfRule type="containsText" dxfId="36" priority="36" operator="containsText" text="X">
      <formula>NOT(ISERROR(SEARCH("X",P1)))</formula>
    </cfRule>
  </conditionalFormatting>
  <conditionalFormatting sqref="J24">
    <cfRule type="containsText" dxfId="34" priority="34" operator="containsText" text="X">
      <formula>NOT(ISERROR(SEARCH("X",J24)))</formula>
    </cfRule>
  </conditionalFormatting>
  <conditionalFormatting sqref="M26">
    <cfRule type="containsText" dxfId="33" priority="33" operator="containsText" text="x">
      <formula>NOT(ISERROR(SEARCH("x",M26)))</formula>
    </cfRule>
  </conditionalFormatting>
  <conditionalFormatting sqref="J26">
    <cfRule type="containsText" dxfId="32" priority="32" operator="containsText" text="X">
      <formula>NOT(ISERROR(SEARCH("X",J26)))</formula>
    </cfRule>
  </conditionalFormatting>
  <conditionalFormatting sqref="M48">
    <cfRule type="containsText" dxfId="31" priority="31" operator="containsText" text="x">
      <formula>NOT(ISERROR(SEARCH("x",M48)))</formula>
    </cfRule>
  </conditionalFormatting>
  <conditionalFormatting sqref="J48">
    <cfRule type="containsText" dxfId="30" priority="30" operator="containsText" text="X">
      <formula>NOT(ISERROR(SEARCH("X",J48)))</formula>
    </cfRule>
  </conditionalFormatting>
  <conditionalFormatting sqref="J63">
    <cfRule type="containsText" dxfId="29" priority="29" operator="containsText" text="X">
      <formula>NOT(ISERROR(SEARCH("X",J63)))</formula>
    </cfRule>
  </conditionalFormatting>
  <conditionalFormatting sqref="Q52">
    <cfRule type="containsText" dxfId="28" priority="28" operator="containsText" text="x">
      <formula>NOT(ISERROR(SEARCH("x",Q52)))</formula>
    </cfRule>
  </conditionalFormatting>
  <conditionalFormatting sqref="Q55">
    <cfRule type="containsText" dxfId="26" priority="26" operator="containsText" text="x">
      <formula>NOT(ISERROR(SEARCH("x",Q55)))</formula>
    </cfRule>
  </conditionalFormatting>
  <conditionalFormatting sqref="P65">
    <cfRule type="containsText" dxfId="25" priority="25" operator="containsText" text="X">
      <formula>NOT(ISERROR(SEARCH("X",P65)))</formula>
    </cfRule>
  </conditionalFormatting>
  <conditionalFormatting sqref="J32">
    <cfRule type="containsText" dxfId="24" priority="24" operator="containsText" text="X">
      <formula>NOT(ISERROR(SEARCH("X",J32)))</formula>
    </cfRule>
  </conditionalFormatting>
  <conditionalFormatting sqref="J43">
    <cfRule type="containsText" dxfId="23" priority="23" operator="containsText" text="X">
      <formula>NOT(ISERROR(SEARCH("X",J43)))</formula>
    </cfRule>
  </conditionalFormatting>
  <conditionalFormatting sqref="J52">
    <cfRule type="containsText" dxfId="22" priority="22" operator="containsText" text="X">
      <formula>NOT(ISERROR(SEARCH("X",J52)))</formula>
    </cfRule>
  </conditionalFormatting>
  <conditionalFormatting sqref="J14">
    <cfRule type="containsText" dxfId="20" priority="20" operator="containsText" text="X">
      <formula>NOT(ISERROR(SEARCH("X",J14)))</formula>
    </cfRule>
  </conditionalFormatting>
  <conditionalFormatting sqref="J16">
    <cfRule type="containsText" dxfId="18" priority="18" operator="containsText" text="X">
      <formula>NOT(ISERROR(SEARCH("X",J16)))</formula>
    </cfRule>
  </conditionalFormatting>
  <conditionalFormatting sqref="M28">
    <cfRule type="containsText" dxfId="17" priority="17" operator="containsText" text="x">
      <formula>NOT(ISERROR(SEARCH("x",M28)))</formula>
    </cfRule>
  </conditionalFormatting>
  <conditionalFormatting sqref="M30">
    <cfRule type="containsText" dxfId="15" priority="15" operator="containsText" text="x">
      <formula>NOT(ISERROR(SEARCH("x",M30)))</formula>
    </cfRule>
  </conditionalFormatting>
  <conditionalFormatting sqref="J30">
    <cfRule type="containsText" dxfId="14" priority="14" operator="containsText" text="X">
      <formula>NOT(ISERROR(SEARCH("X",J30)))</formula>
    </cfRule>
  </conditionalFormatting>
  <conditionalFormatting sqref="M41">
    <cfRule type="containsText" dxfId="13" priority="13" operator="containsText" text="x">
      <formula>NOT(ISERROR(SEARCH("x",M41)))</formula>
    </cfRule>
  </conditionalFormatting>
  <conditionalFormatting sqref="J41">
    <cfRule type="containsText" dxfId="12" priority="12" operator="containsText" text="X">
      <formula>NOT(ISERROR(SEARCH("X",J41)))</formula>
    </cfRule>
  </conditionalFormatting>
  <conditionalFormatting sqref="Q57">
    <cfRule type="containsText" dxfId="11" priority="11" operator="containsText" text="x">
      <formula>NOT(ISERROR(SEARCH("x",Q57)))</formula>
    </cfRule>
  </conditionalFormatting>
  <conditionalFormatting sqref="Q59">
    <cfRule type="containsText" dxfId="10" priority="10" operator="containsText" text="x">
      <formula>NOT(ISERROR(SEARCH("x",Q59)))</formula>
    </cfRule>
  </conditionalFormatting>
  <conditionalFormatting sqref="Q63">
    <cfRule type="containsText" dxfId="9" priority="9" operator="containsText" text="x">
      <formula>NOT(ISERROR(SEARCH("x",Q63)))</formula>
    </cfRule>
  </conditionalFormatting>
  <conditionalFormatting sqref="Q65">
    <cfRule type="containsText" dxfId="8" priority="8" operator="containsText" text="x">
      <formula>NOT(ISERROR(SEARCH("x",Q65)))</formula>
    </cfRule>
  </conditionalFormatting>
  <conditionalFormatting sqref="M14">
    <cfRule type="containsText" dxfId="7" priority="7" operator="containsText" text="x">
      <formula>NOT(ISERROR(SEARCH("x",M14)))</formula>
    </cfRule>
  </conditionalFormatting>
  <conditionalFormatting sqref="M16">
    <cfRule type="containsText" dxfId="5" priority="6" operator="containsText" text="x">
      <formula>NOT(ISERROR(SEARCH("x",M16)))</formula>
    </cfRule>
  </conditionalFormatting>
  <conditionalFormatting sqref="J20">
    <cfRule type="containsText" dxfId="4" priority="5" operator="containsText" text="X">
      <formula>NOT(ISERROR(SEARCH("X",J20)))</formula>
    </cfRule>
  </conditionalFormatting>
  <conditionalFormatting sqref="J28">
    <cfRule type="containsText" dxfId="2" priority="3" operator="containsText" text="X">
      <formula>NOT(ISERROR(SEARCH("X",J28)))</formula>
    </cfRule>
  </conditionalFormatting>
  <conditionalFormatting sqref="J50">
    <cfRule type="containsText" dxfId="1" priority="2" operator="containsText" text="X">
      <formula>NOT(ISERROR(SEARCH("X",J50)))</formula>
    </cfRule>
  </conditionalFormatting>
  <conditionalFormatting sqref="P63">
    <cfRule type="containsText" dxfId="0" priority="1" operator="containsText" text="X">
      <formula>NOT(ISERROR(SEARCH("X",P63)))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FB5B5751-D89C-1F47-AFA8-44C63C0E1DA8}">
          <x14:formula1>
            <xm:f>P!$B$54:$B$82</xm:f>
          </x14:formula1>
          <xm:sqref>I32 I37 I39 I41 I43 I48 I50 I52 I57 I30 I63</xm:sqref>
        </x14:dataValidation>
        <x14:dataValidation type="list" allowBlank="1" showInputMessage="1" showErrorMessage="1" xr:uid="{624E6227-D89B-5C4A-819E-EDB4F9B7B392}">
          <x14:formula1>
            <xm:f>P!$B$54:$B$84</xm:f>
          </x14:formula1>
          <xm:sqref>I28 I26 I24 I22 I20 I16 I14 I12 I8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34568-20C0-6A44-BB0E-4C1295AB20ED}">
  <dimension ref="A1"/>
  <sheetViews>
    <sheetView topLeftCell="A2" workbookViewId="0">
      <selection activeCell="O9" sqref="O9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5681-16D5-A347-B755-D6AD4C96A5FF}">
  <dimension ref="B3:C84"/>
  <sheetViews>
    <sheetView topLeftCell="A54" workbookViewId="0">
      <selection activeCell="F76" sqref="F76"/>
    </sheetView>
  </sheetViews>
  <sheetFormatPr baseColWidth="10" defaultRowHeight="16" x14ac:dyDescent="0.2"/>
  <cols>
    <col min="2" max="2" width="41.1640625" bestFit="1" customWidth="1"/>
  </cols>
  <sheetData>
    <row r="3" spans="2:3" x14ac:dyDescent="0.2">
      <c r="B3" t="s">
        <v>18</v>
      </c>
    </row>
    <row r="4" spans="2:3" x14ac:dyDescent="0.2">
      <c r="B4" t="s">
        <v>3</v>
      </c>
    </row>
    <row r="5" spans="2:3" x14ac:dyDescent="0.2">
      <c r="B5" t="s">
        <v>5</v>
      </c>
    </row>
    <row r="6" spans="2:3" x14ac:dyDescent="0.2">
      <c r="B6" t="s">
        <v>4</v>
      </c>
    </row>
    <row r="7" spans="2:3" x14ac:dyDescent="0.2">
      <c r="B7" t="s">
        <v>19</v>
      </c>
    </row>
    <row r="8" spans="2:3" x14ac:dyDescent="0.2">
      <c r="B8" t="s">
        <v>20</v>
      </c>
    </row>
    <row r="9" spans="2:3" x14ac:dyDescent="0.2">
      <c r="B9" t="s">
        <v>6</v>
      </c>
    </row>
    <row r="10" spans="2:3" x14ac:dyDescent="0.2">
      <c r="B10" t="s">
        <v>22</v>
      </c>
    </row>
    <row r="11" spans="2:3" x14ac:dyDescent="0.2">
      <c r="B11" t="s">
        <v>7</v>
      </c>
    </row>
    <row r="12" spans="2:3" x14ac:dyDescent="0.2">
      <c r="B12" t="s">
        <v>21</v>
      </c>
    </row>
    <row r="13" spans="2:3" x14ac:dyDescent="0.2">
      <c r="B13" t="s">
        <v>72</v>
      </c>
    </row>
    <row r="14" spans="2:3" x14ac:dyDescent="0.2">
      <c r="B14" t="s">
        <v>70</v>
      </c>
    </row>
    <row r="15" spans="2:3" x14ac:dyDescent="0.2">
      <c r="B15" t="s">
        <v>68</v>
      </c>
      <c r="C15" s="15"/>
    </row>
    <row r="16" spans="2:3" x14ac:dyDescent="0.2">
      <c r="B16" t="s">
        <v>73</v>
      </c>
      <c r="C16" s="16"/>
    </row>
    <row r="17" spans="2:2" x14ac:dyDescent="0.2">
      <c r="B17" t="s">
        <v>71</v>
      </c>
    </row>
    <row r="18" spans="2:2" x14ac:dyDescent="0.2">
      <c r="B18" t="s">
        <v>69</v>
      </c>
    </row>
    <row r="19" spans="2:2" x14ac:dyDescent="0.2">
      <c r="B19" t="s">
        <v>23</v>
      </c>
    </row>
    <row r="26" spans="2:2" x14ac:dyDescent="0.2">
      <c r="B26" t="s">
        <v>58</v>
      </c>
    </row>
    <row r="27" spans="2:2" x14ac:dyDescent="0.2">
      <c r="B27" t="s">
        <v>57</v>
      </c>
    </row>
    <row r="28" spans="2:2" x14ac:dyDescent="0.2">
      <c r="B28" t="s">
        <v>78</v>
      </c>
    </row>
    <row r="29" spans="2:2" x14ac:dyDescent="0.2">
      <c r="B29" t="s">
        <v>59</v>
      </c>
    </row>
    <row r="30" spans="2:2" x14ac:dyDescent="0.2">
      <c r="B30" t="s">
        <v>60</v>
      </c>
    </row>
    <row r="31" spans="2:2" x14ac:dyDescent="0.2">
      <c r="B31" t="s">
        <v>61</v>
      </c>
    </row>
    <row r="32" spans="2:2" x14ac:dyDescent="0.2">
      <c r="B32" t="s">
        <v>62</v>
      </c>
    </row>
    <row r="33" spans="2:2" x14ac:dyDescent="0.2">
      <c r="B33" t="s">
        <v>77</v>
      </c>
    </row>
    <row r="34" spans="2:2" x14ac:dyDescent="0.2">
      <c r="B34" t="s">
        <v>63</v>
      </c>
    </row>
    <row r="35" spans="2:2" x14ac:dyDescent="0.2">
      <c r="B35" t="s">
        <v>64</v>
      </c>
    </row>
    <row r="36" spans="2:2" x14ac:dyDescent="0.2">
      <c r="B36" t="s">
        <v>76</v>
      </c>
    </row>
    <row r="37" spans="2:2" x14ac:dyDescent="0.2">
      <c r="B37" t="s">
        <v>2</v>
      </c>
    </row>
    <row r="38" spans="2:2" x14ac:dyDescent="0.2">
      <c r="B38" t="s">
        <v>65</v>
      </c>
    </row>
    <row r="39" spans="2:2" x14ac:dyDescent="0.2">
      <c r="B39" t="s">
        <v>74</v>
      </c>
    </row>
    <row r="40" spans="2:2" x14ac:dyDescent="0.2">
      <c r="B40" t="s">
        <v>75</v>
      </c>
    </row>
    <row r="41" spans="2:2" x14ac:dyDescent="0.2">
      <c r="B41" t="s">
        <v>66</v>
      </c>
    </row>
    <row r="42" spans="2:2" x14ac:dyDescent="0.2">
      <c r="B42" t="s">
        <v>72</v>
      </c>
    </row>
    <row r="43" spans="2:2" x14ac:dyDescent="0.2">
      <c r="B43" t="s">
        <v>70</v>
      </c>
    </row>
    <row r="44" spans="2:2" x14ac:dyDescent="0.2">
      <c r="B44" t="s">
        <v>68</v>
      </c>
    </row>
    <row r="45" spans="2:2" x14ac:dyDescent="0.2">
      <c r="B45" t="s">
        <v>73</v>
      </c>
    </row>
    <row r="46" spans="2:2" x14ac:dyDescent="0.2">
      <c r="B46" t="s">
        <v>71</v>
      </c>
    </row>
    <row r="47" spans="2:2" x14ac:dyDescent="0.2">
      <c r="B47" t="s">
        <v>69</v>
      </c>
    </row>
    <row r="48" spans="2:2" x14ac:dyDescent="0.2">
      <c r="B48" t="s">
        <v>23</v>
      </c>
    </row>
    <row r="55" spans="2:2" x14ac:dyDescent="0.2">
      <c r="B55" t="s">
        <v>78</v>
      </c>
    </row>
    <row r="56" spans="2:2" x14ac:dyDescent="0.2">
      <c r="B56" t="s">
        <v>99</v>
      </c>
    </row>
    <row r="57" spans="2:2" x14ac:dyDescent="0.2">
      <c r="B57" t="s">
        <v>59</v>
      </c>
    </row>
    <row r="58" spans="2:2" x14ac:dyDescent="0.2">
      <c r="B58" t="s">
        <v>60</v>
      </c>
    </row>
    <row r="59" spans="2:2" x14ac:dyDescent="0.2">
      <c r="B59" t="s">
        <v>101</v>
      </c>
    </row>
    <row r="60" spans="2:2" x14ac:dyDescent="0.2">
      <c r="B60" t="s">
        <v>109</v>
      </c>
    </row>
    <row r="61" spans="2:2" x14ac:dyDescent="0.2">
      <c r="B61" t="s">
        <v>100</v>
      </c>
    </row>
    <row r="62" spans="2:2" x14ac:dyDescent="0.2">
      <c r="B62" t="s">
        <v>77</v>
      </c>
    </row>
    <row r="63" spans="2:2" x14ac:dyDescent="0.2">
      <c r="B63" t="s">
        <v>63</v>
      </c>
    </row>
    <row r="64" spans="2:2" x14ac:dyDescent="0.2">
      <c r="B64" t="s">
        <v>64</v>
      </c>
    </row>
    <row r="65" spans="2:2" x14ac:dyDescent="0.2">
      <c r="B65" t="s">
        <v>76</v>
      </c>
    </row>
    <row r="66" spans="2:2" x14ac:dyDescent="0.2">
      <c r="B66" t="s">
        <v>108</v>
      </c>
    </row>
    <row r="67" spans="2:2" x14ac:dyDescent="0.2">
      <c r="B67" t="s">
        <v>107</v>
      </c>
    </row>
    <row r="68" spans="2:2" x14ac:dyDescent="0.2">
      <c r="B68" t="s">
        <v>2</v>
      </c>
    </row>
    <row r="69" spans="2:2" x14ac:dyDescent="0.2">
      <c r="B69" t="s">
        <v>103</v>
      </c>
    </row>
    <row r="70" spans="2:2" x14ac:dyDescent="0.2">
      <c r="B70" t="s">
        <v>65</v>
      </c>
    </row>
    <row r="71" spans="2:2" x14ac:dyDescent="0.2">
      <c r="B71" t="s">
        <v>74</v>
      </c>
    </row>
    <row r="72" spans="2:2" x14ac:dyDescent="0.2">
      <c r="B72" t="s">
        <v>75</v>
      </c>
    </row>
    <row r="73" spans="2:2" x14ac:dyDescent="0.2">
      <c r="B73" t="s">
        <v>66</v>
      </c>
    </row>
    <row r="74" spans="2:2" x14ac:dyDescent="0.2">
      <c r="B74" t="s">
        <v>102</v>
      </c>
    </row>
    <row r="75" spans="2:2" x14ac:dyDescent="0.2">
      <c r="B75" t="s">
        <v>106</v>
      </c>
    </row>
    <row r="76" spans="2:2" x14ac:dyDescent="0.2">
      <c r="B76" t="s">
        <v>105</v>
      </c>
    </row>
    <row r="77" spans="2:2" x14ac:dyDescent="0.2">
      <c r="B77" t="s">
        <v>72</v>
      </c>
    </row>
    <row r="78" spans="2:2" x14ac:dyDescent="0.2">
      <c r="B78" t="s">
        <v>70</v>
      </c>
    </row>
    <row r="79" spans="2:2" x14ac:dyDescent="0.2">
      <c r="B79" t="s">
        <v>68</v>
      </c>
    </row>
    <row r="80" spans="2:2" x14ac:dyDescent="0.2">
      <c r="B80" t="s">
        <v>73</v>
      </c>
    </row>
    <row r="81" spans="2:2" x14ac:dyDescent="0.2">
      <c r="B81" t="s">
        <v>71</v>
      </c>
    </row>
    <row r="82" spans="2:2" x14ac:dyDescent="0.2">
      <c r="B82" t="s">
        <v>69</v>
      </c>
    </row>
    <row r="83" spans="2:2" x14ac:dyDescent="0.2">
      <c r="B83" t="s">
        <v>23</v>
      </c>
    </row>
    <row r="84" spans="2:2" x14ac:dyDescent="0.2">
      <c r="B84" t="s">
        <v>104</v>
      </c>
    </row>
  </sheetData>
  <sortState xmlns:xlrd2="http://schemas.microsoft.com/office/spreadsheetml/2017/richdata2" ref="B55:B84">
    <sortCondition ref="B55:B8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Crossword Puzzle</vt:lpstr>
      <vt:lpstr>Practice Problem No. 1 </vt:lpstr>
      <vt:lpstr>Practice Problem No. 2</vt:lpstr>
      <vt:lpstr>Practice Problem No. 3</vt:lpstr>
      <vt:lpstr>Crossword Solution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2022-03-27T22:05:19Z</dcterms:created>
  <dcterms:modified xsi:type="dcterms:W3CDTF">2022-03-29T04:01:20Z</dcterms:modified>
</cp:coreProperties>
</file>