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goc\OneDrive\Documentos\Roberto\Universidad\Material\"/>
    </mc:Choice>
  </mc:AlternateContent>
  <xr:revisionPtr revIDLastSave="0" documentId="13_ncr:1_{2B806EC9-C419-4FEC-8793-23D0FF431232}" xr6:coauthVersionLast="45" xr6:coauthVersionMax="45" xr10:uidLastSave="{00000000-0000-0000-0000-000000000000}"/>
  <bookViews>
    <workbookView minimized="1" xWindow="2436" yWindow="2436" windowWidth="7500" windowHeight="6000" tabRatio="644" activeTab="4" xr2:uid="{00000000-000D-0000-FFFF-FFFF00000000}"/>
  </bookViews>
  <sheets>
    <sheet name="Resumen" sheetId="15" r:id="rId1"/>
    <sheet name="Parámetros" sheetId="11" r:id="rId2"/>
    <sheet name="Flujos de EE.RR." sheetId="6" r:id="rId3"/>
    <sheet name="Ingresos" sheetId="8" r:id="rId4"/>
    <sheet name="Balance" sheetId="9" r:id="rId5"/>
    <sheet name="Sueldos" sheetId="7" r:id="rId6"/>
    <sheet name="Betas" sheetId="12" r:id="rId7"/>
    <sheet name="Ejemplo" sheetId="13" r:id="rId8"/>
    <sheet name="Sheet1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6" l="1"/>
  <c r="Q5" i="16"/>
  <c r="O6" i="16"/>
  <c r="O5" i="16"/>
  <c r="N5" i="16"/>
  <c r="J6" i="16"/>
  <c r="N6" i="16"/>
  <c r="H6" i="16"/>
  <c r="J5" i="16"/>
  <c r="K6" i="16" l="1"/>
  <c r="L6" i="16" s="1"/>
  <c r="P6" i="16"/>
  <c r="M8" i="16"/>
  <c r="N8" i="16" s="1"/>
  <c r="M7" i="16"/>
  <c r="N7" i="16" s="1"/>
  <c r="H8" i="16"/>
  <c r="J8" i="16"/>
  <c r="J7" i="16"/>
  <c r="H7" i="16"/>
  <c r="H5" i="16"/>
  <c r="K5" i="16" s="1"/>
  <c r="L5" i="16" s="1"/>
  <c r="O7" i="16" l="1"/>
  <c r="P7" i="16" s="1"/>
  <c r="Q6" i="16"/>
  <c r="R6" i="16" s="1"/>
  <c r="K8" i="16"/>
  <c r="L8" i="16" s="1"/>
  <c r="O8" i="16"/>
  <c r="P8" i="16" s="1"/>
  <c r="K7" i="16"/>
  <c r="L7" i="16" s="1"/>
  <c r="P5" i="16"/>
  <c r="R5" i="16" s="1"/>
  <c r="U5" i="16" s="1"/>
  <c r="CV5" i="8"/>
  <c r="CU6" i="8"/>
  <c r="CV6" i="8" s="1"/>
  <c r="CV7" i="8"/>
  <c r="U6" i="16" l="1"/>
  <c r="S6" i="16"/>
  <c r="Q8" i="16"/>
  <c r="R8" i="16" s="1"/>
  <c r="Q7" i="16"/>
  <c r="R7" i="16" s="1"/>
  <c r="S5" i="16"/>
  <c r="P7" i="8"/>
  <c r="L12" i="11"/>
  <c r="K11" i="11"/>
  <c r="K13" i="11"/>
  <c r="K14" i="11"/>
  <c r="K15" i="11"/>
  <c r="K16" i="11"/>
  <c r="K17" i="11"/>
  <c r="K12" i="11"/>
  <c r="N15" i="15"/>
  <c r="S8" i="16" l="1"/>
  <c r="U8" i="16"/>
  <c r="S7" i="16"/>
  <c r="U7" i="16"/>
  <c r="Q2" i="15"/>
  <c r="R2" i="15"/>
  <c r="S2" i="15"/>
  <c r="P2" i="15"/>
  <c r="E39" i="8"/>
  <c r="F39" i="8"/>
  <c r="G39" i="8"/>
  <c r="H39" i="8"/>
  <c r="I39" i="8"/>
  <c r="J39" i="8"/>
  <c r="K39" i="8"/>
  <c r="L39" i="8"/>
  <c r="M39" i="8"/>
  <c r="N39" i="8"/>
  <c r="O39" i="8"/>
  <c r="D39" i="8"/>
  <c r="BO35" i="8"/>
  <c r="AQ35" i="8"/>
  <c r="E35" i="8"/>
  <c r="F35" i="8"/>
  <c r="G35" i="8"/>
  <c r="H35" i="8"/>
  <c r="I35" i="8"/>
  <c r="J35" i="8"/>
  <c r="K35" i="8"/>
  <c r="L35" i="8"/>
  <c r="M35" i="8"/>
  <c r="N35" i="8"/>
  <c r="O35" i="8"/>
  <c r="D35" i="8"/>
  <c r="E31" i="8"/>
  <c r="F31" i="8"/>
  <c r="G31" i="8"/>
  <c r="H31" i="8"/>
  <c r="I31" i="8"/>
  <c r="J31" i="8"/>
  <c r="K31" i="8"/>
  <c r="L31" i="8"/>
  <c r="M31" i="8"/>
  <c r="N31" i="8"/>
  <c r="O31" i="8"/>
  <c r="D31" i="8"/>
  <c r="E20" i="8"/>
  <c r="F20" i="8"/>
  <c r="G20" i="8"/>
  <c r="H20" i="8"/>
  <c r="I20" i="8"/>
  <c r="J20" i="8"/>
  <c r="K20" i="8"/>
  <c r="L20" i="8"/>
  <c r="M20" i="8"/>
  <c r="N20" i="8"/>
  <c r="O20" i="8"/>
  <c r="D20" i="8"/>
  <c r="E16" i="8"/>
  <c r="F16" i="8"/>
  <c r="G16" i="8"/>
  <c r="H16" i="8"/>
  <c r="I16" i="8"/>
  <c r="J16" i="8"/>
  <c r="K16" i="8"/>
  <c r="L16" i="8"/>
  <c r="M16" i="8"/>
  <c r="N16" i="8"/>
  <c r="O16" i="8"/>
  <c r="D16" i="8"/>
  <c r="L4" i="15"/>
  <c r="N5" i="15" s="1"/>
  <c r="D12" i="11"/>
  <c r="T39" i="8" s="1"/>
  <c r="D11" i="11"/>
  <c r="E11" i="11" s="1"/>
  <c r="F11" i="11" s="1"/>
  <c r="G11" i="11" s="1"/>
  <c r="H11" i="11" s="1"/>
  <c r="I11" i="11" s="1"/>
  <c r="CF35" i="8" s="1"/>
  <c r="D10" i="11"/>
  <c r="S31" i="8" s="1"/>
  <c r="D8" i="11"/>
  <c r="E8" i="11" s="1"/>
  <c r="F8" i="11" s="1"/>
  <c r="G8" i="11" s="1"/>
  <c r="H8" i="11" s="1"/>
  <c r="I8" i="11" s="1"/>
  <c r="CG20" i="8" s="1"/>
  <c r="D7" i="11"/>
  <c r="E7" i="11" s="1"/>
  <c r="F7" i="11" s="1"/>
  <c r="G7" i="11" s="1"/>
  <c r="H7" i="11" s="1"/>
  <c r="I7" i="11" s="1"/>
  <c r="CK16" i="8" s="1"/>
  <c r="D6" i="11"/>
  <c r="E6" i="11" s="1"/>
  <c r="F6" i="11" s="1"/>
  <c r="G6" i="11" s="1"/>
  <c r="H6" i="11" s="1"/>
  <c r="I6" i="11" s="1"/>
  <c r="D5" i="11"/>
  <c r="E5" i="11" s="1"/>
  <c r="F5" i="11" s="1"/>
  <c r="G5" i="11" s="1"/>
  <c r="H5" i="11" s="1"/>
  <c r="I5" i="11" s="1"/>
  <c r="E8" i="8"/>
  <c r="F8" i="8"/>
  <c r="G8" i="8"/>
  <c r="H8" i="8"/>
  <c r="I8" i="8"/>
  <c r="J8" i="8"/>
  <c r="K8" i="8"/>
  <c r="L8" i="8"/>
  <c r="M8" i="8"/>
  <c r="N8" i="8"/>
  <c r="O8" i="8"/>
  <c r="D8" i="8"/>
  <c r="O12" i="8"/>
  <c r="N12" i="8"/>
  <c r="M12" i="8"/>
  <c r="L12" i="8"/>
  <c r="K12" i="8"/>
  <c r="J12" i="8"/>
  <c r="I12" i="8"/>
  <c r="H12" i="8"/>
  <c r="G12" i="8"/>
  <c r="F12" i="8"/>
  <c r="E12" i="8"/>
  <c r="D12" i="8"/>
  <c r="CO63" i="6"/>
  <c r="CO65" i="6" s="1"/>
  <c r="CN63" i="6"/>
  <c r="CN65" i="6" s="1"/>
  <c r="CM63" i="6"/>
  <c r="CM65" i="6" s="1"/>
  <c r="CL63" i="6"/>
  <c r="CL65" i="6" s="1"/>
  <c r="CK63" i="6"/>
  <c r="CK65" i="6" s="1"/>
  <c r="CJ63" i="6"/>
  <c r="CJ65" i="6" s="1"/>
  <c r="CI63" i="6"/>
  <c r="CI65" i="6" s="1"/>
  <c r="CH63" i="6"/>
  <c r="CH65" i="6" s="1"/>
  <c r="CG63" i="6"/>
  <c r="CG65" i="6" s="1"/>
  <c r="CF63" i="6"/>
  <c r="CF65" i="6" s="1"/>
  <c r="CE63" i="6"/>
  <c r="CE65" i="6" s="1"/>
  <c r="CD63" i="6"/>
  <c r="CD65" i="6" s="1"/>
  <c r="CB63" i="6"/>
  <c r="CB65" i="6" s="1"/>
  <c r="CA63" i="6"/>
  <c r="CA65" i="6" s="1"/>
  <c r="BZ63" i="6"/>
  <c r="BZ65" i="6" s="1"/>
  <c r="BY63" i="6"/>
  <c r="BY65" i="6" s="1"/>
  <c r="BX63" i="6"/>
  <c r="BX65" i="6" s="1"/>
  <c r="BW63" i="6"/>
  <c r="BW65" i="6" s="1"/>
  <c r="BV63" i="6"/>
  <c r="BV65" i="6" s="1"/>
  <c r="BU63" i="6"/>
  <c r="BU65" i="6" s="1"/>
  <c r="BT63" i="6"/>
  <c r="BT65" i="6" s="1"/>
  <c r="BS63" i="6"/>
  <c r="BS65" i="6" s="1"/>
  <c r="BR63" i="6"/>
  <c r="BR65" i="6" s="1"/>
  <c r="BQ63" i="6"/>
  <c r="BQ65" i="6" s="1"/>
  <c r="BO63" i="6"/>
  <c r="BO65" i="6" s="1"/>
  <c r="BN63" i="6"/>
  <c r="BN65" i="6" s="1"/>
  <c r="BM63" i="6"/>
  <c r="BM65" i="6" s="1"/>
  <c r="BL63" i="6"/>
  <c r="BL65" i="6" s="1"/>
  <c r="BK63" i="6"/>
  <c r="BK65" i="6" s="1"/>
  <c r="BJ63" i="6"/>
  <c r="BJ65" i="6" s="1"/>
  <c r="BI63" i="6"/>
  <c r="BI65" i="6" s="1"/>
  <c r="BH63" i="6"/>
  <c r="BH65" i="6" s="1"/>
  <c r="BG63" i="6"/>
  <c r="BG65" i="6" s="1"/>
  <c r="BF63" i="6"/>
  <c r="BF65" i="6" s="1"/>
  <c r="BE63" i="6"/>
  <c r="BE65" i="6" s="1"/>
  <c r="BD63" i="6"/>
  <c r="BD65" i="6" s="1"/>
  <c r="BB63" i="6"/>
  <c r="BB65" i="6" s="1"/>
  <c r="BA63" i="6"/>
  <c r="BA65" i="6" s="1"/>
  <c r="AZ63" i="6"/>
  <c r="AZ65" i="6" s="1"/>
  <c r="AY63" i="6"/>
  <c r="AY65" i="6" s="1"/>
  <c r="AX63" i="6"/>
  <c r="AX65" i="6" s="1"/>
  <c r="AW63" i="6"/>
  <c r="AW65" i="6" s="1"/>
  <c r="AV63" i="6"/>
  <c r="AV65" i="6" s="1"/>
  <c r="AU63" i="6"/>
  <c r="AU65" i="6" s="1"/>
  <c r="AT63" i="6"/>
  <c r="AT65" i="6" s="1"/>
  <c r="AS63" i="6"/>
  <c r="AS65" i="6" s="1"/>
  <c r="AR63" i="6"/>
  <c r="AR65" i="6" s="1"/>
  <c r="AQ63" i="6"/>
  <c r="AQ65" i="6" s="1"/>
  <c r="AO63" i="6"/>
  <c r="AO65" i="6" s="1"/>
  <c r="AN63" i="6"/>
  <c r="AN65" i="6" s="1"/>
  <c r="AM63" i="6"/>
  <c r="AM65" i="6" s="1"/>
  <c r="AL63" i="6"/>
  <c r="AL65" i="6" s="1"/>
  <c r="AK63" i="6"/>
  <c r="AK65" i="6" s="1"/>
  <c r="AJ63" i="6"/>
  <c r="AJ65" i="6" s="1"/>
  <c r="AI63" i="6"/>
  <c r="AI65" i="6" s="1"/>
  <c r="AH63" i="6"/>
  <c r="AH65" i="6" s="1"/>
  <c r="AG63" i="6"/>
  <c r="AG65" i="6" s="1"/>
  <c r="AF63" i="6"/>
  <c r="AF65" i="6" s="1"/>
  <c r="AE63" i="6"/>
  <c r="AE65" i="6" s="1"/>
  <c r="AD63" i="6"/>
  <c r="AD65" i="6" s="1"/>
  <c r="E11" i="8"/>
  <c r="F11" i="8"/>
  <c r="G11" i="8"/>
  <c r="H11" i="8"/>
  <c r="I11" i="8"/>
  <c r="J11" i="8"/>
  <c r="K11" i="8"/>
  <c r="L11" i="8"/>
  <c r="M11" i="8"/>
  <c r="N11" i="8"/>
  <c r="O11" i="8"/>
  <c r="D11" i="8"/>
  <c r="CP51" i="6"/>
  <c r="CP37" i="6"/>
  <c r="CC51" i="6"/>
  <c r="CC37" i="6"/>
  <c r="T7" i="8"/>
  <c r="AG7" i="8" s="1"/>
  <c r="AT7" i="8" s="1"/>
  <c r="BG7" i="8" s="1"/>
  <c r="BT7" i="8" s="1"/>
  <c r="BT11" i="8" s="1"/>
  <c r="U7" i="8"/>
  <c r="U11" i="8" s="1"/>
  <c r="V7" i="8"/>
  <c r="AI7" i="8" s="1"/>
  <c r="AV7" i="8" s="1"/>
  <c r="BI7" i="8" s="1"/>
  <c r="BV7" i="8" s="1"/>
  <c r="BV11" i="8" s="1"/>
  <c r="W7" i="8"/>
  <c r="AJ7" i="8" s="1"/>
  <c r="X7" i="8"/>
  <c r="AK7" i="8" s="1"/>
  <c r="AX7" i="8" s="1"/>
  <c r="BK7" i="8" s="1"/>
  <c r="BX7" i="8" s="1"/>
  <c r="BX11" i="8" s="1"/>
  <c r="Y7" i="8"/>
  <c r="AL7" i="8" s="1"/>
  <c r="AY7" i="8" s="1"/>
  <c r="BL7" i="8" s="1"/>
  <c r="BY7" i="8" s="1"/>
  <c r="BY11" i="8" s="1"/>
  <c r="Z7" i="8"/>
  <c r="AM7" i="8" s="1"/>
  <c r="AA7" i="8"/>
  <c r="AN7" i="8" s="1"/>
  <c r="BA7" i="8" s="1"/>
  <c r="BN7" i="8" s="1"/>
  <c r="CA7" i="8" s="1"/>
  <c r="CA11" i="8" s="1"/>
  <c r="AB7" i="8"/>
  <c r="AO7" i="8" s="1"/>
  <c r="BB7" i="8" s="1"/>
  <c r="BO7" i="8" s="1"/>
  <c r="CB7" i="8" s="1"/>
  <c r="CB11" i="8" s="1"/>
  <c r="S7" i="8"/>
  <c r="AF7" i="8" s="1"/>
  <c r="AS7" i="8" s="1"/>
  <c r="BF7" i="8" s="1"/>
  <c r="BS7" i="8" s="1"/>
  <c r="BS11" i="8" s="1"/>
  <c r="R7" i="8"/>
  <c r="AE7" i="8" s="1"/>
  <c r="Q7" i="8"/>
  <c r="Q11" i="8" s="1"/>
  <c r="CP48" i="8"/>
  <c r="CP47" i="8"/>
  <c r="CP46" i="8"/>
  <c r="CP45" i="8"/>
  <c r="CC48" i="8"/>
  <c r="CC47" i="8"/>
  <c r="CC46" i="8"/>
  <c r="CC45" i="8"/>
  <c r="C7" i="13"/>
  <c r="E5" i="13"/>
  <c r="E6" i="13" s="1"/>
  <c r="E7" i="13" s="1"/>
  <c r="F5" i="13"/>
  <c r="F6" i="13" s="1"/>
  <c r="F7" i="13" s="1"/>
  <c r="G5" i="13"/>
  <c r="G6" i="13" s="1"/>
  <c r="G7" i="13" s="1"/>
  <c r="H5" i="13"/>
  <c r="H6" i="13" s="1"/>
  <c r="H7" i="13" s="1"/>
  <c r="D5" i="13"/>
  <c r="D6" i="13" s="1"/>
  <c r="D7" i="13" s="1"/>
  <c r="W65" i="6"/>
  <c r="T31" i="8" l="1"/>
  <c r="X35" i="8"/>
  <c r="Q39" i="8"/>
  <c r="C8" i="13"/>
  <c r="E12" i="11"/>
  <c r="F12" i="11" s="1"/>
  <c r="G12" i="11" s="1"/>
  <c r="H12" i="11" s="1"/>
  <c r="I12" i="11" s="1"/>
  <c r="CK39" i="8" s="1"/>
  <c r="U35" i="8"/>
  <c r="BL35" i="8"/>
  <c r="U39" i="8"/>
  <c r="AA39" i="8"/>
  <c r="AB31" i="8"/>
  <c r="AG35" i="8"/>
  <c r="BU35" i="8"/>
  <c r="AH35" i="8"/>
  <c r="BY35" i="8"/>
  <c r="Z35" i="8"/>
  <c r="AI35" i="8"/>
  <c r="AR35" i="8"/>
  <c r="BZ35" i="8"/>
  <c r="CI35" i="8"/>
  <c r="Y35" i="8"/>
  <c r="BD35" i="8"/>
  <c r="CH35" i="8"/>
  <c r="Q35" i="8"/>
  <c r="AL35" i="8"/>
  <c r="AU35" i="8"/>
  <c r="BQ35" i="8"/>
  <c r="CL35" i="8"/>
  <c r="CG35" i="8"/>
  <c r="AD35" i="8"/>
  <c r="AY35" i="8"/>
  <c r="BH35" i="8"/>
  <c r="CD35" i="8"/>
  <c r="BX35" i="8"/>
  <c r="AO35" i="8"/>
  <c r="AX35" i="8"/>
  <c r="BG35" i="8"/>
  <c r="CO35" i="8"/>
  <c r="R35" i="8"/>
  <c r="AZ35" i="8"/>
  <c r="BI35" i="8"/>
  <c r="BR35" i="8"/>
  <c r="AL20" i="8"/>
  <c r="BZ20" i="8"/>
  <c r="AI20" i="8"/>
  <c r="BR20" i="8"/>
  <c r="AQ39" i="8"/>
  <c r="V39" i="8"/>
  <c r="AE39" i="8"/>
  <c r="AV39" i="8"/>
  <c r="CM39" i="8"/>
  <c r="AU39" i="8"/>
  <c r="BL39" i="8"/>
  <c r="CL39" i="8"/>
  <c r="W39" i="8"/>
  <c r="AW39" i="8"/>
  <c r="BN39" i="8"/>
  <c r="CN39" i="8"/>
  <c r="CF39" i="8"/>
  <c r="X39" i="8"/>
  <c r="BO39" i="8"/>
  <c r="BX39" i="8"/>
  <c r="Y39" i="8"/>
  <c r="AD39" i="8"/>
  <c r="AH39" i="8"/>
  <c r="BH39" i="8"/>
  <c r="BY39" i="8"/>
  <c r="AO39" i="8"/>
  <c r="AX39" i="8"/>
  <c r="Z39" i="8"/>
  <c r="R39" i="8"/>
  <c r="AR39" i="8"/>
  <c r="BI39" i="8"/>
  <c r="CI39" i="8"/>
  <c r="S39" i="8"/>
  <c r="AS39" i="8"/>
  <c r="BJ39" i="8"/>
  <c r="CJ39" i="8"/>
  <c r="AB39" i="8"/>
  <c r="AT39" i="8"/>
  <c r="BK39" i="8"/>
  <c r="AA35" i="8"/>
  <c r="S35" i="8"/>
  <c r="AJ35" i="8"/>
  <c r="BA35" i="8"/>
  <c r="AS35" i="8"/>
  <c r="BJ35" i="8"/>
  <c r="CA35" i="8"/>
  <c r="BS35" i="8"/>
  <c r="CJ35" i="8"/>
  <c r="AB35" i="8"/>
  <c r="T35" i="8"/>
  <c r="AK35" i="8"/>
  <c r="BB35" i="8"/>
  <c r="AT35" i="8"/>
  <c r="BK35" i="8"/>
  <c r="CB35" i="8"/>
  <c r="BT35" i="8"/>
  <c r="CK35" i="8"/>
  <c r="V35" i="8"/>
  <c r="AM35" i="8"/>
  <c r="AE35" i="8"/>
  <c r="AV35" i="8"/>
  <c r="BM35" i="8"/>
  <c r="BE35" i="8"/>
  <c r="BV35" i="8"/>
  <c r="CM35" i="8"/>
  <c r="CE35" i="8"/>
  <c r="W35" i="8"/>
  <c r="AN35" i="8"/>
  <c r="AF35" i="8"/>
  <c r="AW35" i="8"/>
  <c r="BN35" i="8"/>
  <c r="BF35" i="8"/>
  <c r="BW35" i="8"/>
  <c r="CN35" i="8"/>
  <c r="U31" i="8"/>
  <c r="V31" i="8"/>
  <c r="Y31" i="8"/>
  <c r="Q31" i="8"/>
  <c r="E10" i="11"/>
  <c r="W31" i="8"/>
  <c r="X31" i="8"/>
  <c r="Z31" i="8"/>
  <c r="R31" i="8"/>
  <c r="AA31" i="8"/>
  <c r="AO20" i="8"/>
  <c r="BI20" i="8"/>
  <c r="R20" i="8"/>
  <c r="AR20" i="8"/>
  <c r="X20" i="8"/>
  <c r="AU20" i="8"/>
  <c r="Z20" i="8"/>
  <c r="Q20" i="8"/>
  <c r="AZ20" i="8"/>
  <c r="CI20" i="8"/>
  <c r="AX20" i="8"/>
  <c r="AG20" i="8"/>
  <c r="CD20" i="8"/>
  <c r="BW16" i="8"/>
  <c r="U16" i="8"/>
  <c r="AV16" i="8"/>
  <c r="AN16" i="8"/>
  <c r="AU16" i="8"/>
  <c r="BV16" i="8"/>
  <c r="V16" i="8"/>
  <c r="AW16" i="8"/>
  <c r="BQ16" i="8"/>
  <c r="CE16" i="8"/>
  <c r="W16" i="8"/>
  <c r="AQ16" i="8"/>
  <c r="CF16" i="8"/>
  <c r="BF16" i="8"/>
  <c r="BE16" i="8"/>
  <c r="Q16" i="8"/>
  <c r="AE16" i="8"/>
  <c r="CL16" i="8"/>
  <c r="AF16" i="8"/>
  <c r="BL16" i="8"/>
  <c r="CM16" i="8"/>
  <c r="AL16" i="8"/>
  <c r="BM16" i="8"/>
  <c r="CN16" i="8"/>
  <c r="AM16" i="8"/>
  <c r="BN16" i="8"/>
  <c r="BU16" i="8"/>
  <c r="AD20" i="8"/>
  <c r="AY20" i="8"/>
  <c r="BY20" i="8"/>
  <c r="U20" i="8"/>
  <c r="AQ20" i="8"/>
  <c r="BH20" i="8"/>
  <c r="Y20" i="8"/>
  <c r="AH20" i="8"/>
  <c r="BD20" i="8"/>
  <c r="CH20" i="8"/>
  <c r="AA20" i="8"/>
  <c r="S20" i="8"/>
  <c r="AJ20" i="8"/>
  <c r="BA20" i="8"/>
  <c r="AS20" i="8"/>
  <c r="BJ20" i="8"/>
  <c r="CA20" i="8"/>
  <c r="BS20" i="8"/>
  <c r="CJ20" i="8"/>
  <c r="AB20" i="8"/>
  <c r="T20" i="8"/>
  <c r="AK20" i="8"/>
  <c r="BB20" i="8"/>
  <c r="AT20" i="8"/>
  <c r="BK20" i="8"/>
  <c r="CB20" i="8"/>
  <c r="BT20" i="8"/>
  <c r="CK20" i="8"/>
  <c r="BL20" i="8"/>
  <c r="BQ20" i="8"/>
  <c r="BU20" i="8"/>
  <c r="CL20" i="8"/>
  <c r="V20" i="8"/>
  <c r="AM20" i="8"/>
  <c r="AE20" i="8"/>
  <c r="AV20" i="8"/>
  <c r="BM20" i="8"/>
  <c r="BE20" i="8"/>
  <c r="BV20" i="8"/>
  <c r="CM20" i="8"/>
  <c r="CE20" i="8"/>
  <c r="W20" i="8"/>
  <c r="AN20" i="8"/>
  <c r="AF20" i="8"/>
  <c r="AW20" i="8"/>
  <c r="BN20" i="8"/>
  <c r="BF20" i="8"/>
  <c r="BW20" i="8"/>
  <c r="CN20" i="8"/>
  <c r="CF20" i="8"/>
  <c r="BO20" i="8"/>
  <c r="BG20" i="8"/>
  <c r="BX20" i="8"/>
  <c r="CO20" i="8"/>
  <c r="X16" i="8"/>
  <c r="AO16" i="8"/>
  <c r="AG16" i="8"/>
  <c r="AX16" i="8"/>
  <c r="BO16" i="8"/>
  <c r="BG16" i="8"/>
  <c r="BX16" i="8"/>
  <c r="CO16" i="8"/>
  <c r="CG16" i="8"/>
  <c r="Y16" i="8"/>
  <c r="AD16" i="8"/>
  <c r="AH16" i="8"/>
  <c r="AY16" i="8"/>
  <c r="BD16" i="8"/>
  <c r="BH16" i="8"/>
  <c r="BY16" i="8"/>
  <c r="CD16" i="8"/>
  <c r="CH16" i="8"/>
  <c r="Z16" i="8"/>
  <c r="R16" i="8"/>
  <c r="AI16" i="8"/>
  <c r="AZ16" i="8"/>
  <c r="AR16" i="8"/>
  <c r="BI16" i="8"/>
  <c r="BZ16" i="8"/>
  <c r="BR16" i="8"/>
  <c r="CI16" i="8"/>
  <c r="AA16" i="8"/>
  <c r="S16" i="8"/>
  <c r="AJ16" i="8"/>
  <c r="BA16" i="8"/>
  <c r="AS16" i="8"/>
  <c r="BJ16" i="8"/>
  <c r="CA16" i="8"/>
  <c r="BS16" i="8"/>
  <c r="CJ16" i="8"/>
  <c r="AB16" i="8"/>
  <c r="T16" i="8"/>
  <c r="AK16" i="8"/>
  <c r="BB16" i="8"/>
  <c r="AT16" i="8"/>
  <c r="BK16" i="8"/>
  <c r="CB16" i="8"/>
  <c r="BT16" i="8"/>
  <c r="S5" i="15"/>
  <c r="R5" i="15"/>
  <c r="Q5" i="15"/>
  <c r="P5" i="15"/>
  <c r="O5" i="15"/>
  <c r="Z12" i="8"/>
  <c r="S8" i="8"/>
  <c r="S9" i="8" s="1"/>
  <c r="T8" i="8"/>
  <c r="T9" i="8" s="1"/>
  <c r="AB8" i="8"/>
  <c r="AB9" i="8" s="1"/>
  <c r="Q8" i="8"/>
  <c r="W8" i="8"/>
  <c r="W9" i="8" s="1"/>
  <c r="V8" i="8"/>
  <c r="V9" i="8" s="1"/>
  <c r="X8" i="8"/>
  <c r="U8" i="8"/>
  <c r="Z8" i="8"/>
  <c r="Z9" i="8" s="1"/>
  <c r="R8" i="8"/>
  <c r="R9" i="8" s="1"/>
  <c r="Y8" i="8"/>
  <c r="AA8" i="8"/>
  <c r="AA9" i="8" s="1"/>
  <c r="W12" i="8"/>
  <c r="V12" i="8"/>
  <c r="U12" i="8"/>
  <c r="Q12" i="8"/>
  <c r="T12" i="8"/>
  <c r="AB12" i="8"/>
  <c r="Y12" i="8"/>
  <c r="X12" i="8"/>
  <c r="S12" i="8"/>
  <c r="AA12" i="8"/>
  <c r="R12" i="8"/>
  <c r="BI11" i="8"/>
  <c r="AS11" i="8"/>
  <c r="AI11" i="8"/>
  <c r="Z11" i="8"/>
  <c r="S11" i="8"/>
  <c r="R11" i="8"/>
  <c r="AD7" i="8"/>
  <c r="AD11" i="8" s="1"/>
  <c r="AR7" i="8"/>
  <c r="AE11" i="8"/>
  <c r="AW7" i="8"/>
  <c r="AJ11" i="8"/>
  <c r="AZ7" i="8"/>
  <c r="AM11" i="8"/>
  <c r="BB11" i="8"/>
  <c r="Y11" i="8"/>
  <c r="BG11" i="8"/>
  <c r="BO11" i="8"/>
  <c r="X11" i="8"/>
  <c r="AG11" i="8"/>
  <c r="AO11" i="8"/>
  <c r="AV11" i="8"/>
  <c r="BF11" i="8"/>
  <c r="BN11" i="8"/>
  <c r="AA11" i="8"/>
  <c r="AC7" i="8"/>
  <c r="W11" i="8"/>
  <c r="AF11" i="8"/>
  <c r="AN11" i="8"/>
  <c r="AT11" i="8"/>
  <c r="V11" i="8"/>
  <c r="AX11" i="8"/>
  <c r="BL11" i="8"/>
  <c r="BA11" i="8"/>
  <c r="AH7" i="8"/>
  <c r="AL11" i="8"/>
  <c r="AY11" i="8"/>
  <c r="BK11" i="8"/>
  <c r="T11" i="8"/>
  <c r="AB11" i="8"/>
  <c r="AK11" i="8"/>
  <c r="P11" i="8"/>
  <c r="Y65" i="6"/>
  <c r="Q65" i="6"/>
  <c r="X65" i="6"/>
  <c r="Z65" i="6"/>
  <c r="R65" i="6"/>
  <c r="AA65" i="6"/>
  <c r="S65" i="6"/>
  <c r="AB65" i="6"/>
  <c r="T65" i="6"/>
  <c r="U65" i="6"/>
  <c r="V65" i="6"/>
  <c r="CA19" i="8"/>
  <c r="CA28" i="8"/>
  <c r="CA34" i="8" s="1"/>
  <c r="CN7" i="8"/>
  <c r="CN11" i="8" s="1"/>
  <c r="CA15" i="8"/>
  <c r="CB15" i="8"/>
  <c r="CB19" i="8"/>
  <c r="CB28" i="8"/>
  <c r="CB34" i="8" s="1"/>
  <c r="CO7" i="8"/>
  <c r="CO19" i="8" s="1"/>
  <c r="BT19" i="8"/>
  <c r="BT28" i="8"/>
  <c r="BT30" i="8" s="1"/>
  <c r="CG7" i="8"/>
  <c r="CG11" i="8" s="1"/>
  <c r="BT15" i="8"/>
  <c r="BV28" i="8"/>
  <c r="BV38" i="8" s="1"/>
  <c r="CI7" i="8"/>
  <c r="CI11" i="8" s="1"/>
  <c r="BX15" i="8"/>
  <c r="CK7" i="8"/>
  <c r="CK11" i="8" s="1"/>
  <c r="BX28" i="8"/>
  <c r="BX38" i="8" s="1"/>
  <c r="BX19" i="8"/>
  <c r="BX21" i="8" s="1"/>
  <c r="BY28" i="8"/>
  <c r="BY34" i="8" s="1"/>
  <c r="CL7" i="8"/>
  <c r="CL11" i="8" s="1"/>
  <c r="BY19" i="8"/>
  <c r="BS15" i="8"/>
  <c r="BS17" i="8" s="1"/>
  <c r="BS19" i="8"/>
  <c r="BS21" i="8" s="1"/>
  <c r="CF7" i="8"/>
  <c r="CF11" i="8" s="1"/>
  <c r="BS28" i="8"/>
  <c r="BY15" i="8"/>
  <c r="BV19" i="8"/>
  <c r="BV15" i="8"/>
  <c r="BV17" i="8" s="1"/>
  <c r="BP37" i="6"/>
  <c r="AU32" i="6"/>
  <c r="BC37" i="6"/>
  <c r="AD32" i="6"/>
  <c r="AE32" i="6" s="1"/>
  <c r="AF32" i="6" s="1"/>
  <c r="AH32" i="6" s="1"/>
  <c r="AI32" i="6" s="1"/>
  <c r="AJ32" i="6" s="1"/>
  <c r="AK32" i="6" s="1"/>
  <c r="AL32" i="6" s="1"/>
  <c r="AM32" i="6" s="1"/>
  <c r="AN32" i="6" s="1"/>
  <c r="AO32" i="6" s="1"/>
  <c r="AQ32" i="6" s="1"/>
  <c r="AX32" i="6" s="1"/>
  <c r="BB32" i="6" s="1"/>
  <c r="BD32" i="6" s="1"/>
  <c r="Q29" i="6"/>
  <c r="R29" i="6" s="1"/>
  <c r="S29" i="6" s="1"/>
  <c r="T29" i="6" s="1"/>
  <c r="U29" i="6" s="1"/>
  <c r="V29" i="6" s="1"/>
  <c r="W29" i="6" s="1"/>
  <c r="X29" i="6" s="1"/>
  <c r="Y29" i="6" s="1"/>
  <c r="Z29" i="6" s="1"/>
  <c r="AA29" i="6" s="1"/>
  <c r="AB29" i="6" s="1"/>
  <c r="AD29" i="6" s="1"/>
  <c r="AE29" i="6" s="1"/>
  <c r="AF29" i="6" s="1"/>
  <c r="AG29" i="6" s="1"/>
  <c r="Q30" i="6"/>
  <c r="R30" i="6" s="1"/>
  <c r="S30" i="6" s="1"/>
  <c r="T30" i="6" s="1"/>
  <c r="Q31" i="6"/>
  <c r="R31" i="6" s="1"/>
  <c r="S31" i="6" s="1"/>
  <c r="T31" i="6" s="1"/>
  <c r="U31" i="6" s="1"/>
  <c r="V31" i="6" s="1"/>
  <c r="W31" i="6" s="1"/>
  <c r="X31" i="6" s="1"/>
  <c r="Y31" i="6" s="1"/>
  <c r="Z31" i="6" s="1"/>
  <c r="AA31" i="6" s="1"/>
  <c r="AB31" i="6" s="1"/>
  <c r="AD31" i="6" s="1"/>
  <c r="AE31" i="6" s="1"/>
  <c r="AF31" i="6" s="1"/>
  <c r="AG31" i="6" s="1"/>
  <c r="AH31" i="6" s="1"/>
  <c r="AI31" i="6" s="1"/>
  <c r="AJ31" i="6" s="1"/>
  <c r="AK31" i="6" s="1"/>
  <c r="AL31" i="6" s="1"/>
  <c r="AM31" i="6" s="1"/>
  <c r="AN31" i="6" s="1"/>
  <c r="AO31" i="6" s="1"/>
  <c r="AQ31" i="6" s="1"/>
  <c r="AR31" i="6" s="1"/>
  <c r="AS31" i="6" s="1"/>
  <c r="AT31" i="6" s="1"/>
  <c r="AU31" i="6" s="1"/>
  <c r="AV31" i="6" s="1"/>
  <c r="AW31" i="6" s="1"/>
  <c r="AX31" i="6" s="1"/>
  <c r="AY31" i="6" s="1"/>
  <c r="AZ31" i="6" s="1"/>
  <c r="BA31" i="6" s="1"/>
  <c r="BB31" i="6" s="1"/>
  <c r="BD31" i="6" s="1"/>
  <c r="Q33" i="6"/>
  <c r="R33" i="6" s="1"/>
  <c r="S33" i="6" s="1"/>
  <c r="T33" i="6" s="1"/>
  <c r="Q34" i="6"/>
  <c r="R34" i="6" s="1"/>
  <c r="S34" i="6" s="1"/>
  <c r="T34" i="6" s="1"/>
  <c r="Q35" i="6"/>
  <c r="R35" i="6" s="1"/>
  <c r="S35" i="6" s="1"/>
  <c r="T35" i="6" s="1"/>
  <c r="U35" i="6" s="1"/>
  <c r="V35" i="6" s="1"/>
  <c r="W35" i="6" s="1"/>
  <c r="X35" i="6" s="1"/>
  <c r="Y35" i="6" s="1"/>
  <c r="Z35" i="6" s="1"/>
  <c r="AA35" i="6" s="1"/>
  <c r="AB35" i="6" s="1"/>
  <c r="AD35" i="6" s="1"/>
  <c r="AE35" i="6" s="1"/>
  <c r="AF35" i="6" s="1"/>
  <c r="AG35" i="6" s="1"/>
  <c r="AH35" i="6" s="1"/>
  <c r="AI35" i="6" s="1"/>
  <c r="AJ35" i="6" s="1"/>
  <c r="AK35" i="6" s="1"/>
  <c r="AL35" i="6" s="1"/>
  <c r="AM35" i="6" s="1"/>
  <c r="AN35" i="6" s="1"/>
  <c r="AO35" i="6" s="1"/>
  <c r="AQ35" i="6" s="1"/>
  <c r="AR35" i="6" s="1"/>
  <c r="AS35" i="6" s="1"/>
  <c r="AT35" i="6" s="1"/>
  <c r="AU35" i="6" s="1"/>
  <c r="AV35" i="6" s="1"/>
  <c r="AW35" i="6" s="1"/>
  <c r="AX35" i="6" s="1"/>
  <c r="AY35" i="6" s="1"/>
  <c r="AZ35" i="6" s="1"/>
  <c r="BA35" i="6" s="1"/>
  <c r="BB35" i="6" s="1"/>
  <c r="BD35" i="6" s="1"/>
  <c r="Q38" i="6"/>
  <c r="R38" i="6" s="1"/>
  <c r="S38" i="6" s="1"/>
  <c r="T38" i="6" s="1"/>
  <c r="U38" i="6" s="1"/>
  <c r="V38" i="6" s="1"/>
  <c r="W38" i="6" s="1"/>
  <c r="X38" i="6" s="1"/>
  <c r="Y38" i="6" s="1"/>
  <c r="Z38" i="6" s="1"/>
  <c r="AA38" i="6" s="1"/>
  <c r="AB38" i="6" s="1"/>
  <c r="AD38" i="6" s="1"/>
  <c r="AE38" i="6" s="1"/>
  <c r="AF38" i="6" s="1"/>
  <c r="AG38" i="6" s="1"/>
  <c r="AH38" i="6" s="1"/>
  <c r="BP51" i="6"/>
  <c r="BC51" i="6"/>
  <c r="AP51" i="6"/>
  <c r="BP48" i="8"/>
  <c r="BP47" i="8"/>
  <c r="BP46" i="8"/>
  <c r="BP45" i="8"/>
  <c r="BC48" i="8"/>
  <c r="BC47" i="8"/>
  <c r="BC46" i="8"/>
  <c r="BC45" i="8"/>
  <c r="AP48" i="8"/>
  <c r="AP47" i="8"/>
  <c r="AP46" i="8"/>
  <c r="AP45" i="8"/>
  <c r="P38" i="6"/>
  <c r="P37" i="6"/>
  <c r="P35" i="6"/>
  <c r="P34" i="6"/>
  <c r="P33" i="6"/>
  <c r="P32" i="6"/>
  <c r="P31" i="6"/>
  <c r="P30" i="6"/>
  <c r="P29" i="6"/>
  <c r="E36" i="6"/>
  <c r="F36" i="6" s="1"/>
  <c r="G36" i="6" s="1"/>
  <c r="H36" i="6" s="1"/>
  <c r="I36" i="6" s="1"/>
  <c r="J36" i="6" s="1"/>
  <c r="K36" i="6" s="1"/>
  <c r="L36" i="6" s="1"/>
  <c r="M36" i="6" s="1"/>
  <c r="N36" i="6" s="1"/>
  <c r="O36" i="6" s="1"/>
  <c r="Q36" i="6" s="1"/>
  <c r="R36" i="6" s="1"/>
  <c r="S36" i="6" s="1"/>
  <c r="T36" i="6" s="1"/>
  <c r="U36" i="6" s="1"/>
  <c r="V36" i="6" s="1"/>
  <c r="W36" i="6" s="1"/>
  <c r="X36" i="6" s="1"/>
  <c r="Y36" i="6" s="1"/>
  <c r="Z36" i="6" s="1"/>
  <c r="AA36" i="6" s="1"/>
  <c r="AB36" i="6" s="1"/>
  <c r="AD36" i="6" s="1"/>
  <c r="AE36" i="6" s="1"/>
  <c r="AF36" i="6" s="1"/>
  <c r="AG36" i="6" s="1"/>
  <c r="AH36" i="6" s="1"/>
  <c r="AI36" i="6" s="1"/>
  <c r="AJ36" i="6" s="1"/>
  <c r="AK36" i="6" s="1"/>
  <c r="AL36" i="6" s="1"/>
  <c r="AM36" i="6" s="1"/>
  <c r="AN36" i="6" s="1"/>
  <c r="AO36" i="6" s="1"/>
  <c r="AQ36" i="6" s="1"/>
  <c r="AR36" i="6" s="1"/>
  <c r="AS36" i="6" s="1"/>
  <c r="AT36" i="6" s="1"/>
  <c r="AU36" i="6" s="1"/>
  <c r="AV36" i="6" s="1"/>
  <c r="AW36" i="6" s="1"/>
  <c r="AX36" i="6" s="1"/>
  <c r="AY36" i="6" s="1"/>
  <c r="AZ36" i="6" s="1"/>
  <c r="BA36" i="6" s="1"/>
  <c r="BB36" i="6" s="1"/>
  <c r="BD36" i="6" s="1"/>
  <c r="E28" i="6"/>
  <c r="F28" i="6" s="1"/>
  <c r="G28" i="6" s="1"/>
  <c r="H28" i="6" s="1"/>
  <c r="I28" i="6" s="1"/>
  <c r="J28" i="6" s="1"/>
  <c r="K28" i="6" s="1"/>
  <c r="L28" i="6" s="1"/>
  <c r="M28" i="6" s="1"/>
  <c r="N28" i="6" s="1"/>
  <c r="O28" i="6" s="1"/>
  <c r="Q28" i="6" s="1"/>
  <c r="R28" i="6" s="1"/>
  <c r="S28" i="6" s="1"/>
  <c r="T28" i="6" s="1"/>
  <c r="U28" i="6" s="1"/>
  <c r="V28" i="6" s="1"/>
  <c r="W28" i="6" s="1"/>
  <c r="X28" i="6" s="1"/>
  <c r="Y28" i="6" s="1"/>
  <c r="Z28" i="6" s="1"/>
  <c r="AA28" i="6" s="1"/>
  <c r="AB28" i="6" s="1"/>
  <c r="AD28" i="6" s="1"/>
  <c r="AE28" i="6" s="1"/>
  <c r="AF28" i="6" s="1"/>
  <c r="AG28" i="6" s="1"/>
  <c r="E27" i="6"/>
  <c r="O8" i="7"/>
  <c r="O9" i="7" s="1"/>
  <c r="O26" i="6" s="1"/>
  <c r="N8" i="7"/>
  <c r="N9" i="7" s="1"/>
  <c r="N26" i="6" s="1"/>
  <c r="M8" i="7"/>
  <c r="M9" i="7" s="1"/>
  <c r="M26" i="6" s="1"/>
  <c r="L8" i="7"/>
  <c r="L9" i="7" s="1"/>
  <c r="L26" i="6" s="1"/>
  <c r="K8" i="7"/>
  <c r="K9" i="7" s="1"/>
  <c r="K26" i="6" s="1"/>
  <c r="J8" i="7"/>
  <c r="J9" i="7" s="1"/>
  <c r="J26" i="6" s="1"/>
  <c r="I8" i="7"/>
  <c r="I9" i="7" s="1"/>
  <c r="I26" i="6" s="1"/>
  <c r="H8" i="7"/>
  <c r="H9" i="7" s="1"/>
  <c r="H26" i="6" s="1"/>
  <c r="G8" i="7"/>
  <c r="G9" i="7" s="1"/>
  <c r="G26" i="6" s="1"/>
  <c r="F8" i="7"/>
  <c r="F9" i="7" s="1"/>
  <c r="F26" i="6" s="1"/>
  <c r="E8" i="7"/>
  <c r="E9" i="7" s="1"/>
  <c r="E26" i="6" s="1"/>
  <c r="D8" i="7"/>
  <c r="D9" i="7" s="1"/>
  <c r="D26" i="6" s="1"/>
  <c r="P7" i="7"/>
  <c r="P6" i="7"/>
  <c r="P5" i="7"/>
  <c r="AB19" i="8"/>
  <c r="Y19" i="8"/>
  <c r="V28" i="8"/>
  <c r="V30" i="8" s="1"/>
  <c r="U28" i="8"/>
  <c r="U34" i="8" s="1"/>
  <c r="T19" i="8"/>
  <c r="O9" i="8"/>
  <c r="K28" i="8"/>
  <c r="K30" i="8" s="1"/>
  <c r="K32" i="8" s="1"/>
  <c r="K11" i="6" s="1"/>
  <c r="H13" i="8"/>
  <c r="G9" i="8"/>
  <c r="BO28" i="8"/>
  <c r="BO34" i="8" s="1"/>
  <c r="BO36" i="8" s="1"/>
  <c r="BO12" i="6" s="1"/>
  <c r="BN28" i="8"/>
  <c r="BN30" i="8" s="1"/>
  <c r="BL28" i="8"/>
  <c r="BL30" i="8" s="1"/>
  <c r="BK28" i="8"/>
  <c r="BK30" i="8" s="1"/>
  <c r="BI28" i="8"/>
  <c r="BI34" i="8" s="1"/>
  <c r="BI36" i="8" s="1"/>
  <c r="BI12" i="6" s="1"/>
  <c r="BG28" i="8"/>
  <c r="BG34" i="8" s="1"/>
  <c r="BG36" i="8" s="1"/>
  <c r="BG12" i="6" s="1"/>
  <c r="BF28" i="8"/>
  <c r="BF30" i="8" s="1"/>
  <c r="BO19" i="8"/>
  <c r="BN19" i="8"/>
  <c r="BL19" i="8"/>
  <c r="BK19" i="8"/>
  <c r="BI19" i="8"/>
  <c r="BG19" i="8"/>
  <c r="BF19" i="8"/>
  <c r="BO15" i="8"/>
  <c r="BN15" i="8"/>
  <c r="BL15" i="8"/>
  <c r="BK15" i="8"/>
  <c r="BI15" i="8"/>
  <c r="BG15" i="8"/>
  <c r="BF15" i="8"/>
  <c r="AC48" i="8"/>
  <c r="AC47" i="8"/>
  <c r="AC46" i="8"/>
  <c r="AC45" i="8"/>
  <c r="AO28" i="8"/>
  <c r="AO38" i="8" s="1"/>
  <c r="AN28" i="8"/>
  <c r="AN34" i="8" s="1"/>
  <c r="AM28" i="8"/>
  <c r="AM38" i="8" s="1"/>
  <c r="AL28" i="8"/>
  <c r="AL38" i="8" s="1"/>
  <c r="AK28" i="8"/>
  <c r="AK34" i="8" s="1"/>
  <c r="AK36" i="8" s="1"/>
  <c r="AK12" i="6" s="1"/>
  <c r="AJ28" i="8"/>
  <c r="AJ38" i="8" s="1"/>
  <c r="AI28" i="8"/>
  <c r="AI34" i="8" s="1"/>
  <c r="AG28" i="8"/>
  <c r="AG38" i="8" s="1"/>
  <c r="AF28" i="8"/>
  <c r="AF34" i="8" s="1"/>
  <c r="AE28" i="8"/>
  <c r="AE38" i="8" s="1"/>
  <c r="AO19" i="8"/>
  <c r="AN19" i="8"/>
  <c r="AM19" i="8"/>
  <c r="AL19" i="8"/>
  <c r="AK19" i="8"/>
  <c r="AJ19" i="8"/>
  <c r="AI19" i="8"/>
  <c r="AI21" i="8" s="1"/>
  <c r="AG19" i="8"/>
  <c r="AG21" i="8" s="1"/>
  <c r="AF19" i="8"/>
  <c r="AE19" i="8"/>
  <c r="AO15" i="8"/>
  <c r="AN15" i="8"/>
  <c r="AM15" i="8"/>
  <c r="AL15" i="8"/>
  <c r="AK15" i="8"/>
  <c r="AJ15" i="8"/>
  <c r="AJ17" i="8" s="1"/>
  <c r="AI15" i="8"/>
  <c r="AG15" i="8"/>
  <c r="AF15" i="8"/>
  <c r="AE15" i="8"/>
  <c r="AB28" i="8"/>
  <c r="AB34" i="8" s="1"/>
  <c r="AA28" i="8"/>
  <c r="AA34" i="8" s="1"/>
  <c r="Z28" i="8"/>
  <c r="Z38" i="8" s="1"/>
  <c r="W28" i="8"/>
  <c r="W30" i="8" s="1"/>
  <c r="T28" i="8"/>
  <c r="T34" i="8" s="1"/>
  <c r="T36" i="8" s="1"/>
  <c r="T12" i="6" s="1"/>
  <c r="S28" i="8"/>
  <c r="S34" i="8" s="1"/>
  <c r="R28" i="8"/>
  <c r="R38" i="8" s="1"/>
  <c r="AA19" i="8"/>
  <c r="Z19" i="8"/>
  <c r="X19" i="8"/>
  <c r="W19" i="8"/>
  <c r="S19" i="8"/>
  <c r="R19" i="8"/>
  <c r="AB15" i="8"/>
  <c r="AA15" i="8"/>
  <c r="Z15" i="8"/>
  <c r="W15" i="8"/>
  <c r="T15" i="8"/>
  <c r="S15" i="8"/>
  <c r="S17" i="8" s="1"/>
  <c r="R15" i="8"/>
  <c r="C9" i="8"/>
  <c r="C11" i="8"/>
  <c r="C13" i="8" s="1"/>
  <c r="C15" i="8"/>
  <c r="C17" i="8" s="1"/>
  <c r="C19" i="8"/>
  <c r="C21" i="8" s="1"/>
  <c r="C30" i="8"/>
  <c r="C32" i="8" s="1"/>
  <c r="C34" i="8"/>
  <c r="C36" i="8" s="1"/>
  <c r="C38" i="8"/>
  <c r="C40" i="8" s="1"/>
  <c r="P48" i="8"/>
  <c r="P47" i="8"/>
  <c r="P46" i="8"/>
  <c r="P45" i="8"/>
  <c r="N28" i="8"/>
  <c r="N30" i="8" s="1"/>
  <c r="N32" i="8" s="1"/>
  <c r="N11" i="6" s="1"/>
  <c r="M28" i="8"/>
  <c r="M30" i="8" s="1"/>
  <c r="M32" i="8" s="1"/>
  <c r="M11" i="6" s="1"/>
  <c r="L28" i="8"/>
  <c r="L30" i="8" s="1"/>
  <c r="L32" i="8" s="1"/>
  <c r="L11" i="6" s="1"/>
  <c r="J28" i="8"/>
  <c r="J30" i="8" s="1"/>
  <c r="J32" i="8" s="1"/>
  <c r="J11" i="6" s="1"/>
  <c r="I28" i="8"/>
  <c r="I34" i="8" s="1"/>
  <c r="I36" i="8" s="1"/>
  <c r="I12" i="6" s="1"/>
  <c r="H28" i="8"/>
  <c r="H38" i="8" s="1"/>
  <c r="H40" i="8" s="1"/>
  <c r="H13" i="6" s="1"/>
  <c r="F28" i="8"/>
  <c r="F30" i="8" s="1"/>
  <c r="F32" i="8" s="1"/>
  <c r="F11" i="6" s="1"/>
  <c r="E28" i="8"/>
  <c r="E30" i="8" s="1"/>
  <c r="E32" i="8" s="1"/>
  <c r="E11" i="6" s="1"/>
  <c r="O19" i="8"/>
  <c r="O21" i="8" s="1"/>
  <c r="N19" i="8"/>
  <c r="N21" i="8" s="1"/>
  <c r="M19" i="8"/>
  <c r="M21" i="8" s="1"/>
  <c r="L19" i="8"/>
  <c r="L21" i="8" s="1"/>
  <c r="K19" i="8"/>
  <c r="K21" i="8" s="1"/>
  <c r="J19" i="8"/>
  <c r="J21" i="8" s="1"/>
  <c r="H19" i="8"/>
  <c r="H21" i="8" s="1"/>
  <c r="G19" i="8"/>
  <c r="G21" i="8" s="1"/>
  <c r="F19" i="8"/>
  <c r="F21" i="8" s="1"/>
  <c r="E19" i="8"/>
  <c r="O15" i="8"/>
  <c r="O17" i="8" s="1"/>
  <c r="N15" i="8"/>
  <c r="N17" i="8" s="1"/>
  <c r="M15" i="8"/>
  <c r="M17" i="8" s="1"/>
  <c r="K15" i="8"/>
  <c r="K17" i="8" s="1"/>
  <c r="J15" i="8"/>
  <c r="J17" i="8" s="1"/>
  <c r="H15" i="8"/>
  <c r="H17" i="8" s="1"/>
  <c r="G15" i="8"/>
  <c r="G17" i="8" s="1"/>
  <c r="F15" i="8"/>
  <c r="F17" i="8" s="1"/>
  <c r="E15" i="8"/>
  <c r="E17" i="8" s="1"/>
  <c r="N13" i="8"/>
  <c r="M13" i="8"/>
  <c r="K13" i="8"/>
  <c r="J13" i="8"/>
  <c r="I13" i="8"/>
  <c r="F13" i="8"/>
  <c r="E13" i="8"/>
  <c r="N9" i="8"/>
  <c r="M9" i="8"/>
  <c r="L9" i="8"/>
  <c r="J9" i="8"/>
  <c r="I9" i="8"/>
  <c r="H9" i="8"/>
  <c r="F9" i="8"/>
  <c r="E9" i="8"/>
  <c r="AE40" i="8" l="1"/>
  <c r="AE13" i="6" s="1"/>
  <c r="BV40" i="8"/>
  <c r="BV13" i="6" s="1"/>
  <c r="AI36" i="8"/>
  <c r="AI12" i="6" s="1"/>
  <c r="CA36" i="8"/>
  <c r="CA12" i="6" s="1"/>
  <c r="BV39" i="8"/>
  <c r="AL17" i="8"/>
  <c r="AE21" i="8"/>
  <c r="AN21" i="8"/>
  <c r="Y21" i="8"/>
  <c r="CB36" i="8"/>
  <c r="CB12" i="6" s="1"/>
  <c r="E21" i="8"/>
  <c r="R21" i="8"/>
  <c r="BY21" i="8"/>
  <c r="BK21" i="8"/>
  <c r="U36" i="8"/>
  <c r="U12" i="6" s="1"/>
  <c r="BX40" i="8"/>
  <c r="BX13" i="6" s="1"/>
  <c r="R40" i="8"/>
  <c r="R13" i="6" s="1"/>
  <c r="Z40" i="8"/>
  <c r="Z13" i="6" s="1"/>
  <c r="AF36" i="8"/>
  <c r="AF12" i="6" s="1"/>
  <c r="BT39" i="8"/>
  <c r="BB39" i="8"/>
  <c r="BS39" i="8"/>
  <c r="BA39" i="8"/>
  <c r="BR39" i="8"/>
  <c r="AZ39" i="8"/>
  <c r="CG39" i="8"/>
  <c r="CH39" i="8"/>
  <c r="BD39" i="8"/>
  <c r="AG39" i="8"/>
  <c r="AG40" i="8" s="1"/>
  <c r="AG13" i="6" s="1"/>
  <c r="BW39" i="8"/>
  <c r="AF39" i="8"/>
  <c r="BU39" i="8"/>
  <c r="AL39" i="8"/>
  <c r="AL40" i="8" s="1"/>
  <c r="AL13" i="6" s="1"/>
  <c r="BE39" i="8"/>
  <c r="AM39" i="8"/>
  <c r="AM40" i="8" s="1"/>
  <c r="AM13" i="6" s="1"/>
  <c r="AL21" i="8"/>
  <c r="CB39" i="8"/>
  <c r="AK39" i="8"/>
  <c r="CA39" i="8"/>
  <c r="AJ39" i="8"/>
  <c r="AJ40" i="8" s="1"/>
  <c r="AJ13" i="6" s="1"/>
  <c r="BZ39" i="8"/>
  <c r="AI39" i="8"/>
  <c r="BG39" i="8"/>
  <c r="CD39" i="8"/>
  <c r="AY39" i="8"/>
  <c r="CO39" i="8"/>
  <c r="BF39" i="8"/>
  <c r="AN39" i="8"/>
  <c r="BQ39" i="8"/>
  <c r="CE39" i="8"/>
  <c r="BM39" i="8"/>
  <c r="AI17" i="8"/>
  <c r="BG17" i="8"/>
  <c r="AB17" i="8"/>
  <c r="BF17" i="8"/>
  <c r="AE17" i="8"/>
  <c r="BO17" i="8"/>
  <c r="AM17" i="8"/>
  <c r="BY17" i="8"/>
  <c r="BI21" i="8"/>
  <c r="Z21" i="8"/>
  <c r="AK21" i="8"/>
  <c r="W21" i="8"/>
  <c r="T17" i="8"/>
  <c r="AO40" i="8"/>
  <c r="AO13" i="6" s="1"/>
  <c r="BK17" i="8"/>
  <c r="V32" i="8"/>
  <c r="V11" i="6" s="1"/>
  <c r="CB21" i="8"/>
  <c r="AF17" i="8"/>
  <c r="W17" i="8"/>
  <c r="AN36" i="8"/>
  <c r="AN12" i="6" s="1"/>
  <c r="BY36" i="8"/>
  <c r="BY12" i="6" s="1"/>
  <c r="X21" i="8"/>
  <c r="AJ21" i="8"/>
  <c r="BG21" i="8"/>
  <c r="BL17" i="8"/>
  <c r="BT17" i="8"/>
  <c r="CA17" i="8"/>
  <c r="AB36" i="8"/>
  <c r="AB12" i="6" s="1"/>
  <c r="AA36" i="8"/>
  <c r="AA12" i="6" s="1"/>
  <c r="S36" i="8"/>
  <c r="S12" i="6" s="1"/>
  <c r="F10" i="11"/>
  <c r="AJ31" i="8"/>
  <c r="AH31" i="8"/>
  <c r="AD31" i="8"/>
  <c r="AI31" i="8"/>
  <c r="AL31" i="8"/>
  <c r="AK31" i="8"/>
  <c r="AG31" i="8"/>
  <c r="AO31" i="8"/>
  <c r="AE31" i="8"/>
  <c r="AF31" i="8"/>
  <c r="AN31" i="8"/>
  <c r="AM31" i="8"/>
  <c r="W32" i="8"/>
  <c r="W11" i="6" s="1"/>
  <c r="AO21" i="8"/>
  <c r="CO21" i="8"/>
  <c r="AM21" i="8"/>
  <c r="BN21" i="8"/>
  <c r="AK17" i="8"/>
  <c r="R17" i="8"/>
  <c r="BI17" i="8"/>
  <c r="BX17" i="8"/>
  <c r="AA17" i="8"/>
  <c r="AN17" i="8"/>
  <c r="BN17" i="8"/>
  <c r="CB17" i="8"/>
  <c r="BF21" i="8"/>
  <c r="CA21" i="8"/>
  <c r="BV21" i="8"/>
  <c r="BO21" i="8"/>
  <c r="AB21" i="8"/>
  <c r="BT21" i="8"/>
  <c r="BL21" i="8"/>
  <c r="AA21" i="8"/>
  <c r="S21" i="8"/>
  <c r="AF21" i="8"/>
  <c r="T21" i="8"/>
  <c r="AG17" i="8"/>
  <c r="AO17" i="8"/>
  <c r="Z17" i="8"/>
  <c r="F23" i="8"/>
  <c r="F10" i="6" s="1"/>
  <c r="Z13" i="8"/>
  <c r="S13" i="8"/>
  <c r="S23" i="8" s="1"/>
  <c r="AJ8" i="8"/>
  <c r="AJ9" i="8" s="1"/>
  <c r="AH8" i="8"/>
  <c r="AH9" i="8" s="1"/>
  <c r="AI8" i="8"/>
  <c r="AI9" i="8" s="1"/>
  <c r="AD8" i="8"/>
  <c r="AD9" i="8" s="1"/>
  <c r="AG8" i="8"/>
  <c r="AG9" i="8" s="1"/>
  <c r="AO8" i="8"/>
  <c r="AO9" i="8" s="1"/>
  <c r="AM8" i="8"/>
  <c r="AM9" i="8" s="1"/>
  <c r="AK8" i="8"/>
  <c r="AK9" i="8" s="1"/>
  <c r="AF8" i="8"/>
  <c r="AF9" i="8" s="1"/>
  <c r="AN8" i="8"/>
  <c r="AN9" i="8" s="1"/>
  <c r="AE8" i="8"/>
  <c r="AE9" i="8" s="1"/>
  <c r="AL8" i="8"/>
  <c r="AL9" i="8" s="1"/>
  <c r="AA13" i="8"/>
  <c r="AD19" i="8"/>
  <c r="AD15" i="8"/>
  <c r="AD17" i="8" s="1"/>
  <c r="R13" i="8"/>
  <c r="BY38" i="8"/>
  <c r="BY40" i="8" s="1"/>
  <c r="BY13" i="6" s="1"/>
  <c r="AD28" i="8"/>
  <c r="AK12" i="8"/>
  <c r="AK13" i="8" s="1"/>
  <c r="AL12" i="8"/>
  <c r="AL13" i="8" s="1"/>
  <c r="AD12" i="8"/>
  <c r="AD13" i="8" s="1"/>
  <c r="AF12" i="8"/>
  <c r="AF13" i="8" s="1"/>
  <c r="AM12" i="8"/>
  <c r="AM13" i="8" s="1"/>
  <c r="AE12" i="8"/>
  <c r="AE13" i="8" s="1"/>
  <c r="AN12" i="8"/>
  <c r="AN13" i="8" s="1"/>
  <c r="AO12" i="8"/>
  <c r="AO13" i="8" s="1"/>
  <c r="AG12" i="8"/>
  <c r="AG13" i="8" s="1"/>
  <c r="AH12" i="8"/>
  <c r="AJ12" i="8"/>
  <c r="AJ13" i="8" s="1"/>
  <c r="AI12" i="8"/>
  <c r="AI13" i="8" s="1"/>
  <c r="X13" i="8"/>
  <c r="W13" i="8"/>
  <c r="BY30" i="8"/>
  <c r="AQ7" i="8"/>
  <c r="BD7" i="8" s="1"/>
  <c r="BV34" i="8"/>
  <c r="BV36" i="8" s="1"/>
  <c r="BV12" i="6" s="1"/>
  <c r="AP7" i="8"/>
  <c r="BV30" i="8"/>
  <c r="AH15" i="8"/>
  <c r="AH17" i="8" s="1"/>
  <c r="AH28" i="8"/>
  <c r="AH38" i="8" s="1"/>
  <c r="AH40" i="8" s="1"/>
  <c r="AH13" i="6" s="1"/>
  <c r="BT38" i="8"/>
  <c r="BT40" i="8" s="1"/>
  <c r="BT13" i="6" s="1"/>
  <c r="CK28" i="8"/>
  <c r="CK34" i="8" s="1"/>
  <c r="CK36" i="8" s="1"/>
  <c r="CK12" i="6" s="1"/>
  <c r="AC11" i="8"/>
  <c r="AH19" i="8"/>
  <c r="AH21" i="8" s="1"/>
  <c r="BT34" i="8"/>
  <c r="BT36" i="8" s="1"/>
  <c r="BT12" i="6" s="1"/>
  <c r="BE7" i="8"/>
  <c r="AR11" i="8"/>
  <c r="BJ7" i="8"/>
  <c r="AW11" i="8"/>
  <c r="CG15" i="8"/>
  <c r="CG17" i="8" s="1"/>
  <c r="AU7" i="8"/>
  <c r="AH11" i="8"/>
  <c r="CO28" i="8"/>
  <c r="CO38" i="8" s="1"/>
  <c r="CO11" i="8"/>
  <c r="BM7" i="8"/>
  <c r="AZ11" i="8"/>
  <c r="J23" i="8"/>
  <c r="J10" i="6" s="1"/>
  <c r="E23" i="8"/>
  <c r="E10" i="6" s="1"/>
  <c r="M23" i="8"/>
  <c r="M10" i="6" s="1"/>
  <c r="CF28" i="8"/>
  <c r="CF15" i="8"/>
  <c r="CF17" i="8" s="1"/>
  <c r="CF19" i="8"/>
  <c r="CF21" i="8" s="1"/>
  <c r="BS34" i="8"/>
  <c r="BS36" i="8" s="1"/>
  <c r="BS12" i="6" s="1"/>
  <c r="BS30" i="8"/>
  <c r="BS38" i="8"/>
  <c r="BS40" i="8" s="1"/>
  <c r="BS13" i="6" s="1"/>
  <c r="CN15" i="8"/>
  <c r="CN17" i="8" s="1"/>
  <c r="CN28" i="8"/>
  <c r="CN19" i="8"/>
  <c r="CN21" i="8" s="1"/>
  <c r="BX34" i="8"/>
  <c r="BX36" i="8" s="1"/>
  <c r="BX12" i="6" s="1"/>
  <c r="CB38" i="8"/>
  <c r="CB40" i="8" s="1"/>
  <c r="CB13" i="6" s="1"/>
  <c r="CI28" i="8"/>
  <c r="CI19" i="8"/>
  <c r="CI21" i="8" s="1"/>
  <c r="CI15" i="8"/>
  <c r="CI17" i="8" s="1"/>
  <c r="BX30" i="8"/>
  <c r="CA38" i="8"/>
  <c r="CL28" i="8"/>
  <c r="CL19" i="8"/>
  <c r="CL21" i="8" s="1"/>
  <c r="CL15" i="8"/>
  <c r="CL17" i="8" s="1"/>
  <c r="CK19" i="8"/>
  <c r="CK21" i="8" s="1"/>
  <c r="CK15" i="8"/>
  <c r="CK17" i="8" s="1"/>
  <c r="CG28" i="8"/>
  <c r="CG19" i="8"/>
  <c r="CG21" i="8" s="1"/>
  <c r="CA30" i="8"/>
  <c r="CB30" i="8"/>
  <c r="CO15" i="8"/>
  <c r="CO17" i="8" s="1"/>
  <c r="BN34" i="8"/>
  <c r="BN36" i="8" s="1"/>
  <c r="BN12" i="6" s="1"/>
  <c r="BO30" i="8"/>
  <c r="H23" i="8"/>
  <c r="H10" i="6" s="1"/>
  <c r="N23" i="8"/>
  <c r="N10" i="6" s="1"/>
  <c r="BE36" i="6"/>
  <c r="BF36" i="6" s="1"/>
  <c r="BG36" i="6" s="1"/>
  <c r="BH36" i="6" s="1"/>
  <c r="BI36" i="6" s="1"/>
  <c r="BJ36" i="6" s="1"/>
  <c r="BK36" i="6" s="1"/>
  <c r="BL36" i="6" s="1"/>
  <c r="BM36" i="6" s="1"/>
  <c r="BN36" i="6" s="1"/>
  <c r="BO36" i="6" s="1"/>
  <c r="BQ36" i="6" s="1"/>
  <c r="BE31" i="6"/>
  <c r="BF31" i="6" s="1"/>
  <c r="BG31" i="6" s="1"/>
  <c r="BH31" i="6" s="1"/>
  <c r="BI31" i="6" s="1"/>
  <c r="BJ31" i="6" s="1"/>
  <c r="BK31" i="6" s="1"/>
  <c r="BL31" i="6" s="1"/>
  <c r="BM31" i="6" s="1"/>
  <c r="BN31" i="6" s="1"/>
  <c r="BO31" i="6" s="1"/>
  <c r="BQ31" i="6" s="1"/>
  <c r="BE32" i="6"/>
  <c r="BF32" i="6" s="1"/>
  <c r="BG32" i="6" s="1"/>
  <c r="BH32" i="6" s="1"/>
  <c r="BI32" i="6" s="1"/>
  <c r="BJ32" i="6" s="1"/>
  <c r="BK32" i="6" s="1"/>
  <c r="BL32" i="6" s="1"/>
  <c r="BM32" i="6" s="1"/>
  <c r="BN32" i="6" s="1"/>
  <c r="BO32" i="6" s="1"/>
  <c r="BQ32" i="6" s="1"/>
  <c r="BE35" i="6"/>
  <c r="BF35" i="6" s="1"/>
  <c r="BG35" i="6" s="1"/>
  <c r="BH35" i="6" s="1"/>
  <c r="BI35" i="6" s="1"/>
  <c r="BJ35" i="6" s="1"/>
  <c r="BK35" i="6" s="1"/>
  <c r="BL35" i="6" s="1"/>
  <c r="BM35" i="6" s="1"/>
  <c r="BN35" i="6" s="1"/>
  <c r="BO35" i="6" s="1"/>
  <c r="BQ35" i="6" s="1"/>
  <c r="BC35" i="6"/>
  <c r="BC31" i="6"/>
  <c r="AI38" i="6"/>
  <c r="AJ38" i="6" s="1"/>
  <c r="AK38" i="6" s="1"/>
  <c r="AL38" i="6" s="1"/>
  <c r="AM38" i="6" s="1"/>
  <c r="AN38" i="6" s="1"/>
  <c r="AO38" i="6" s="1"/>
  <c r="AQ38" i="6" s="1"/>
  <c r="AR38" i="6" s="1"/>
  <c r="AS38" i="6" s="1"/>
  <c r="AT38" i="6" s="1"/>
  <c r="AU38" i="6" s="1"/>
  <c r="AV38" i="6" s="1"/>
  <c r="AW38" i="6" s="1"/>
  <c r="AX38" i="6" s="1"/>
  <c r="AY38" i="6" s="1"/>
  <c r="AZ38" i="6" s="1"/>
  <c r="BA38" i="6" s="1"/>
  <c r="BB38" i="6" s="1"/>
  <c r="BD38" i="6" s="1"/>
  <c r="AH28" i="6"/>
  <c r="AI28" i="6" s="1"/>
  <c r="AJ28" i="6" s="1"/>
  <c r="AK28" i="6" s="1"/>
  <c r="AL28" i="6" s="1"/>
  <c r="AM28" i="6" s="1"/>
  <c r="AN28" i="6" s="1"/>
  <c r="AO28" i="6" s="1"/>
  <c r="AQ28" i="6" s="1"/>
  <c r="AR28" i="6" s="1"/>
  <c r="AS28" i="6" s="1"/>
  <c r="AT28" i="6" s="1"/>
  <c r="AU28" i="6" s="1"/>
  <c r="AV28" i="6" s="1"/>
  <c r="AW28" i="6" s="1"/>
  <c r="AX28" i="6" s="1"/>
  <c r="AY28" i="6" s="1"/>
  <c r="AZ28" i="6" s="1"/>
  <c r="BA28" i="6" s="1"/>
  <c r="BB28" i="6" s="1"/>
  <c r="BD28" i="6" s="1"/>
  <c r="AP36" i="6"/>
  <c r="AP31" i="6"/>
  <c r="AP32" i="6"/>
  <c r="AH29" i="6"/>
  <c r="AI29" i="6" s="1"/>
  <c r="AJ29" i="6" s="1"/>
  <c r="AK29" i="6" s="1"/>
  <c r="AL29" i="6" s="1"/>
  <c r="AM29" i="6" s="1"/>
  <c r="AN29" i="6" s="1"/>
  <c r="AO29" i="6" s="1"/>
  <c r="AQ29" i="6" s="1"/>
  <c r="AR29" i="6" s="1"/>
  <c r="AS29" i="6" s="1"/>
  <c r="AT29" i="6" s="1"/>
  <c r="AU29" i="6" s="1"/>
  <c r="AV29" i="6" s="1"/>
  <c r="AW29" i="6" s="1"/>
  <c r="AX29" i="6" s="1"/>
  <c r="AY29" i="6" s="1"/>
  <c r="AZ29" i="6" s="1"/>
  <c r="BA29" i="6" s="1"/>
  <c r="BB29" i="6" s="1"/>
  <c r="BD29" i="6" s="1"/>
  <c r="AP35" i="6"/>
  <c r="AC51" i="6"/>
  <c r="U33" i="6"/>
  <c r="V33" i="6" s="1"/>
  <c r="W33" i="6" s="1"/>
  <c r="X33" i="6" s="1"/>
  <c r="Y33" i="6" s="1"/>
  <c r="Z33" i="6" s="1"/>
  <c r="AA33" i="6" s="1"/>
  <c r="AB33" i="6" s="1"/>
  <c r="AD33" i="6" s="1"/>
  <c r="AE33" i="6" s="1"/>
  <c r="AF33" i="6" s="1"/>
  <c r="AG33" i="6" s="1"/>
  <c r="AH33" i="6" s="1"/>
  <c r="AI33" i="6" s="1"/>
  <c r="AJ33" i="6" s="1"/>
  <c r="AK33" i="6" s="1"/>
  <c r="AL33" i="6" s="1"/>
  <c r="AM33" i="6" s="1"/>
  <c r="AN33" i="6" s="1"/>
  <c r="AO33" i="6" s="1"/>
  <c r="AQ33" i="6" s="1"/>
  <c r="AR33" i="6" s="1"/>
  <c r="AS33" i="6" s="1"/>
  <c r="AT33" i="6" s="1"/>
  <c r="AU33" i="6" s="1"/>
  <c r="AV33" i="6" s="1"/>
  <c r="AW33" i="6" s="1"/>
  <c r="AX33" i="6" s="1"/>
  <c r="AY33" i="6" s="1"/>
  <c r="AZ33" i="6" s="1"/>
  <c r="BA33" i="6" s="1"/>
  <c r="BB33" i="6" s="1"/>
  <c r="BD33" i="6" s="1"/>
  <c r="U30" i="6"/>
  <c r="V30" i="6" s="1"/>
  <c r="W30" i="6" s="1"/>
  <c r="X30" i="6" s="1"/>
  <c r="Y30" i="6" s="1"/>
  <c r="Z30" i="6" s="1"/>
  <c r="AA30" i="6" s="1"/>
  <c r="AB30" i="6" s="1"/>
  <c r="AD30" i="6" s="1"/>
  <c r="AE30" i="6" s="1"/>
  <c r="AF30" i="6" s="1"/>
  <c r="AG30" i="6" s="1"/>
  <c r="AH30" i="6" s="1"/>
  <c r="AI30" i="6" s="1"/>
  <c r="U34" i="6"/>
  <c r="V34" i="6" s="1"/>
  <c r="W34" i="6" s="1"/>
  <c r="X34" i="6" s="1"/>
  <c r="Y34" i="6" s="1"/>
  <c r="Z34" i="6" s="1"/>
  <c r="AA34" i="6" s="1"/>
  <c r="AB34" i="6" s="1"/>
  <c r="AD34" i="6" s="1"/>
  <c r="AE34" i="6" s="1"/>
  <c r="AF34" i="6" s="1"/>
  <c r="AG34" i="6" s="1"/>
  <c r="AH34" i="6" s="1"/>
  <c r="AI34" i="6" s="1"/>
  <c r="AJ34" i="6" s="1"/>
  <c r="AK34" i="6" s="1"/>
  <c r="AL34" i="6" s="1"/>
  <c r="AM34" i="6" s="1"/>
  <c r="AN34" i="6" s="1"/>
  <c r="AO34" i="6" s="1"/>
  <c r="AQ34" i="6" s="1"/>
  <c r="AC29" i="6"/>
  <c r="AC36" i="6"/>
  <c r="AC28" i="6"/>
  <c r="AC31" i="6"/>
  <c r="AC38" i="6"/>
  <c r="AC35" i="6"/>
  <c r="P26" i="6"/>
  <c r="P36" i="6"/>
  <c r="E39" i="6"/>
  <c r="E40" i="6" s="1"/>
  <c r="BN38" i="8"/>
  <c r="BN40" i="8" s="1"/>
  <c r="AO30" i="8"/>
  <c r="D39" i="6"/>
  <c r="D40" i="6" s="1"/>
  <c r="P28" i="6"/>
  <c r="F27" i="6"/>
  <c r="P8" i="7"/>
  <c r="P9" i="7"/>
  <c r="V13" i="8"/>
  <c r="Q9" i="8"/>
  <c r="Y9" i="8"/>
  <c r="U13" i="8"/>
  <c r="Q15" i="8"/>
  <c r="Q17" i="8" s="1"/>
  <c r="Y15" i="8"/>
  <c r="Y17" i="8" s="1"/>
  <c r="U19" i="8"/>
  <c r="U21" i="8" s="1"/>
  <c r="Q28" i="8"/>
  <c r="Y28" i="8"/>
  <c r="Y34" i="8" s="1"/>
  <c r="Y36" i="8" s="1"/>
  <c r="Y12" i="6" s="1"/>
  <c r="V19" i="8"/>
  <c r="V21" i="8" s="1"/>
  <c r="X9" i="8"/>
  <c r="T13" i="8"/>
  <c r="AB13" i="8"/>
  <c r="X15" i="8"/>
  <c r="X17" i="8" s="1"/>
  <c r="X28" i="8"/>
  <c r="X30" i="8" s="1"/>
  <c r="X32" i="8" s="1"/>
  <c r="X11" i="6" s="1"/>
  <c r="V15" i="8"/>
  <c r="V17" i="8" s="1"/>
  <c r="U9" i="8"/>
  <c r="Q13" i="8"/>
  <c r="Y13" i="8"/>
  <c r="U15" i="8"/>
  <c r="U17" i="8" s="1"/>
  <c r="Q19" i="8"/>
  <c r="BI30" i="8"/>
  <c r="BO38" i="8"/>
  <c r="BO40" i="8" s="1"/>
  <c r="BG38" i="8"/>
  <c r="BG40" i="8" s="1"/>
  <c r="BF38" i="8"/>
  <c r="BF34" i="8"/>
  <c r="BF36" i="8" s="1"/>
  <c r="BF12" i="6" s="1"/>
  <c r="K9" i="8"/>
  <c r="K23" i="8" s="1"/>
  <c r="K10" i="6" s="1"/>
  <c r="G28" i="8"/>
  <c r="G38" i="8" s="1"/>
  <c r="G40" i="8" s="1"/>
  <c r="G13" i="6" s="1"/>
  <c r="O28" i="8"/>
  <c r="O38" i="8" s="1"/>
  <c r="O40" i="8" s="1"/>
  <c r="O13" i="6" s="1"/>
  <c r="G13" i="8"/>
  <c r="G23" i="8" s="1"/>
  <c r="G10" i="6" s="1"/>
  <c r="O13" i="8"/>
  <c r="O23" i="8" s="1"/>
  <c r="O10" i="6" s="1"/>
  <c r="L15" i="8"/>
  <c r="L17" i="8" s="1"/>
  <c r="I19" i="8"/>
  <c r="I21" i="8" s="1"/>
  <c r="L13" i="8"/>
  <c r="I15" i="8"/>
  <c r="I17" i="8" s="1"/>
  <c r="D15" i="8"/>
  <c r="D17" i="8" s="1"/>
  <c r="U30" i="8"/>
  <c r="U32" i="8" s="1"/>
  <c r="U11" i="6" s="1"/>
  <c r="BG30" i="8"/>
  <c r="BL38" i="8"/>
  <c r="BL40" i="8" s="1"/>
  <c r="BL34" i="8"/>
  <c r="BL36" i="8" s="1"/>
  <c r="BL12" i="6" s="1"/>
  <c r="BK38" i="8"/>
  <c r="BK40" i="8" s="1"/>
  <c r="BK13" i="6" s="1"/>
  <c r="BK34" i="8"/>
  <c r="BK36" i="8" s="1"/>
  <c r="BK12" i="6" s="1"/>
  <c r="BI38" i="8"/>
  <c r="BI40" i="8" s="1"/>
  <c r="AN38" i="8"/>
  <c r="AN30" i="8"/>
  <c r="AI38" i="8"/>
  <c r="AL30" i="8"/>
  <c r="AF38" i="8"/>
  <c r="AI30" i="8"/>
  <c r="AI32" i="8" s="1"/>
  <c r="AI11" i="6" s="1"/>
  <c r="AO34" i="8"/>
  <c r="AO36" i="8" s="1"/>
  <c r="AG30" i="8"/>
  <c r="AF30" i="8"/>
  <c r="AF32" i="8" s="1"/>
  <c r="AF11" i="6" s="1"/>
  <c r="AG34" i="8"/>
  <c r="AG36" i="8" s="1"/>
  <c r="AG12" i="6" s="1"/>
  <c r="AE30" i="8"/>
  <c r="AM30" i="8"/>
  <c r="AM32" i="8" s="1"/>
  <c r="AM11" i="6" s="1"/>
  <c r="AE34" i="8"/>
  <c r="AE36" i="8" s="1"/>
  <c r="AE12" i="6" s="1"/>
  <c r="AM34" i="8"/>
  <c r="AM36" i="8" s="1"/>
  <c r="AM12" i="6" s="1"/>
  <c r="AD34" i="8"/>
  <c r="AL34" i="8"/>
  <c r="AL36" i="8" s="1"/>
  <c r="AL12" i="6" s="1"/>
  <c r="AK38" i="8"/>
  <c r="AK40" i="8" s="1"/>
  <c r="AK13" i="6" s="1"/>
  <c r="AK30" i="8"/>
  <c r="AJ30" i="8"/>
  <c r="AJ34" i="8"/>
  <c r="AJ36" i="8" s="1"/>
  <c r="AJ12" i="6" s="1"/>
  <c r="C23" i="8"/>
  <c r="W38" i="8"/>
  <c r="W40" i="8" s="1"/>
  <c r="W13" i="6" s="1"/>
  <c r="Z34" i="8"/>
  <c r="Z36" i="8" s="1"/>
  <c r="Z12" i="6" s="1"/>
  <c r="T30" i="8"/>
  <c r="T32" i="8" s="1"/>
  <c r="T11" i="6" s="1"/>
  <c r="AB30" i="8"/>
  <c r="AB32" i="8" s="1"/>
  <c r="AB11" i="6" s="1"/>
  <c r="V38" i="8"/>
  <c r="V40" i="8" s="1"/>
  <c r="V13" i="6" s="1"/>
  <c r="R34" i="8"/>
  <c r="R36" i="8" s="1"/>
  <c r="R12" i="6" s="1"/>
  <c r="S30" i="8"/>
  <c r="S32" i="8" s="1"/>
  <c r="S11" i="6" s="1"/>
  <c r="AA30" i="8"/>
  <c r="AA32" i="8" s="1"/>
  <c r="AA11" i="6" s="1"/>
  <c r="U38" i="8"/>
  <c r="U40" i="8" s="1"/>
  <c r="U13" i="6" s="1"/>
  <c r="R30" i="8"/>
  <c r="R32" i="8" s="1"/>
  <c r="R11" i="6" s="1"/>
  <c r="Z30" i="8"/>
  <c r="Z32" i="8" s="1"/>
  <c r="Z11" i="6" s="1"/>
  <c r="W34" i="8"/>
  <c r="W36" i="8" s="1"/>
  <c r="W12" i="6" s="1"/>
  <c r="T38" i="8"/>
  <c r="T40" i="8" s="1"/>
  <c r="T13" i="6" s="1"/>
  <c r="AB38" i="8"/>
  <c r="AB40" i="8" s="1"/>
  <c r="AB13" i="6" s="1"/>
  <c r="S38" i="8"/>
  <c r="S40" i="8" s="1"/>
  <c r="S13" i="6" s="1"/>
  <c r="AA38" i="8"/>
  <c r="AA40" i="8" s="1"/>
  <c r="AA13" i="6" s="1"/>
  <c r="V34" i="8"/>
  <c r="V36" i="8" s="1"/>
  <c r="V12" i="6" s="1"/>
  <c r="D13" i="8"/>
  <c r="D28" i="8"/>
  <c r="D19" i="8"/>
  <c r="D21" i="8" s="1"/>
  <c r="D9" i="8"/>
  <c r="C42" i="8"/>
  <c r="I30" i="8"/>
  <c r="I32" i="8" s="1"/>
  <c r="I11" i="6" s="1"/>
  <c r="H34" i="8"/>
  <c r="H36" i="8" s="1"/>
  <c r="H12" i="6" s="1"/>
  <c r="H30" i="8"/>
  <c r="H32" i="8" s="1"/>
  <c r="H11" i="6" s="1"/>
  <c r="N38" i="8"/>
  <c r="N40" i="8" s="1"/>
  <c r="N13" i="6" s="1"/>
  <c r="F38" i="8"/>
  <c r="F40" i="8" s="1"/>
  <c r="F13" i="6" s="1"/>
  <c r="F34" i="8"/>
  <c r="F36" i="8" s="1"/>
  <c r="F12" i="6" s="1"/>
  <c r="N34" i="8"/>
  <c r="N36" i="8" s="1"/>
  <c r="N12" i="6" s="1"/>
  <c r="E38" i="8"/>
  <c r="E40" i="8" s="1"/>
  <c r="E13" i="6" s="1"/>
  <c r="M38" i="8"/>
  <c r="M40" i="8" s="1"/>
  <c r="M13" i="6" s="1"/>
  <c r="E34" i="8"/>
  <c r="E36" i="8" s="1"/>
  <c r="E12" i="6" s="1"/>
  <c r="M34" i="8"/>
  <c r="M36" i="8" s="1"/>
  <c r="M12" i="6" s="1"/>
  <c r="L38" i="8"/>
  <c r="L40" i="8" s="1"/>
  <c r="L13" i="6" s="1"/>
  <c r="L34" i="8"/>
  <c r="L36" i="8" s="1"/>
  <c r="L12" i="6" s="1"/>
  <c r="K38" i="8"/>
  <c r="K40" i="8" s="1"/>
  <c r="K13" i="6" s="1"/>
  <c r="K34" i="8"/>
  <c r="K36" i="8" s="1"/>
  <c r="K12" i="6" s="1"/>
  <c r="J38" i="8"/>
  <c r="J40" i="8" s="1"/>
  <c r="J13" i="6" s="1"/>
  <c r="J34" i="8"/>
  <c r="J36" i="8" s="1"/>
  <c r="J12" i="6" s="1"/>
  <c r="I38" i="8"/>
  <c r="I40" i="8" s="1"/>
  <c r="I13" i="6" s="1"/>
  <c r="BF40" i="8" l="1"/>
  <c r="BF13" i="6" s="1"/>
  <c r="CA40" i="8"/>
  <c r="CA13" i="6" s="1"/>
  <c r="AF40" i="8"/>
  <c r="AN40" i="8"/>
  <c r="AN13" i="6" s="1"/>
  <c r="P19" i="8"/>
  <c r="Q21" i="8"/>
  <c r="AC19" i="8"/>
  <c r="AD21" i="8"/>
  <c r="AD23" i="8" s="1"/>
  <c r="AD10" i="6" s="1"/>
  <c r="AP19" i="8"/>
  <c r="CO40" i="8"/>
  <c r="CO13" i="6" s="1"/>
  <c r="AI40" i="8"/>
  <c r="AI13" i="6" s="1"/>
  <c r="G30" i="8"/>
  <c r="G32" i="8" s="1"/>
  <c r="G11" i="6" s="1"/>
  <c r="D30" i="8"/>
  <c r="P28" i="8"/>
  <c r="AN32" i="8"/>
  <c r="AN11" i="6" s="1"/>
  <c r="T23" i="8"/>
  <c r="T10" i="6" s="1"/>
  <c r="T14" i="6" s="1"/>
  <c r="W23" i="8"/>
  <c r="W10" i="6" s="1"/>
  <c r="W14" i="6" s="1"/>
  <c r="R23" i="8"/>
  <c r="R10" i="6" s="1"/>
  <c r="R14" i="6" s="1"/>
  <c r="AK32" i="8"/>
  <c r="AK11" i="6" s="1"/>
  <c r="AL32" i="8"/>
  <c r="AL11" i="6" s="1"/>
  <c r="AG32" i="8"/>
  <c r="AG11" i="6" s="1"/>
  <c r="AO32" i="8"/>
  <c r="AO11" i="6" s="1"/>
  <c r="G10" i="11"/>
  <c r="BB31" i="8"/>
  <c r="AS31" i="8"/>
  <c r="BA31" i="8"/>
  <c r="AY31" i="8"/>
  <c r="AT31" i="8"/>
  <c r="AR31" i="8"/>
  <c r="AZ31" i="8"/>
  <c r="AX31" i="8"/>
  <c r="AU31" i="8"/>
  <c r="AW31" i="8"/>
  <c r="AV31" i="8"/>
  <c r="AQ31" i="8"/>
  <c r="AJ32" i="8"/>
  <c r="AJ11" i="6" s="1"/>
  <c r="AE32" i="8"/>
  <c r="AE11" i="6" s="1"/>
  <c r="AA23" i="8"/>
  <c r="AA10" i="6" s="1"/>
  <c r="AA14" i="6" s="1"/>
  <c r="AB23" i="8"/>
  <c r="AB10" i="6" s="1"/>
  <c r="AB14" i="6" s="1"/>
  <c r="Z23" i="8"/>
  <c r="Z10" i="6" s="1"/>
  <c r="Z14" i="6" s="1"/>
  <c r="Q34" i="8"/>
  <c r="AC28" i="8"/>
  <c r="AD38" i="8"/>
  <c r="AP28" i="8"/>
  <c r="I23" i="8"/>
  <c r="I10" i="6" s="1"/>
  <c r="I14" i="6" s="1"/>
  <c r="AD36" i="8"/>
  <c r="AD12" i="6" s="1"/>
  <c r="L23" i="8"/>
  <c r="L10" i="6" s="1"/>
  <c r="L14" i="6" s="1"/>
  <c r="AG23" i="8"/>
  <c r="AG10" i="6" s="1"/>
  <c r="AN23" i="8"/>
  <c r="AN10" i="6" s="1"/>
  <c r="AO23" i="8"/>
  <c r="AO10" i="6" s="1"/>
  <c r="AL23" i="8"/>
  <c r="AL10" i="6" s="1"/>
  <c r="AI23" i="8"/>
  <c r="AI10" i="6" s="1"/>
  <c r="AF23" i="8"/>
  <c r="AF10" i="6" s="1"/>
  <c r="AM23" i="8"/>
  <c r="AM10" i="6" s="1"/>
  <c r="AM14" i="6" s="1"/>
  <c r="AP9" i="8"/>
  <c r="AK23" i="8"/>
  <c r="AK10" i="6" s="1"/>
  <c r="BB8" i="8"/>
  <c r="AS8" i="8"/>
  <c r="BA8" i="8"/>
  <c r="AY8" i="8"/>
  <c r="AQ8" i="8"/>
  <c r="AT8" i="8"/>
  <c r="AR8" i="8"/>
  <c r="AZ8" i="8"/>
  <c r="AX8" i="8"/>
  <c r="AV8" i="8"/>
  <c r="AW8" i="8"/>
  <c r="AU8" i="8"/>
  <c r="AJ23" i="8"/>
  <c r="AJ10" i="6" s="1"/>
  <c r="AD30" i="8"/>
  <c r="AQ11" i="8"/>
  <c r="AH13" i="8"/>
  <c r="AP13" i="8" s="1"/>
  <c r="AH30" i="8"/>
  <c r="AH32" i="8" s="1"/>
  <c r="AH11" i="6" s="1"/>
  <c r="AE23" i="8"/>
  <c r="AE10" i="6" s="1"/>
  <c r="AR12" i="8"/>
  <c r="AZ12" i="8"/>
  <c r="AQ12" i="8"/>
  <c r="AU12" i="8"/>
  <c r="AS12" i="8"/>
  <c r="AY12" i="8"/>
  <c r="AT12" i="8"/>
  <c r="AX12" i="8"/>
  <c r="BB12" i="8"/>
  <c r="BA12" i="8"/>
  <c r="AV12" i="8"/>
  <c r="AW12" i="8"/>
  <c r="CO30" i="8"/>
  <c r="CO34" i="8"/>
  <c r="CO36" i="8" s="1"/>
  <c r="CO12" i="6" s="1"/>
  <c r="CK30" i="8"/>
  <c r="AH34" i="8"/>
  <c r="AH36" i="8" s="1"/>
  <c r="AH12" i="6" s="1"/>
  <c r="CK38" i="8"/>
  <c r="CK40" i="8" s="1"/>
  <c r="CK13" i="6" s="1"/>
  <c r="AP11" i="8"/>
  <c r="AP17" i="8"/>
  <c r="BH7" i="8"/>
  <c r="AU11" i="8"/>
  <c r="BC7" i="8"/>
  <c r="BQ7" i="8"/>
  <c r="BD11" i="8"/>
  <c r="BD19" i="8"/>
  <c r="BD28" i="8"/>
  <c r="BD15" i="8"/>
  <c r="BD17" i="8" s="1"/>
  <c r="BR7" i="8"/>
  <c r="BE11" i="8"/>
  <c r="BE19" i="8"/>
  <c r="BE21" i="8" s="1"/>
  <c r="BE28" i="8"/>
  <c r="BE15" i="8"/>
  <c r="BE17" i="8" s="1"/>
  <c r="BW7" i="8"/>
  <c r="BJ11" i="8"/>
  <c r="BJ28" i="8"/>
  <c r="BJ15" i="8"/>
  <c r="BJ17" i="8" s="1"/>
  <c r="BJ19" i="8"/>
  <c r="BJ21" i="8" s="1"/>
  <c r="BZ7" i="8"/>
  <c r="BM11" i="8"/>
  <c r="BM19" i="8"/>
  <c r="BM21" i="8" s="1"/>
  <c r="BM28" i="8"/>
  <c r="BM15" i="8"/>
  <c r="BM17" i="8" s="1"/>
  <c r="BR36" i="6"/>
  <c r="BS36" i="6" s="1"/>
  <c r="BT36" i="6" s="1"/>
  <c r="BU36" i="6" s="1"/>
  <c r="BV36" i="6" s="1"/>
  <c r="BW36" i="6" s="1"/>
  <c r="BX36" i="6" s="1"/>
  <c r="BY36" i="6" s="1"/>
  <c r="BZ36" i="6" s="1"/>
  <c r="CA36" i="6" s="1"/>
  <c r="CB36" i="6" s="1"/>
  <c r="CD36" i="6" s="1"/>
  <c r="CG34" i="8"/>
  <c r="CG36" i="8" s="1"/>
  <c r="CG12" i="6" s="1"/>
  <c r="CG38" i="8"/>
  <c r="CG40" i="8" s="1"/>
  <c r="CG13" i="6" s="1"/>
  <c r="CG30" i="8"/>
  <c r="CN30" i="8"/>
  <c r="CN34" i="8"/>
  <c r="CN36" i="8" s="1"/>
  <c r="CN38" i="8"/>
  <c r="CN40" i="8" s="1"/>
  <c r="CN13" i="6" s="1"/>
  <c r="CL30" i="8"/>
  <c r="CL34" i="8"/>
  <c r="CL36" i="8" s="1"/>
  <c r="CL38" i="8"/>
  <c r="CL40" i="8" s="1"/>
  <c r="CL13" i="6" s="1"/>
  <c r="BR31" i="6"/>
  <c r="BS31" i="6" s="1"/>
  <c r="BT31" i="6" s="1"/>
  <c r="BU31" i="6" s="1"/>
  <c r="BV31" i="6" s="1"/>
  <c r="BW31" i="6" s="1"/>
  <c r="BX31" i="6" s="1"/>
  <c r="BY31" i="6" s="1"/>
  <c r="BZ31" i="6" s="1"/>
  <c r="CA31" i="6" s="1"/>
  <c r="CB31" i="6" s="1"/>
  <c r="CD31" i="6" s="1"/>
  <c r="BR32" i="6"/>
  <c r="BS32" i="6" s="1"/>
  <c r="BT32" i="6" s="1"/>
  <c r="BU32" i="6" s="1"/>
  <c r="BV32" i="6" s="1"/>
  <c r="BW32" i="6" s="1"/>
  <c r="BX32" i="6" s="1"/>
  <c r="BY32" i="6" s="1"/>
  <c r="BZ32" i="6" s="1"/>
  <c r="CA32" i="6" s="1"/>
  <c r="CB32" i="6" s="1"/>
  <c r="CD32" i="6" s="1"/>
  <c r="CI38" i="8"/>
  <c r="CI40" i="8" s="1"/>
  <c r="CI13" i="6" s="1"/>
  <c r="CI34" i="8"/>
  <c r="CI36" i="8" s="1"/>
  <c r="CI12" i="6" s="1"/>
  <c r="CI30" i="8"/>
  <c r="CF30" i="8"/>
  <c r="CF38" i="8"/>
  <c r="CF40" i="8" s="1"/>
  <c r="CF13" i="6" s="1"/>
  <c r="CF34" i="8"/>
  <c r="CF36" i="8" s="1"/>
  <c r="BR35" i="6"/>
  <c r="BS35" i="6" s="1"/>
  <c r="BT35" i="6" s="1"/>
  <c r="BU35" i="6" s="1"/>
  <c r="BV35" i="6" s="1"/>
  <c r="BW35" i="6" s="1"/>
  <c r="BX35" i="6" s="1"/>
  <c r="BY35" i="6" s="1"/>
  <c r="BZ35" i="6" s="1"/>
  <c r="CA35" i="6" s="1"/>
  <c r="CB35" i="6" s="1"/>
  <c r="CD35" i="6" s="1"/>
  <c r="Y38" i="8"/>
  <c r="Y40" i="8" s="1"/>
  <c r="Y13" i="6" s="1"/>
  <c r="AC21" i="8"/>
  <c r="E14" i="6"/>
  <c r="F14" i="6"/>
  <c r="M14" i="6"/>
  <c r="K14" i="6"/>
  <c r="J14" i="6"/>
  <c r="N14" i="6"/>
  <c r="H14" i="6"/>
  <c r="BI13" i="6"/>
  <c r="BL13" i="6"/>
  <c r="BG13" i="6"/>
  <c r="BN13" i="6"/>
  <c r="BO13" i="6"/>
  <c r="AF13" i="6"/>
  <c r="AO12" i="6"/>
  <c r="Q23" i="8"/>
  <c r="Q10" i="6" s="1"/>
  <c r="S10" i="6"/>
  <c r="S14" i="6" s="1"/>
  <c r="U23" i="8"/>
  <c r="AC17" i="8"/>
  <c r="AP38" i="6"/>
  <c r="AC30" i="6"/>
  <c r="AC34" i="6"/>
  <c r="BC38" i="6"/>
  <c r="BP32" i="6"/>
  <c r="AR34" i="6"/>
  <c r="AS34" i="6" s="1"/>
  <c r="AT34" i="6" s="1"/>
  <c r="AU34" i="6" s="1"/>
  <c r="AV34" i="6" s="1"/>
  <c r="AW34" i="6" s="1"/>
  <c r="AX34" i="6" s="1"/>
  <c r="AY34" i="6" s="1"/>
  <c r="AZ34" i="6" s="1"/>
  <c r="BA34" i="6" s="1"/>
  <c r="BB34" i="6" s="1"/>
  <c r="BD34" i="6" s="1"/>
  <c r="AJ30" i="6"/>
  <c r="AK30" i="6" s="1"/>
  <c r="AL30" i="6" s="1"/>
  <c r="AM30" i="6" s="1"/>
  <c r="AN30" i="6" s="1"/>
  <c r="AO30" i="6" s="1"/>
  <c r="AQ30" i="6" s="1"/>
  <c r="AP33" i="6"/>
  <c r="BE33" i="6"/>
  <c r="BF33" i="6" s="1"/>
  <c r="BG33" i="6" s="1"/>
  <c r="BH33" i="6" s="1"/>
  <c r="BI33" i="6" s="1"/>
  <c r="BJ33" i="6" s="1"/>
  <c r="BK33" i="6" s="1"/>
  <c r="BL33" i="6" s="1"/>
  <c r="BM33" i="6" s="1"/>
  <c r="BN33" i="6" s="1"/>
  <c r="BO33" i="6" s="1"/>
  <c r="BQ33" i="6" s="1"/>
  <c r="BC33" i="6"/>
  <c r="BP36" i="6"/>
  <c r="BP31" i="6"/>
  <c r="BE38" i="6"/>
  <c r="BF38" i="6" s="1"/>
  <c r="BG38" i="6" s="1"/>
  <c r="BH38" i="6" s="1"/>
  <c r="BI38" i="6" s="1"/>
  <c r="BJ38" i="6" s="1"/>
  <c r="BK38" i="6" s="1"/>
  <c r="BL38" i="6" s="1"/>
  <c r="BM38" i="6" s="1"/>
  <c r="BN38" i="6" s="1"/>
  <c r="BO38" i="6" s="1"/>
  <c r="BQ38" i="6" s="1"/>
  <c r="BE28" i="6"/>
  <c r="BF28" i="6" s="1"/>
  <c r="BG28" i="6" s="1"/>
  <c r="BH28" i="6" s="1"/>
  <c r="BI28" i="6" s="1"/>
  <c r="BJ28" i="6" s="1"/>
  <c r="BK28" i="6" s="1"/>
  <c r="BL28" i="6" s="1"/>
  <c r="BM28" i="6" s="1"/>
  <c r="BN28" i="6" s="1"/>
  <c r="BO28" i="6" s="1"/>
  <c r="BQ28" i="6" s="1"/>
  <c r="BE29" i="6"/>
  <c r="BF29" i="6" s="1"/>
  <c r="BG29" i="6" s="1"/>
  <c r="BH29" i="6" s="1"/>
  <c r="BI29" i="6" s="1"/>
  <c r="BJ29" i="6" s="1"/>
  <c r="BK29" i="6" s="1"/>
  <c r="BL29" i="6" s="1"/>
  <c r="BM29" i="6" s="1"/>
  <c r="BN29" i="6" s="1"/>
  <c r="BO29" i="6" s="1"/>
  <c r="BQ29" i="6" s="1"/>
  <c r="BC29" i="6"/>
  <c r="BP35" i="6"/>
  <c r="BC32" i="6"/>
  <c r="AP37" i="6"/>
  <c r="AP34" i="6"/>
  <c r="AP29" i="6"/>
  <c r="AP28" i="6"/>
  <c r="AC37" i="6"/>
  <c r="AC33" i="6"/>
  <c r="AF42" i="8"/>
  <c r="F39" i="6"/>
  <c r="F40" i="6" s="1"/>
  <c r="G27" i="6"/>
  <c r="G39" i="6" s="1"/>
  <c r="G40" i="6" s="1"/>
  <c r="V23" i="8"/>
  <c r="X34" i="8"/>
  <c r="X36" i="8" s="1"/>
  <c r="X12" i="6" s="1"/>
  <c r="AC9" i="8"/>
  <c r="Y23" i="8"/>
  <c r="Q38" i="8"/>
  <c r="X38" i="8"/>
  <c r="X40" i="8" s="1"/>
  <c r="X13" i="6" s="1"/>
  <c r="AC13" i="8"/>
  <c r="Q30" i="8"/>
  <c r="X23" i="8"/>
  <c r="Y30" i="8"/>
  <c r="Y32" i="8" s="1"/>
  <c r="Y11" i="6" s="1"/>
  <c r="R42" i="8"/>
  <c r="W42" i="8"/>
  <c r="V42" i="8"/>
  <c r="U42" i="8"/>
  <c r="P21" i="8"/>
  <c r="O34" i="8"/>
  <c r="O36" i="8" s="1"/>
  <c r="O12" i="6" s="1"/>
  <c r="O30" i="8"/>
  <c r="O32" i="8" s="1"/>
  <c r="P13" i="8"/>
  <c r="G34" i="8"/>
  <c r="G36" i="8" s="1"/>
  <c r="P17" i="8"/>
  <c r="C50" i="8"/>
  <c r="T42" i="8"/>
  <c r="AN42" i="8"/>
  <c r="N42" i="8"/>
  <c r="N50" i="8" s="1"/>
  <c r="AM42" i="8"/>
  <c r="AA42" i="8"/>
  <c r="AI42" i="8"/>
  <c r="L42" i="8"/>
  <c r="I42" i="8"/>
  <c r="E42" i="8"/>
  <c r="E50" i="8" s="1"/>
  <c r="Z42" i="8"/>
  <c r="M42" i="8"/>
  <c r="M50" i="8" s="1"/>
  <c r="S42" i="8"/>
  <c r="S50" i="8" s="1"/>
  <c r="AB42" i="8"/>
  <c r="D23" i="8"/>
  <c r="D34" i="8"/>
  <c r="P9" i="8"/>
  <c r="D38" i="8"/>
  <c r="F42" i="8"/>
  <c r="F50" i="8" s="1"/>
  <c r="H42" i="8"/>
  <c r="H50" i="8" s="1"/>
  <c r="K42" i="8"/>
  <c r="K50" i="8" s="1"/>
  <c r="J42" i="8"/>
  <c r="J50" i="8" s="1"/>
  <c r="AP21" i="8" l="1"/>
  <c r="BD21" i="8"/>
  <c r="AN14" i="6"/>
  <c r="AI14" i="6"/>
  <c r="D36" i="8"/>
  <c r="D12" i="6" s="1"/>
  <c r="P34" i="8"/>
  <c r="AL14" i="6"/>
  <c r="D32" i="8"/>
  <c r="D11" i="6" s="1"/>
  <c r="P30" i="8"/>
  <c r="D40" i="8"/>
  <c r="P38" i="8"/>
  <c r="T50" i="8"/>
  <c r="R50" i="8"/>
  <c r="W50" i="8"/>
  <c r="AK42" i="8"/>
  <c r="AK4" i="8" s="1"/>
  <c r="AK7" i="6" s="1"/>
  <c r="AL42" i="8"/>
  <c r="AL4" i="8" s="1"/>
  <c r="AL7" i="6" s="1"/>
  <c r="AK14" i="6"/>
  <c r="AO42" i="8"/>
  <c r="AO4" i="8" s="1"/>
  <c r="AO7" i="6" s="1"/>
  <c r="AO20" i="6" s="1"/>
  <c r="AE14" i="6"/>
  <c r="AE42" i="8"/>
  <c r="AE4" i="8" s="1"/>
  <c r="AE7" i="6" s="1"/>
  <c r="N4" i="8"/>
  <c r="N7" i="6" s="1"/>
  <c r="N55" i="6" s="1"/>
  <c r="AJ14" i="6"/>
  <c r="AJ42" i="8"/>
  <c r="AJ50" i="8" s="1"/>
  <c r="AG42" i="8"/>
  <c r="AG4" i="8" s="1"/>
  <c r="AG7" i="6" s="1"/>
  <c r="AG14" i="6"/>
  <c r="H10" i="11"/>
  <c r="BK31" i="8"/>
  <c r="BK32" i="8" s="1"/>
  <c r="BJ31" i="8"/>
  <c r="BH31" i="8"/>
  <c r="BL31" i="8"/>
  <c r="BL32" i="8" s="1"/>
  <c r="BI31" i="8"/>
  <c r="BI32" i="8" s="1"/>
  <c r="BD31" i="8"/>
  <c r="BG31" i="8"/>
  <c r="BG32" i="8" s="1"/>
  <c r="BO31" i="8"/>
  <c r="BO32" i="8" s="1"/>
  <c r="BM31" i="8"/>
  <c r="BF31" i="8"/>
  <c r="BF32" i="8" s="1"/>
  <c r="BN31" i="8"/>
  <c r="BN32" i="8" s="1"/>
  <c r="BE31" i="8"/>
  <c r="I50" i="8"/>
  <c r="AA50" i="8"/>
  <c r="AB50" i="8"/>
  <c r="Z50" i="8"/>
  <c r="Q32" i="8"/>
  <c r="Q11" i="6" s="1"/>
  <c r="AC11" i="6" s="1"/>
  <c r="AC30" i="8"/>
  <c r="AD40" i="8"/>
  <c r="AP38" i="8"/>
  <c r="Q36" i="8"/>
  <c r="Q12" i="6" s="1"/>
  <c r="AC12" i="6" s="1"/>
  <c r="AC34" i="8"/>
  <c r="AP34" i="8"/>
  <c r="Q40" i="8"/>
  <c r="Q13" i="6" s="1"/>
  <c r="AC13" i="6" s="1"/>
  <c r="AC38" i="8"/>
  <c r="AD32" i="8"/>
  <c r="AD11" i="6" s="1"/>
  <c r="AP11" i="6" s="1"/>
  <c r="AP30" i="8"/>
  <c r="O42" i="8"/>
  <c r="O50" i="8" s="1"/>
  <c r="O11" i="6"/>
  <c r="K4" i="8"/>
  <c r="K7" i="6" s="1"/>
  <c r="K20" i="6" s="1"/>
  <c r="H4" i="8"/>
  <c r="H7" i="6" s="1"/>
  <c r="H18" i="6" s="1"/>
  <c r="L4" i="8"/>
  <c r="L7" i="6" s="1"/>
  <c r="L17" i="6" s="1"/>
  <c r="AI50" i="8"/>
  <c r="AN50" i="8"/>
  <c r="AF50" i="8"/>
  <c r="BJ8" i="8"/>
  <c r="BJ9" i="8" s="1"/>
  <c r="BL8" i="8"/>
  <c r="BL9" i="8" s="1"/>
  <c r="BK8" i="8"/>
  <c r="BK9" i="8" s="1"/>
  <c r="BD8" i="8"/>
  <c r="BD9" i="8" s="1"/>
  <c r="BI8" i="8"/>
  <c r="BI9" i="8" s="1"/>
  <c r="BM8" i="8"/>
  <c r="BM9" i="8" s="1"/>
  <c r="BE8" i="8"/>
  <c r="BE9" i="8" s="1"/>
  <c r="BO8" i="8"/>
  <c r="BO9" i="8" s="1"/>
  <c r="BN8" i="8"/>
  <c r="BN9" i="8" s="1"/>
  <c r="BF8" i="8"/>
  <c r="BF9" i="8" s="1"/>
  <c r="BG8" i="8"/>
  <c r="BG9" i="8" s="1"/>
  <c r="BH8" i="8"/>
  <c r="BH9" i="8" s="1"/>
  <c r="AM50" i="8"/>
  <c r="AP12" i="6"/>
  <c r="BC11" i="8"/>
  <c r="AP36" i="8"/>
  <c r="AH23" i="8"/>
  <c r="AH10" i="6" s="1"/>
  <c r="AH14" i="6" s="1"/>
  <c r="AH42" i="8"/>
  <c r="BI12" i="8"/>
  <c r="BI13" i="8" s="1"/>
  <c r="BM12" i="8"/>
  <c r="BM13" i="8" s="1"/>
  <c r="BN12" i="8"/>
  <c r="BN13" i="8" s="1"/>
  <c r="BH12" i="8"/>
  <c r="BE12" i="8"/>
  <c r="BE13" i="8" s="1"/>
  <c r="BD12" i="8"/>
  <c r="BD13" i="8" s="1"/>
  <c r="BJ12" i="8"/>
  <c r="BJ13" i="8" s="1"/>
  <c r="BG12" i="8"/>
  <c r="BG13" i="8" s="1"/>
  <c r="BL12" i="8"/>
  <c r="BL13" i="8" s="1"/>
  <c r="BO12" i="8"/>
  <c r="BO13" i="8" s="1"/>
  <c r="BF12" i="8"/>
  <c r="BF13" i="8" s="1"/>
  <c r="BK12" i="8"/>
  <c r="BK13" i="8" s="1"/>
  <c r="AP23" i="8"/>
  <c r="BW11" i="8"/>
  <c r="CJ7" i="8"/>
  <c r="BW28" i="8"/>
  <c r="BW15" i="8"/>
  <c r="BW17" i="8" s="1"/>
  <c r="BW19" i="8"/>
  <c r="BW21" i="8" s="1"/>
  <c r="BU7" i="8"/>
  <c r="CC7" i="8" s="1"/>
  <c r="BH11" i="8"/>
  <c r="BH28" i="8"/>
  <c r="BP28" i="8" s="1"/>
  <c r="BH19" i="8"/>
  <c r="BH21" i="8" s="1"/>
  <c r="BP21" i="8" s="1"/>
  <c r="BH15" i="8"/>
  <c r="BH17" i="8" s="1"/>
  <c r="BP17" i="8" s="1"/>
  <c r="BR11" i="8"/>
  <c r="BR15" i="8"/>
  <c r="BR17" i="8" s="1"/>
  <c r="BR19" i="8"/>
  <c r="BR21" i="8" s="1"/>
  <c r="BR28" i="8"/>
  <c r="CE7" i="8"/>
  <c r="BM30" i="8"/>
  <c r="BM34" i="8"/>
  <c r="BM36" i="8" s="1"/>
  <c r="BM12" i="6" s="1"/>
  <c r="BM38" i="8"/>
  <c r="BM40" i="8" s="1"/>
  <c r="BM13" i="6" s="1"/>
  <c r="BJ30" i="8"/>
  <c r="BJ34" i="8"/>
  <c r="BJ36" i="8" s="1"/>
  <c r="BJ12" i="6" s="1"/>
  <c r="BJ38" i="8"/>
  <c r="BJ40" i="8" s="1"/>
  <c r="BJ13" i="6" s="1"/>
  <c r="BQ11" i="8"/>
  <c r="CD7" i="8"/>
  <c r="BQ28" i="8"/>
  <c r="BQ19" i="8"/>
  <c r="BQ15" i="8"/>
  <c r="BQ17" i="8" s="1"/>
  <c r="AM4" i="8"/>
  <c r="AM7" i="6" s="1"/>
  <c r="AM19" i="6" s="1"/>
  <c r="BE30" i="8"/>
  <c r="BE34" i="8"/>
  <c r="BE36" i="8" s="1"/>
  <c r="BE12" i="6" s="1"/>
  <c r="BE38" i="8"/>
  <c r="BE40" i="8" s="1"/>
  <c r="BE13" i="6" s="1"/>
  <c r="AF4" i="8"/>
  <c r="AF7" i="6" s="1"/>
  <c r="AF19" i="6" s="1"/>
  <c r="BD30" i="8"/>
  <c r="BD38" i="8"/>
  <c r="BD34" i="8"/>
  <c r="BZ11" i="8"/>
  <c r="BZ28" i="8"/>
  <c r="BZ19" i="8"/>
  <c r="BZ21" i="8" s="1"/>
  <c r="BZ15" i="8"/>
  <c r="BZ17" i="8" s="1"/>
  <c r="CM7" i="8"/>
  <c r="BP7" i="8"/>
  <c r="CC32" i="6"/>
  <c r="CN12" i="6"/>
  <c r="BR38" i="6"/>
  <c r="BS38" i="6" s="1"/>
  <c r="BT38" i="6" s="1"/>
  <c r="BU38" i="6" s="1"/>
  <c r="BV38" i="6" s="1"/>
  <c r="BW38" i="6" s="1"/>
  <c r="BX38" i="6" s="1"/>
  <c r="BY38" i="6" s="1"/>
  <c r="BZ38" i="6" s="1"/>
  <c r="CA38" i="6" s="1"/>
  <c r="CB38" i="6" s="1"/>
  <c r="CD38" i="6" s="1"/>
  <c r="CE32" i="6"/>
  <c r="CF32" i="6" s="1"/>
  <c r="CG32" i="6" s="1"/>
  <c r="CH32" i="6" s="1"/>
  <c r="CI32" i="6" s="1"/>
  <c r="CJ32" i="6" s="1"/>
  <c r="CK32" i="6" s="1"/>
  <c r="CL32" i="6" s="1"/>
  <c r="CM32" i="6" s="1"/>
  <c r="CN32" i="6" s="1"/>
  <c r="CO32" i="6" s="1"/>
  <c r="CC31" i="6"/>
  <c r="BR28" i="6"/>
  <c r="BS28" i="6" s="1"/>
  <c r="BT28" i="6" s="1"/>
  <c r="BU28" i="6" s="1"/>
  <c r="BV28" i="6" s="1"/>
  <c r="BW28" i="6" s="1"/>
  <c r="BX28" i="6" s="1"/>
  <c r="BY28" i="6" s="1"/>
  <c r="BZ28" i="6" s="1"/>
  <c r="CA28" i="6" s="1"/>
  <c r="CB28" i="6" s="1"/>
  <c r="CD28" i="6" s="1"/>
  <c r="CE35" i="6"/>
  <c r="CF35" i="6" s="1"/>
  <c r="CG35" i="6" s="1"/>
  <c r="CH35" i="6" s="1"/>
  <c r="CI35" i="6" s="1"/>
  <c r="CJ35" i="6" s="1"/>
  <c r="CK35" i="6" s="1"/>
  <c r="CL35" i="6" s="1"/>
  <c r="CM35" i="6" s="1"/>
  <c r="CN35" i="6" s="1"/>
  <c r="CO35" i="6" s="1"/>
  <c r="CE36" i="6"/>
  <c r="CF36" i="6" s="1"/>
  <c r="CG36" i="6" s="1"/>
  <c r="CH36" i="6" s="1"/>
  <c r="CI36" i="6" s="1"/>
  <c r="CJ36" i="6" s="1"/>
  <c r="CK36" i="6" s="1"/>
  <c r="CL36" i="6" s="1"/>
  <c r="CM36" i="6" s="1"/>
  <c r="CN36" i="6" s="1"/>
  <c r="CO36" i="6" s="1"/>
  <c r="BR29" i="6"/>
  <c r="BS29" i="6" s="1"/>
  <c r="BT29" i="6" s="1"/>
  <c r="BU29" i="6" s="1"/>
  <c r="BV29" i="6" s="1"/>
  <c r="BW29" i="6" s="1"/>
  <c r="BX29" i="6" s="1"/>
  <c r="BY29" i="6" s="1"/>
  <c r="BZ29" i="6" s="1"/>
  <c r="CA29" i="6" s="1"/>
  <c r="CB29" i="6" s="1"/>
  <c r="CD29" i="6" s="1"/>
  <c r="CC35" i="6"/>
  <c r="CC36" i="6"/>
  <c r="CF12" i="6"/>
  <c r="AO50" i="8"/>
  <c r="BR33" i="6"/>
  <c r="BS33" i="6" s="1"/>
  <c r="BT33" i="6" s="1"/>
  <c r="BU33" i="6" s="1"/>
  <c r="BV33" i="6" s="1"/>
  <c r="BW33" i="6" s="1"/>
  <c r="BX33" i="6" s="1"/>
  <c r="BY33" i="6" s="1"/>
  <c r="BZ33" i="6" s="1"/>
  <c r="CA33" i="6" s="1"/>
  <c r="CB33" i="6" s="1"/>
  <c r="CD33" i="6" s="1"/>
  <c r="CE31" i="6"/>
  <c r="CF31" i="6" s="1"/>
  <c r="CG31" i="6" s="1"/>
  <c r="CH31" i="6" s="1"/>
  <c r="CI31" i="6" s="1"/>
  <c r="CJ31" i="6" s="1"/>
  <c r="CK31" i="6" s="1"/>
  <c r="CL31" i="6" s="1"/>
  <c r="CM31" i="6" s="1"/>
  <c r="CN31" i="6" s="1"/>
  <c r="CO31" i="6" s="1"/>
  <c r="CL12" i="6"/>
  <c r="AF14" i="6"/>
  <c r="AO14" i="6"/>
  <c r="U50" i="8"/>
  <c r="V50" i="8"/>
  <c r="AB4" i="8"/>
  <c r="AB7" i="6" s="1"/>
  <c r="R4" i="8"/>
  <c r="R7" i="6" s="1"/>
  <c r="Y42" i="8"/>
  <c r="Y50" i="8" s="1"/>
  <c r="AC23" i="8"/>
  <c r="W4" i="8"/>
  <c r="W7" i="6" s="1"/>
  <c r="W17" i="6" s="1"/>
  <c r="Z4" i="8"/>
  <c r="Z7" i="6" s="1"/>
  <c r="T4" i="8"/>
  <c r="T7" i="6" s="1"/>
  <c r="X10" i="6"/>
  <c r="X14" i="6" s="1"/>
  <c r="V10" i="6"/>
  <c r="V14" i="6" s="1"/>
  <c r="V4" i="8"/>
  <c r="V7" i="6" s="1"/>
  <c r="U10" i="6"/>
  <c r="U14" i="6" s="1"/>
  <c r="U4" i="8"/>
  <c r="U7" i="6" s="1"/>
  <c r="S4" i="8"/>
  <c r="S7" i="6" s="1"/>
  <c r="Y10" i="6"/>
  <c r="Y14" i="6" s="1"/>
  <c r="AA4" i="8"/>
  <c r="AA7" i="6" s="1"/>
  <c r="M4" i="8"/>
  <c r="M7" i="6" s="1"/>
  <c r="I4" i="8"/>
  <c r="I7" i="6" s="1"/>
  <c r="G42" i="8"/>
  <c r="G12" i="6"/>
  <c r="G14" i="6" s="1"/>
  <c r="E4" i="8"/>
  <c r="E7" i="6" s="1"/>
  <c r="D10" i="6"/>
  <c r="P40" i="8"/>
  <c r="D13" i="6"/>
  <c r="P13" i="6" s="1"/>
  <c r="BP33" i="6"/>
  <c r="BE34" i="6"/>
  <c r="BF34" i="6" s="1"/>
  <c r="BG34" i="6" s="1"/>
  <c r="BH34" i="6" s="1"/>
  <c r="BI34" i="6" s="1"/>
  <c r="BJ34" i="6" s="1"/>
  <c r="BK34" i="6" s="1"/>
  <c r="BL34" i="6" s="1"/>
  <c r="BM34" i="6" s="1"/>
  <c r="BN34" i="6" s="1"/>
  <c r="BO34" i="6" s="1"/>
  <c r="BQ34" i="6" s="1"/>
  <c r="BC34" i="6"/>
  <c r="BP29" i="6"/>
  <c r="BP28" i="6"/>
  <c r="BP38" i="6"/>
  <c r="AR30" i="6"/>
  <c r="AS30" i="6" s="1"/>
  <c r="AT30" i="6" s="1"/>
  <c r="AU30" i="6" s="1"/>
  <c r="AV30" i="6" s="1"/>
  <c r="AW30" i="6" s="1"/>
  <c r="AX30" i="6" s="1"/>
  <c r="AY30" i="6" s="1"/>
  <c r="AZ30" i="6" s="1"/>
  <c r="BA30" i="6" s="1"/>
  <c r="BB30" i="6" s="1"/>
  <c r="BD30" i="6" s="1"/>
  <c r="AP30" i="6"/>
  <c r="AN4" i="8"/>
  <c r="AN7" i="6" s="1"/>
  <c r="AI4" i="8"/>
  <c r="H27" i="6"/>
  <c r="J4" i="8"/>
  <c r="J7" i="6" s="1"/>
  <c r="F4" i="8"/>
  <c r="F7" i="6" s="1"/>
  <c r="X42" i="8"/>
  <c r="X50" i="8" s="1"/>
  <c r="P36" i="8"/>
  <c r="P23" i="8"/>
  <c r="L50" i="8"/>
  <c r="P32" i="8" l="1"/>
  <c r="BP19" i="8"/>
  <c r="BQ21" i="8"/>
  <c r="D42" i="8"/>
  <c r="AK50" i="8"/>
  <c r="BM32" i="8"/>
  <c r="AL50" i="8"/>
  <c r="BE32" i="8"/>
  <c r="BE42" i="8" s="1"/>
  <c r="AJ4" i="8"/>
  <c r="AJ7" i="6" s="1"/>
  <c r="AJ17" i="6" s="1"/>
  <c r="AG50" i="8"/>
  <c r="N16" i="6"/>
  <c r="N19" i="6"/>
  <c r="N17" i="6"/>
  <c r="AC36" i="8"/>
  <c r="AE50" i="8"/>
  <c r="N20" i="6"/>
  <c r="BJ32" i="8"/>
  <c r="BJ42" i="8" s="1"/>
  <c r="N18" i="6"/>
  <c r="AD42" i="8"/>
  <c r="AD4" i="8" s="1"/>
  <c r="AD7" i="6" s="1"/>
  <c r="AD55" i="6" s="1"/>
  <c r="BN11" i="6"/>
  <c r="BN42" i="8"/>
  <c r="BI11" i="6"/>
  <c r="BI42" i="8"/>
  <c r="BG11" i="6"/>
  <c r="BG42" i="8"/>
  <c r="BO11" i="6"/>
  <c r="BO42" i="8"/>
  <c r="I10" i="11"/>
  <c r="BT31" i="8"/>
  <c r="BT32" i="8" s="1"/>
  <c r="CB31" i="8"/>
  <c r="CB32" i="8" s="1"/>
  <c r="BS31" i="8"/>
  <c r="BS32" i="8" s="1"/>
  <c r="CA31" i="8"/>
  <c r="CA32" i="8" s="1"/>
  <c r="BY31" i="8"/>
  <c r="BY32" i="8" s="1"/>
  <c r="BU31" i="8"/>
  <c r="BR31" i="8"/>
  <c r="BZ31" i="8"/>
  <c r="BX31" i="8"/>
  <c r="BX32" i="8" s="1"/>
  <c r="BV31" i="8"/>
  <c r="BV32" i="8" s="1"/>
  <c r="BQ31" i="8"/>
  <c r="BW31" i="8"/>
  <c r="BL11" i="6"/>
  <c r="BL42" i="8"/>
  <c r="BK11" i="6"/>
  <c r="BK42" i="8"/>
  <c r="BF11" i="6"/>
  <c r="BF42" i="8"/>
  <c r="H17" i="6"/>
  <c r="K16" i="6"/>
  <c r="K17" i="6"/>
  <c r="K55" i="6"/>
  <c r="AC32" i="8"/>
  <c r="AC40" i="8"/>
  <c r="Q42" i="8"/>
  <c r="Q4" i="8" s="1"/>
  <c r="L55" i="6"/>
  <c r="AP32" i="8"/>
  <c r="BD32" i="8"/>
  <c r="BD11" i="6" s="1"/>
  <c r="BD40" i="8"/>
  <c r="BD13" i="6" s="1"/>
  <c r="BD36" i="8"/>
  <c r="BD12" i="6" s="1"/>
  <c r="AD13" i="6"/>
  <c r="AP40" i="8"/>
  <c r="K18" i="6"/>
  <c r="K19" i="6"/>
  <c r="H55" i="6"/>
  <c r="P11" i="6"/>
  <c r="O14" i="6"/>
  <c r="H16" i="6"/>
  <c r="H19" i="6"/>
  <c r="H20" i="6"/>
  <c r="O4" i="8"/>
  <c r="O7" i="6" s="1"/>
  <c r="O20" i="6" s="1"/>
  <c r="L18" i="6"/>
  <c r="L16" i="6"/>
  <c r="L19" i="6"/>
  <c r="L20" i="6"/>
  <c r="BL23" i="8"/>
  <c r="BL10" i="6" s="1"/>
  <c r="BK23" i="8"/>
  <c r="BK10" i="6" s="1"/>
  <c r="BJ23" i="8"/>
  <c r="BJ10" i="6" s="1"/>
  <c r="BG23" i="8"/>
  <c r="BG10" i="6" s="1"/>
  <c r="AO16" i="6"/>
  <c r="AO19" i="6"/>
  <c r="AO55" i="6"/>
  <c r="AO18" i="6"/>
  <c r="AO17" i="6"/>
  <c r="BF23" i="8"/>
  <c r="BF10" i="6" s="1"/>
  <c r="BD23" i="8"/>
  <c r="BD10" i="6" s="1"/>
  <c r="BI23" i="8"/>
  <c r="BI10" i="6" s="1"/>
  <c r="BM23" i="8"/>
  <c r="BM10" i="6" s="1"/>
  <c r="BO23" i="8"/>
  <c r="BO10" i="6" s="1"/>
  <c r="BT8" i="8"/>
  <c r="BT9" i="8" s="1"/>
  <c r="BS8" i="8"/>
  <c r="BS9" i="8" s="1"/>
  <c r="CA8" i="8"/>
  <c r="CA9" i="8" s="1"/>
  <c r="BY8" i="8"/>
  <c r="BY9" i="8" s="1"/>
  <c r="BU8" i="8"/>
  <c r="BU9" i="8" s="1"/>
  <c r="BR8" i="8"/>
  <c r="BR9" i="8" s="1"/>
  <c r="BZ8" i="8"/>
  <c r="BZ9" i="8" s="1"/>
  <c r="BQ8" i="8"/>
  <c r="BQ9" i="8" s="1"/>
  <c r="BX8" i="8"/>
  <c r="BX9" i="8" s="1"/>
  <c r="BW8" i="8"/>
  <c r="BW9" i="8" s="1"/>
  <c r="BV8" i="8"/>
  <c r="BV9" i="8" s="1"/>
  <c r="CB8" i="8"/>
  <c r="CB9" i="8" s="1"/>
  <c r="BN23" i="8"/>
  <c r="BN10" i="6" s="1"/>
  <c r="BE23" i="8"/>
  <c r="BE10" i="6" s="1"/>
  <c r="AP10" i="6"/>
  <c r="AH4" i="8"/>
  <c r="AH7" i="6" s="1"/>
  <c r="AH20" i="6" s="1"/>
  <c r="AH50" i="8"/>
  <c r="AF55" i="6"/>
  <c r="BW12" i="8"/>
  <c r="BW13" i="8" s="1"/>
  <c r="BS12" i="8"/>
  <c r="BS13" i="8" s="1"/>
  <c r="CA12" i="8"/>
  <c r="CA13" i="8" s="1"/>
  <c r="BV12" i="8"/>
  <c r="BV13" i="8" s="1"/>
  <c r="BX12" i="8"/>
  <c r="BX13" i="8" s="1"/>
  <c r="BR12" i="8"/>
  <c r="BR13" i="8" s="1"/>
  <c r="CB12" i="8"/>
  <c r="CB13" i="8" s="1"/>
  <c r="BZ12" i="8"/>
  <c r="BZ13" i="8" s="1"/>
  <c r="BQ12" i="8"/>
  <c r="BQ13" i="8" s="1"/>
  <c r="BU12" i="8"/>
  <c r="BY12" i="8"/>
  <c r="BY13" i="8" s="1"/>
  <c r="BT12" i="8"/>
  <c r="BT13" i="8" s="1"/>
  <c r="AM55" i="6"/>
  <c r="AM16" i="6"/>
  <c r="AF18" i="6"/>
  <c r="AF16" i="6"/>
  <c r="BH13" i="8"/>
  <c r="BP13" i="8" s="1"/>
  <c r="AF20" i="6"/>
  <c r="AM17" i="6"/>
  <c r="AF17" i="6"/>
  <c r="AM18" i="6"/>
  <c r="AM20" i="6"/>
  <c r="BW30" i="8"/>
  <c r="BW38" i="8"/>
  <c r="BW40" i="8" s="1"/>
  <c r="BW13" i="6" s="1"/>
  <c r="BW34" i="8"/>
  <c r="BW36" i="8" s="1"/>
  <c r="BR30" i="8"/>
  <c r="BR38" i="8"/>
  <c r="BR40" i="8" s="1"/>
  <c r="BR13" i="6" s="1"/>
  <c r="BR34" i="8"/>
  <c r="BR36" i="8" s="1"/>
  <c r="BR12" i="6" s="1"/>
  <c r="BP11" i="8"/>
  <c r="BZ30" i="8"/>
  <c r="BZ38" i="8"/>
  <c r="BZ40" i="8" s="1"/>
  <c r="BZ13" i="6" s="1"/>
  <c r="BZ34" i="8"/>
  <c r="BZ36" i="8" s="1"/>
  <c r="BZ12" i="6" s="1"/>
  <c r="CE11" i="8"/>
  <c r="CE28" i="8"/>
  <c r="CE19" i="8"/>
  <c r="CE21" i="8" s="1"/>
  <c r="CE15" i="8"/>
  <c r="CE17" i="8" s="1"/>
  <c r="BH38" i="8"/>
  <c r="BH40" i="8" s="1"/>
  <c r="BH13" i="6" s="1"/>
  <c r="BH30" i="8"/>
  <c r="BH32" i="8" s="1"/>
  <c r="BH34" i="8"/>
  <c r="BH36" i="8" s="1"/>
  <c r="BH12" i="6" s="1"/>
  <c r="BU11" i="8"/>
  <c r="BU19" i="8"/>
  <c r="BU21" i="8" s="1"/>
  <c r="CC21" i="8" s="1"/>
  <c r="CH7" i="8"/>
  <c r="CP7" i="8" s="1"/>
  <c r="BU28" i="8"/>
  <c r="CC28" i="8" s="1"/>
  <c r="BU15" i="8"/>
  <c r="BU17" i="8" s="1"/>
  <c r="CC17" i="8" s="1"/>
  <c r="BM11" i="6"/>
  <c r="BM42" i="8"/>
  <c r="CM11" i="8"/>
  <c r="CM19" i="8"/>
  <c r="CM21" i="8" s="1"/>
  <c r="CM15" i="8"/>
  <c r="CM17" i="8" s="1"/>
  <c r="CM28" i="8"/>
  <c r="CJ11" i="8"/>
  <c r="CJ15" i="8"/>
  <c r="CJ17" i="8" s="1"/>
  <c r="CJ28" i="8"/>
  <c r="CJ19" i="8"/>
  <c r="CJ21" i="8" s="1"/>
  <c r="CD11" i="8"/>
  <c r="CD15" i="8"/>
  <c r="CD19" i="8"/>
  <c r="CD28" i="8"/>
  <c r="BQ30" i="8"/>
  <c r="BQ34" i="8"/>
  <c r="BQ38" i="8"/>
  <c r="BP9" i="8"/>
  <c r="CC29" i="6"/>
  <c r="CP36" i="6"/>
  <c r="CP31" i="6"/>
  <c r="CE28" i="6"/>
  <c r="CF28" i="6" s="1"/>
  <c r="CG28" i="6" s="1"/>
  <c r="CH28" i="6" s="1"/>
  <c r="CI28" i="6" s="1"/>
  <c r="CJ28" i="6" s="1"/>
  <c r="CK28" i="6" s="1"/>
  <c r="CL28" i="6" s="1"/>
  <c r="CM28" i="6" s="1"/>
  <c r="CN28" i="6" s="1"/>
  <c r="CO28" i="6" s="1"/>
  <c r="CE38" i="6"/>
  <c r="CF38" i="6" s="1"/>
  <c r="CG38" i="6" s="1"/>
  <c r="CH38" i="6" s="1"/>
  <c r="CI38" i="6" s="1"/>
  <c r="CJ38" i="6" s="1"/>
  <c r="CK38" i="6" s="1"/>
  <c r="CL38" i="6" s="1"/>
  <c r="CM38" i="6" s="1"/>
  <c r="CN38" i="6" s="1"/>
  <c r="CO38" i="6" s="1"/>
  <c r="CC28" i="6"/>
  <c r="CP32" i="6"/>
  <c r="CC38" i="6"/>
  <c r="BR34" i="6"/>
  <c r="BS34" i="6" s="1"/>
  <c r="BT34" i="6" s="1"/>
  <c r="BU34" i="6" s="1"/>
  <c r="BV34" i="6" s="1"/>
  <c r="BW34" i="6" s="1"/>
  <c r="BX34" i="6" s="1"/>
  <c r="BY34" i="6" s="1"/>
  <c r="BZ34" i="6" s="1"/>
  <c r="CA34" i="6" s="1"/>
  <c r="CB34" i="6" s="1"/>
  <c r="CD34" i="6" s="1"/>
  <c r="CP35" i="6"/>
  <c r="CE33" i="6"/>
  <c r="CF33" i="6" s="1"/>
  <c r="CG33" i="6" s="1"/>
  <c r="CH33" i="6" s="1"/>
  <c r="CI33" i="6" s="1"/>
  <c r="CJ33" i="6" s="1"/>
  <c r="CK33" i="6" s="1"/>
  <c r="CL33" i="6" s="1"/>
  <c r="CM33" i="6" s="1"/>
  <c r="CN33" i="6" s="1"/>
  <c r="CO33" i="6" s="1"/>
  <c r="CE29" i="6"/>
  <c r="CF29" i="6" s="1"/>
  <c r="CG29" i="6" s="1"/>
  <c r="CH29" i="6" s="1"/>
  <c r="CI29" i="6" s="1"/>
  <c r="CJ29" i="6" s="1"/>
  <c r="CK29" i="6" s="1"/>
  <c r="CL29" i="6" s="1"/>
  <c r="CM29" i="6" s="1"/>
  <c r="CN29" i="6" s="1"/>
  <c r="CO29" i="6" s="1"/>
  <c r="CC33" i="6"/>
  <c r="AI7" i="6"/>
  <c r="AE20" i="6"/>
  <c r="AE17" i="6"/>
  <c r="AE19" i="6"/>
  <c r="AE55" i="6"/>
  <c r="AE18" i="6"/>
  <c r="AE16" i="6"/>
  <c r="AN17" i="6"/>
  <c r="AN55" i="6"/>
  <c r="AN18" i="6"/>
  <c r="AN16" i="6"/>
  <c r="AN19" i="6"/>
  <c r="AN20" i="6"/>
  <c r="AG17" i="6"/>
  <c r="AG18" i="6"/>
  <c r="AG16" i="6"/>
  <c r="AG19" i="6"/>
  <c r="AG20" i="6"/>
  <c r="AG55" i="6"/>
  <c r="AK18" i="6"/>
  <c r="AK16" i="6"/>
  <c r="AK19" i="6"/>
  <c r="AK20" i="6"/>
  <c r="AK17" i="6"/>
  <c r="AK55" i="6"/>
  <c r="AL18" i="6"/>
  <c r="AL16" i="6"/>
  <c r="AL20" i="6"/>
  <c r="AL19" i="6"/>
  <c r="AL55" i="6"/>
  <c r="AL17" i="6"/>
  <c r="W19" i="6"/>
  <c r="W20" i="6"/>
  <c r="W18" i="6"/>
  <c r="AB55" i="6"/>
  <c r="AB18" i="6"/>
  <c r="AB19" i="6"/>
  <c r="AB17" i="6"/>
  <c r="AB20" i="6"/>
  <c r="AB16" i="6"/>
  <c r="Y4" i="8"/>
  <c r="Y7" i="6" s="1"/>
  <c r="Y17" i="6" s="1"/>
  <c r="W16" i="6"/>
  <c r="W55" i="6"/>
  <c r="Q14" i="6"/>
  <c r="AC14" i="6" s="1"/>
  <c r="Q50" i="8"/>
  <c r="V20" i="6"/>
  <c r="V18" i="6"/>
  <c r="V17" i="6"/>
  <c r="V16" i="6"/>
  <c r="V55" i="6"/>
  <c r="V19" i="6"/>
  <c r="AA55" i="6"/>
  <c r="AA18" i="6"/>
  <c r="AA19" i="6"/>
  <c r="AA16" i="6"/>
  <c r="AA20" i="6"/>
  <c r="AA17" i="6"/>
  <c r="U20" i="6"/>
  <c r="U19" i="6"/>
  <c r="U18" i="6"/>
  <c r="U17" i="6"/>
  <c r="U55" i="6"/>
  <c r="U16" i="6"/>
  <c r="S55" i="6"/>
  <c r="S18" i="6"/>
  <c r="S19" i="6"/>
  <c r="S16" i="6"/>
  <c r="S17" i="6"/>
  <c r="S20" i="6"/>
  <c r="Z19" i="6"/>
  <c r="Z55" i="6"/>
  <c r="Z16" i="6"/>
  <c r="Z17" i="6"/>
  <c r="Z20" i="6"/>
  <c r="Z18" i="6"/>
  <c r="R55" i="6"/>
  <c r="R16" i="6"/>
  <c r="R19" i="6"/>
  <c r="R17" i="6"/>
  <c r="R20" i="6"/>
  <c r="R18" i="6"/>
  <c r="T55" i="6"/>
  <c r="T17" i="6"/>
  <c r="T20" i="6"/>
  <c r="T18" i="6"/>
  <c r="T19" i="6"/>
  <c r="T16" i="6"/>
  <c r="AC42" i="8"/>
  <c r="AC50" i="8" s="1"/>
  <c r="AC51" i="8" s="1"/>
  <c r="AC10" i="6"/>
  <c r="X4" i="8"/>
  <c r="X7" i="6" s="1"/>
  <c r="M55" i="6"/>
  <c r="M19" i="6"/>
  <c r="M20" i="6"/>
  <c r="M18" i="6"/>
  <c r="M17" i="6"/>
  <c r="M16" i="6"/>
  <c r="J55" i="6"/>
  <c r="J16" i="6"/>
  <c r="J19" i="6"/>
  <c r="J17" i="6"/>
  <c r="J18" i="6"/>
  <c r="J20" i="6"/>
  <c r="I55" i="6"/>
  <c r="I19" i="6"/>
  <c r="I17" i="6"/>
  <c r="I18" i="6"/>
  <c r="I20" i="6"/>
  <c r="I16" i="6"/>
  <c r="G50" i="8"/>
  <c r="G4" i="8"/>
  <c r="G7" i="6" s="1"/>
  <c r="P12" i="6"/>
  <c r="F55" i="6"/>
  <c r="F19" i="6"/>
  <c r="F18" i="6"/>
  <c r="F20" i="6"/>
  <c r="F17" i="6"/>
  <c r="F16" i="6"/>
  <c r="E55" i="6"/>
  <c r="E19" i="6"/>
  <c r="E16" i="6"/>
  <c r="E17" i="6"/>
  <c r="E20" i="6"/>
  <c r="E18" i="6"/>
  <c r="D14" i="6"/>
  <c r="P10" i="6"/>
  <c r="D50" i="8"/>
  <c r="BP34" i="6"/>
  <c r="BC30" i="6"/>
  <c r="BE30" i="6"/>
  <c r="BF30" i="6" s="1"/>
  <c r="BG30" i="6" s="1"/>
  <c r="BH30" i="6" s="1"/>
  <c r="BI30" i="6" s="1"/>
  <c r="BJ30" i="6" s="1"/>
  <c r="BK30" i="6" s="1"/>
  <c r="BL30" i="6" s="1"/>
  <c r="BM30" i="6" s="1"/>
  <c r="BN30" i="6" s="1"/>
  <c r="BO30" i="6" s="1"/>
  <c r="BQ30" i="6" s="1"/>
  <c r="H39" i="6"/>
  <c r="H40" i="6" s="1"/>
  <c r="I27" i="6"/>
  <c r="D4" i="8"/>
  <c r="P42" i="8"/>
  <c r="P50" i="8" s="1"/>
  <c r="P51" i="8" s="1"/>
  <c r="CC19" i="8" l="1"/>
  <c r="BF14" i="6"/>
  <c r="BE11" i="6"/>
  <c r="BE14" i="6" s="1"/>
  <c r="AJ18" i="6"/>
  <c r="AJ16" i="6"/>
  <c r="AJ20" i="6"/>
  <c r="AJ19" i="6"/>
  <c r="AJ55" i="6"/>
  <c r="BJ11" i="6"/>
  <c r="BJ14" i="6" s="1"/>
  <c r="BI14" i="6"/>
  <c r="BP32" i="8"/>
  <c r="BL14" i="6"/>
  <c r="BW32" i="8"/>
  <c r="BW42" i="8" s="1"/>
  <c r="BG14" i="6"/>
  <c r="BO14" i="6"/>
  <c r="BX11" i="6"/>
  <c r="BX42" i="8"/>
  <c r="BT11" i="6"/>
  <c r="BT42" i="8"/>
  <c r="BR32" i="8"/>
  <c r="BR42" i="8" s="1"/>
  <c r="AD17" i="6"/>
  <c r="BK14" i="6"/>
  <c r="BV11" i="6"/>
  <c r="BV42" i="8"/>
  <c r="CB11" i="6"/>
  <c r="CB42" i="8"/>
  <c r="BN14" i="6"/>
  <c r="BS42" i="8"/>
  <c r="BS11" i="6"/>
  <c r="CA42" i="8"/>
  <c r="CA11" i="6"/>
  <c r="AP42" i="8"/>
  <c r="AP50" i="8" s="1"/>
  <c r="AP51" i="8" s="1"/>
  <c r="AD20" i="6"/>
  <c r="CK31" i="8"/>
  <c r="CK32" i="8" s="1"/>
  <c r="CJ31" i="8"/>
  <c r="CH31" i="8"/>
  <c r="CD31" i="8"/>
  <c r="CI31" i="8"/>
  <c r="CI32" i="8" s="1"/>
  <c r="CG31" i="8"/>
  <c r="CG32" i="8" s="1"/>
  <c r="CO31" i="8"/>
  <c r="CO32" i="8" s="1"/>
  <c r="CE31" i="8"/>
  <c r="CF31" i="8"/>
  <c r="CF32" i="8" s="1"/>
  <c r="CN31" i="8"/>
  <c r="CN32" i="8" s="1"/>
  <c r="CM31" i="8"/>
  <c r="CL31" i="8"/>
  <c r="CL32" i="8" s="1"/>
  <c r="BY11" i="6"/>
  <c r="BY42" i="8"/>
  <c r="AD16" i="6"/>
  <c r="AD50" i="8"/>
  <c r="BZ32" i="8"/>
  <c r="BZ11" i="6" s="1"/>
  <c r="AD19" i="6"/>
  <c r="AD18" i="6"/>
  <c r="BD42" i="8"/>
  <c r="BD4" i="8" s="1"/>
  <c r="BQ36" i="8"/>
  <c r="BQ12" i="6" s="1"/>
  <c r="BQ40" i="8"/>
  <c r="BQ13" i="6" s="1"/>
  <c r="BP30" i="8"/>
  <c r="BP38" i="8"/>
  <c r="BP34" i="8"/>
  <c r="BQ32" i="8"/>
  <c r="AD14" i="6"/>
  <c r="AP14" i="6" s="1"/>
  <c r="AP13" i="6"/>
  <c r="O19" i="6"/>
  <c r="O16" i="6"/>
  <c r="O18" i="6"/>
  <c r="P14" i="6"/>
  <c r="O55" i="6"/>
  <c r="O17" i="6"/>
  <c r="BM14" i="6"/>
  <c r="BL50" i="8"/>
  <c r="BL4" i="8"/>
  <c r="BL7" i="6" s="1"/>
  <c r="BL19" i="6" s="1"/>
  <c r="BT23" i="8"/>
  <c r="BU13" i="8"/>
  <c r="CC13" i="8" s="1"/>
  <c r="BK50" i="8"/>
  <c r="BK4" i="8"/>
  <c r="BK7" i="6" s="1"/>
  <c r="BK20" i="6" s="1"/>
  <c r="BG4" i="8"/>
  <c r="BG7" i="6" s="1"/>
  <c r="BG55" i="6" s="1"/>
  <c r="BG50" i="8"/>
  <c r="BI50" i="8"/>
  <c r="BI4" i="8"/>
  <c r="BI7" i="6" s="1"/>
  <c r="BI19" i="6" s="1"/>
  <c r="AO23" i="6"/>
  <c r="AO43" i="6" s="1"/>
  <c r="BW23" i="8"/>
  <c r="BW10" i="6" s="1"/>
  <c r="BS23" i="8"/>
  <c r="BF50" i="8"/>
  <c r="BF4" i="8"/>
  <c r="BF7" i="6" s="1"/>
  <c r="BF17" i="6" s="1"/>
  <c r="BN50" i="8"/>
  <c r="BN4" i="8"/>
  <c r="BN7" i="6" s="1"/>
  <c r="BN17" i="6" s="1"/>
  <c r="BQ23" i="8"/>
  <c r="BQ10" i="6" s="1"/>
  <c r="BY23" i="8"/>
  <c r="CA23" i="8"/>
  <c r="CB23" i="8"/>
  <c r="CK8" i="8"/>
  <c r="CK9" i="8" s="1"/>
  <c r="CJ8" i="8"/>
  <c r="CJ9" i="8" s="1"/>
  <c r="CD8" i="8"/>
  <c r="CD9" i="8" s="1"/>
  <c r="CI8" i="8"/>
  <c r="CI9" i="8" s="1"/>
  <c r="CH8" i="8"/>
  <c r="CH9" i="8" s="1"/>
  <c r="CG8" i="8"/>
  <c r="CG9" i="8" s="1"/>
  <c r="CO8" i="8"/>
  <c r="CO9" i="8" s="1"/>
  <c r="CM8" i="8"/>
  <c r="CM9" i="8" s="1"/>
  <c r="CF8" i="8"/>
  <c r="CF9" i="8" s="1"/>
  <c r="CN8" i="8"/>
  <c r="CN9" i="8" s="1"/>
  <c r="CE8" i="8"/>
  <c r="CE9" i="8" s="1"/>
  <c r="CL8" i="8"/>
  <c r="CL9" i="8" s="1"/>
  <c r="BV23" i="8"/>
  <c r="CC9" i="8"/>
  <c r="BO50" i="8"/>
  <c r="BX23" i="8"/>
  <c r="BR23" i="8"/>
  <c r="BR10" i="6" s="1"/>
  <c r="BE50" i="8"/>
  <c r="BZ23" i="8"/>
  <c r="BZ10" i="6" s="1"/>
  <c r="BO4" i="8"/>
  <c r="BO7" i="6" s="1"/>
  <c r="BO16" i="6" s="1"/>
  <c r="AH18" i="6"/>
  <c r="BH23" i="8"/>
  <c r="BH10" i="6" s="1"/>
  <c r="BP10" i="6" s="1"/>
  <c r="AH19" i="6"/>
  <c r="AP4" i="8"/>
  <c r="AH17" i="6"/>
  <c r="AH16" i="6"/>
  <c r="AH55" i="6"/>
  <c r="AP7" i="6"/>
  <c r="E4" i="15" s="1"/>
  <c r="E5" i="15" s="1"/>
  <c r="CI12" i="8"/>
  <c r="CI13" i="8" s="1"/>
  <c r="CH12" i="8"/>
  <c r="CG12" i="8"/>
  <c r="CG13" i="8" s="1"/>
  <c r="CD12" i="8"/>
  <c r="CD13" i="8" s="1"/>
  <c r="CO12" i="8"/>
  <c r="CO13" i="8" s="1"/>
  <c r="CL12" i="8"/>
  <c r="CL13" i="8" s="1"/>
  <c r="CF12" i="8"/>
  <c r="CF13" i="8" s="1"/>
  <c r="CE12" i="8"/>
  <c r="CE13" i="8" s="1"/>
  <c r="CM12" i="8"/>
  <c r="CM13" i="8" s="1"/>
  <c r="CJ12" i="8"/>
  <c r="CJ13" i="8" s="1"/>
  <c r="CN12" i="8"/>
  <c r="CN13" i="8" s="1"/>
  <c r="CK12" i="8"/>
  <c r="CK13" i="8" s="1"/>
  <c r="AF23" i="6"/>
  <c r="AF43" i="6" s="1"/>
  <c r="AM23" i="6"/>
  <c r="AM43" i="6" s="1"/>
  <c r="BP23" i="8"/>
  <c r="BP13" i="6"/>
  <c r="CC11" i="8"/>
  <c r="BE4" i="8"/>
  <c r="BE7" i="6" s="1"/>
  <c r="BE17" i="6" s="1"/>
  <c r="CD17" i="8"/>
  <c r="BM4" i="8"/>
  <c r="BM7" i="6" s="1"/>
  <c r="BM50" i="8"/>
  <c r="CE30" i="8"/>
  <c r="CE34" i="8"/>
  <c r="CE36" i="8" s="1"/>
  <c r="CE12" i="6" s="1"/>
  <c r="CE38" i="8"/>
  <c r="CE40" i="8" s="1"/>
  <c r="CE13" i="6" s="1"/>
  <c r="CH11" i="8"/>
  <c r="CH19" i="8"/>
  <c r="CH21" i="8" s="1"/>
  <c r="CH15" i="8"/>
  <c r="CH17" i="8" s="1"/>
  <c r="CH28" i="8"/>
  <c r="CP28" i="8" s="1"/>
  <c r="BJ50" i="8"/>
  <c r="BJ4" i="8"/>
  <c r="BJ7" i="6" s="1"/>
  <c r="CD21" i="8"/>
  <c r="BW12" i="6"/>
  <c r="BU38" i="8"/>
  <c r="BU40" i="8" s="1"/>
  <c r="BU13" i="6" s="1"/>
  <c r="BU34" i="8"/>
  <c r="BU36" i="8" s="1"/>
  <c r="BU12" i="6" s="1"/>
  <c r="BU30" i="8"/>
  <c r="BU32" i="8" s="1"/>
  <c r="BP40" i="8"/>
  <c r="CM38" i="8"/>
  <c r="CM40" i="8" s="1"/>
  <c r="CM13" i="6" s="1"/>
  <c r="CM34" i="8"/>
  <c r="CM36" i="8" s="1"/>
  <c r="CM12" i="6" s="1"/>
  <c r="CM30" i="8"/>
  <c r="CD38" i="8"/>
  <c r="CD34" i="8"/>
  <c r="CD30" i="8"/>
  <c r="CJ38" i="8"/>
  <c r="CJ40" i="8" s="1"/>
  <c r="CJ13" i="6" s="1"/>
  <c r="CJ34" i="8"/>
  <c r="CJ36" i="8" s="1"/>
  <c r="CJ12" i="6" s="1"/>
  <c r="CJ30" i="8"/>
  <c r="BP12" i="6"/>
  <c r="BD14" i="6"/>
  <c r="BH11" i="6"/>
  <c r="BH42" i="8"/>
  <c r="BP36" i="8"/>
  <c r="CP33" i="6"/>
  <c r="BR30" i="6"/>
  <c r="BS30" i="6" s="1"/>
  <c r="BT30" i="6" s="1"/>
  <c r="BU30" i="6" s="1"/>
  <c r="BV30" i="6" s="1"/>
  <c r="BW30" i="6" s="1"/>
  <c r="BX30" i="6" s="1"/>
  <c r="BY30" i="6" s="1"/>
  <c r="BZ30" i="6" s="1"/>
  <c r="CA30" i="6" s="1"/>
  <c r="CB30" i="6" s="1"/>
  <c r="CD30" i="6" s="1"/>
  <c r="CP29" i="6"/>
  <c r="CP28" i="6"/>
  <c r="CE34" i="6"/>
  <c r="CF34" i="6" s="1"/>
  <c r="CG34" i="6" s="1"/>
  <c r="CH34" i="6" s="1"/>
  <c r="CI34" i="6" s="1"/>
  <c r="CJ34" i="6" s="1"/>
  <c r="CK34" i="6" s="1"/>
  <c r="CL34" i="6" s="1"/>
  <c r="CM34" i="6" s="1"/>
  <c r="CN34" i="6" s="1"/>
  <c r="CO34" i="6" s="1"/>
  <c r="CP38" i="6"/>
  <c r="CC34" i="6"/>
  <c r="AK23" i="6"/>
  <c r="AK43" i="6" s="1"/>
  <c r="AI19" i="6"/>
  <c r="AI16" i="6"/>
  <c r="AI20" i="6"/>
  <c r="AI17" i="6"/>
  <c r="AI55" i="6"/>
  <c r="AI18" i="6"/>
  <c r="AG23" i="6"/>
  <c r="AG43" i="6" s="1"/>
  <c r="AE23" i="6"/>
  <c r="AE43" i="6" s="1"/>
  <c r="AL23" i="6"/>
  <c r="AL43" i="6" s="1"/>
  <c r="AN23" i="6"/>
  <c r="AN43" i="6" s="1"/>
  <c r="Y20" i="6"/>
  <c r="W23" i="6"/>
  <c r="W43" i="6" s="1"/>
  <c r="Y19" i="6"/>
  <c r="U23" i="6"/>
  <c r="U43" i="6" s="1"/>
  <c r="AA23" i="6"/>
  <c r="AA43" i="6" s="1"/>
  <c r="AB23" i="6"/>
  <c r="AB43" i="6" s="1"/>
  <c r="Y55" i="6"/>
  <c r="Y18" i="6"/>
  <c r="V23" i="6"/>
  <c r="V43" i="6" s="1"/>
  <c r="Y16" i="6"/>
  <c r="T23" i="6"/>
  <c r="T43" i="6" s="1"/>
  <c r="Q7" i="6"/>
  <c r="AC4" i="8"/>
  <c r="X18" i="6"/>
  <c r="X55" i="6"/>
  <c r="X16" i="6"/>
  <c r="X19" i="6"/>
  <c r="X20" i="6"/>
  <c r="X17" i="6"/>
  <c r="S23" i="6"/>
  <c r="S43" i="6" s="1"/>
  <c r="R23" i="6"/>
  <c r="R43" i="6" s="1"/>
  <c r="Z23" i="6"/>
  <c r="Z43" i="6" s="1"/>
  <c r="G55" i="6"/>
  <c r="G18" i="6"/>
  <c r="G19" i="6"/>
  <c r="G17" i="6"/>
  <c r="G20" i="6"/>
  <c r="G16" i="6"/>
  <c r="P4" i="8"/>
  <c r="D7" i="6"/>
  <c r="D24" i="8"/>
  <c r="D43" i="8"/>
  <c r="BP30" i="6"/>
  <c r="I39" i="6"/>
  <c r="I40" i="6" s="1"/>
  <c r="J27" i="6"/>
  <c r="BV4" i="8" l="1"/>
  <c r="BV7" i="6" s="1"/>
  <c r="BV55" i="6" s="1"/>
  <c r="BZ42" i="8"/>
  <c r="CB50" i="8"/>
  <c r="CE32" i="8"/>
  <c r="CE42" i="8" s="1"/>
  <c r="AJ23" i="6"/>
  <c r="AJ43" i="6" s="1"/>
  <c r="BP11" i="6"/>
  <c r="BW11" i="6"/>
  <c r="BW14" i="6" s="1"/>
  <c r="CJ32" i="8"/>
  <c r="CJ42" i="8" s="1"/>
  <c r="BR11" i="6"/>
  <c r="BR14" i="6" s="1"/>
  <c r="BT4" i="8"/>
  <c r="BT7" i="6" s="1"/>
  <c r="BT55" i="6" s="1"/>
  <c r="CM32" i="8"/>
  <c r="CA50" i="8"/>
  <c r="CF11" i="6"/>
  <c r="CF42" i="8"/>
  <c r="CK11" i="6"/>
  <c r="CK42" i="8"/>
  <c r="BX4" i="8"/>
  <c r="BX7" i="6" s="1"/>
  <c r="BX55" i="6" s="1"/>
  <c r="BS50" i="8"/>
  <c r="CO42" i="8"/>
  <c r="CO11" i="6"/>
  <c r="CN11" i="6"/>
  <c r="CN42" i="8"/>
  <c r="BY4" i="8"/>
  <c r="BY7" i="6" s="1"/>
  <c r="BY55" i="6" s="1"/>
  <c r="AP20" i="6"/>
  <c r="CL11" i="6"/>
  <c r="CL42" i="8"/>
  <c r="CC32" i="8"/>
  <c r="CI42" i="8"/>
  <c r="CI11" i="6"/>
  <c r="CG11" i="6"/>
  <c r="CG42" i="8"/>
  <c r="AD23" i="6"/>
  <c r="AD43" i="6" s="1"/>
  <c r="BD50" i="8"/>
  <c r="BP42" i="8"/>
  <c r="BP50" i="8" s="1"/>
  <c r="BP51" i="8" s="1"/>
  <c r="BQ42" i="8"/>
  <c r="BQ50" i="8" s="1"/>
  <c r="CC30" i="8"/>
  <c r="CC34" i="8"/>
  <c r="CC38" i="8"/>
  <c r="BQ11" i="6"/>
  <c r="BQ14" i="6" s="1"/>
  <c r="CD40" i="8"/>
  <c r="CD13" i="6" s="1"/>
  <c r="CD36" i="8"/>
  <c r="CD12" i="6" s="1"/>
  <c r="CD32" i="8"/>
  <c r="D20" i="6"/>
  <c r="P20" i="6" s="1"/>
  <c r="C97" i="6"/>
  <c r="BL16" i="6"/>
  <c r="BT10" i="6"/>
  <c r="BT14" i="6" s="1"/>
  <c r="BL17" i="6"/>
  <c r="BL55" i="6"/>
  <c r="BL20" i="6"/>
  <c r="BL18" i="6"/>
  <c r="BT50" i="8"/>
  <c r="BN18" i="6"/>
  <c r="BI55" i="6"/>
  <c r="BI17" i="6"/>
  <c r="BI18" i="6"/>
  <c r="BI16" i="6"/>
  <c r="BY10" i="6"/>
  <c r="BY14" i="6" s="1"/>
  <c r="CO23" i="8"/>
  <c r="BU23" i="8"/>
  <c r="BU10" i="6" s="1"/>
  <c r="AP15" i="6"/>
  <c r="BI20" i="6"/>
  <c r="CA10" i="6"/>
  <c r="CA14" i="6" s="1"/>
  <c r="BY50" i="8"/>
  <c r="CA4" i="8"/>
  <c r="CA7" i="6" s="1"/>
  <c r="BK55" i="6"/>
  <c r="BS4" i="8"/>
  <c r="BS7" i="6" s="1"/>
  <c r="BG19" i="6"/>
  <c r="BK16" i="6"/>
  <c r="BK19" i="6"/>
  <c r="BK17" i="6"/>
  <c r="BK18" i="6"/>
  <c r="BF19" i="6"/>
  <c r="BG16" i="6"/>
  <c r="BG18" i="6"/>
  <c r="BG17" i="6"/>
  <c r="BG20" i="6"/>
  <c r="BN20" i="6"/>
  <c r="BN19" i="6"/>
  <c r="BN16" i="6"/>
  <c r="CE23" i="8"/>
  <c r="CE10" i="6" s="1"/>
  <c r="BN55" i="6"/>
  <c r="BZ50" i="8"/>
  <c r="BS10" i="6"/>
  <c r="BS14" i="6" s="1"/>
  <c r="BF20" i="6"/>
  <c r="BX50" i="8"/>
  <c r="BF18" i="6"/>
  <c r="BF16" i="6"/>
  <c r="BF55" i="6"/>
  <c r="CB4" i="8"/>
  <c r="CB7" i="6" s="1"/>
  <c r="CM23" i="8"/>
  <c r="CM10" i="6" s="1"/>
  <c r="BX10" i="6"/>
  <c r="BX14" i="6" s="1"/>
  <c r="CG23" i="8"/>
  <c r="CL23" i="8"/>
  <c r="BV10" i="6"/>
  <c r="BV14" i="6" s="1"/>
  <c r="BV50" i="8"/>
  <c r="CI23" i="8"/>
  <c r="CI10" i="6" s="1"/>
  <c r="BO19" i="6"/>
  <c r="CC23" i="8"/>
  <c r="CB10" i="6"/>
  <c r="CB14" i="6" s="1"/>
  <c r="BO20" i="6"/>
  <c r="BO18" i="6"/>
  <c r="CJ23" i="8"/>
  <c r="CJ10" i="6" s="1"/>
  <c r="CN23" i="8"/>
  <c r="BR50" i="8"/>
  <c r="CK23" i="8"/>
  <c r="CK10" i="6" s="1"/>
  <c r="BO17" i="6"/>
  <c r="BO55" i="6"/>
  <c r="CF23" i="8"/>
  <c r="AP16" i="6"/>
  <c r="AP55" i="6"/>
  <c r="AP18" i="6"/>
  <c r="AH23" i="6"/>
  <c r="AH43" i="6" s="1"/>
  <c r="AP19" i="6"/>
  <c r="AP17" i="6"/>
  <c r="CH13" i="8"/>
  <c r="CP13" i="8" s="1"/>
  <c r="BV18" i="6"/>
  <c r="BV20" i="6"/>
  <c r="BV17" i="6"/>
  <c r="BV16" i="6"/>
  <c r="BV19" i="6"/>
  <c r="BE55" i="6"/>
  <c r="BE20" i="6"/>
  <c r="BE18" i="6"/>
  <c r="BE19" i="6"/>
  <c r="CP21" i="8"/>
  <c r="BH50" i="8"/>
  <c r="CP11" i="8"/>
  <c r="BE16" i="6"/>
  <c r="BH14" i="6"/>
  <c r="BP14" i="6" s="1"/>
  <c r="CP15" i="8"/>
  <c r="CC12" i="6"/>
  <c r="CC36" i="8"/>
  <c r="BH4" i="8"/>
  <c r="BH7" i="6" s="1"/>
  <c r="BH55" i="6" s="1"/>
  <c r="BR4" i="8"/>
  <c r="BR7" i="6" s="1"/>
  <c r="CC13" i="6"/>
  <c r="CC40" i="8"/>
  <c r="BW50" i="8"/>
  <c r="BW4" i="8"/>
  <c r="BW7" i="6" s="1"/>
  <c r="BW55" i="6" s="1"/>
  <c r="BZ4" i="8"/>
  <c r="BZ7" i="6" s="1"/>
  <c r="BZ55" i="6" s="1"/>
  <c r="BD7" i="6"/>
  <c r="BJ16" i="6"/>
  <c r="BJ20" i="6"/>
  <c r="BJ17" i="6"/>
  <c r="BJ19" i="6"/>
  <c r="BJ55" i="6"/>
  <c r="BJ18" i="6"/>
  <c r="BM19" i="6"/>
  <c r="BM17" i="6"/>
  <c r="BM20" i="6"/>
  <c r="BM16" i="6"/>
  <c r="BM55" i="6"/>
  <c r="BM18" i="6"/>
  <c r="BU42" i="8"/>
  <c r="BU11" i="6"/>
  <c r="CP17" i="8"/>
  <c r="CD23" i="8"/>
  <c r="CH34" i="8"/>
  <c r="CH36" i="8" s="1"/>
  <c r="CH12" i="6" s="1"/>
  <c r="CH30" i="8"/>
  <c r="CH32" i="8" s="1"/>
  <c r="CH38" i="8"/>
  <c r="CH40" i="8" s="1"/>
  <c r="CH13" i="6" s="1"/>
  <c r="CP19" i="8"/>
  <c r="CP9" i="8"/>
  <c r="CM11" i="6"/>
  <c r="CM42" i="8"/>
  <c r="BZ14" i="6"/>
  <c r="CP34" i="6"/>
  <c r="CC30" i="6"/>
  <c r="CE30" i="6"/>
  <c r="CF30" i="6" s="1"/>
  <c r="CG30" i="6" s="1"/>
  <c r="CH30" i="6" s="1"/>
  <c r="CI30" i="6" s="1"/>
  <c r="CJ30" i="6" s="1"/>
  <c r="CK30" i="6" s="1"/>
  <c r="CL30" i="6" s="1"/>
  <c r="CM30" i="6" s="1"/>
  <c r="CN30" i="6" s="1"/>
  <c r="CO30" i="6" s="1"/>
  <c r="AI23" i="6"/>
  <c r="AI43" i="6" s="1"/>
  <c r="Y23" i="6"/>
  <c r="Y43" i="6" s="1"/>
  <c r="Q20" i="6"/>
  <c r="AC20" i="6" s="1"/>
  <c r="Q19" i="6"/>
  <c r="AC19" i="6" s="1"/>
  <c r="AC7" i="6"/>
  <c r="D4" i="15" s="1"/>
  <c r="D5" i="15" s="1"/>
  <c r="Q55" i="6"/>
  <c r="AC55" i="6" s="1"/>
  <c r="Q17" i="6"/>
  <c r="AC17" i="6" s="1"/>
  <c r="Q18" i="6"/>
  <c r="AC18" i="6" s="1"/>
  <c r="Q16" i="6"/>
  <c r="X23" i="6"/>
  <c r="X43" i="6" s="1"/>
  <c r="D19" i="6"/>
  <c r="P19" i="6" s="1"/>
  <c r="D55" i="6"/>
  <c r="P55" i="6" s="1"/>
  <c r="D16" i="6"/>
  <c r="P16" i="6" s="1"/>
  <c r="P7" i="6"/>
  <c r="C4" i="15" s="1"/>
  <c r="C5" i="15" s="1"/>
  <c r="D17" i="6"/>
  <c r="P17" i="6" s="1"/>
  <c r="D18" i="6"/>
  <c r="P18" i="6" s="1"/>
  <c r="J39" i="6"/>
  <c r="J40" i="6" s="1"/>
  <c r="K27" i="6"/>
  <c r="AP21" i="6" l="1"/>
  <c r="AP22" i="6" s="1"/>
  <c r="P21" i="6"/>
  <c r="P22" i="6" s="1"/>
  <c r="CO50" i="8"/>
  <c r="CE11" i="6"/>
  <c r="CE14" i="6" s="1"/>
  <c r="BY20" i="6"/>
  <c r="BY18" i="6"/>
  <c r="BY16" i="6"/>
  <c r="CK14" i="6"/>
  <c r="BY17" i="6"/>
  <c r="BT16" i="6"/>
  <c r="BX17" i="6"/>
  <c r="BX20" i="6"/>
  <c r="BT19" i="6"/>
  <c r="BT18" i="6"/>
  <c r="CJ11" i="6"/>
  <c r="CJ14" i="6" s="1"/>
  <c r="CC11" i="6"/>
  <c r="BX19" i="6"/>
  <c r="BT20" i="6"/>
  <c r="CL50" i="8"/>
  <c r="BX16" i="6"/>
  <c r="BT17" i="6"/>
  <c r="BX18" i="6"/>
  <c r="CN50" i="8"/>
  <c r="CI14" i="6"/>
  <c r="BY19" i="6"/>
  <c r="CF4" i="8"/>
  <c r="CF7" i="6" s="1"/>
  <c r="CF55" i="6" s="1"/>
  <c r="CG50" i="8"/>
  <c r="BQ4" i="8"/>
  <c r="BQ7" i="6" s="1"/>
  <c r="BQ55" i="6" s="1"/>
  <c r="CD42" i="8"/>
  <c r="CD50" i="8" s="1"/>
  <c r="CD11" i="6"/>
  <c r="CP30" i="8"/>
  <c r="CP32" i="8"/>
  <c r="CP38" i="8"/>
  <c r="CP34" i="8"/>
  <c r="BS20" i="6"/>
  <c r="BS55" i="6"/>
  <c r="BR18" i="6"/>
  <c r="BR55" i="6"/>
  <c r="CA18" i="6"/>
  <c r="CA55" i="6"/>
  <c r="CB17" i="6"/>
  <c r="CB55" i="6"/>
  <c r="BL23" i="6"/>
  <c r="BL43" i="6" s="1"/>
  <c r="BI23" i="6"/>
  <c r="BI43" i="6" s="1"/>
  <c r="BK23" i="6"/>
  <c r="BK43" i="6" s="1"/>
  <c r="CO10" i="6"/>
  <c r="CO14" i="6" s="1"/>
  <c r="BU50" i="8"/>
  <c r="BN23" i="6"/>
  <c r="BN43" i="6" s="1"/>
  <c r="CO4" i="8"/>
  <c r="CO7" i="6" s="1"/>
  <c r="AC15" i="6"/>
  <c r="BS17" i="6"/>
  <c r="BS19" i="6"/>
  <c r="CM14" i="6"/>
  <c r="BS18" i="6"/>
  <c r="BS16" i="6"/>
  <c r="CA20" i="6"/>
  <c r="CA17" i="6"/>
  <c r="CA16" i="6"/>
  <c r="CA19" i="6"/>
  <c r="BG23" i="6"/>
  <c r="BG43" i="6" s="1"/>
  <c r="BF23" i="6"/>
  <c r="BF43" i="6" s="1"/>
  <c r="CK50" i="8"/>
  <c r="CB16" i="6"/>
  <c r="CE4" i="8"/>
  <c r="CE7" i="6" s="1"/>
  <c r="CI50" i="8"/>
  <c r="CB20" i="6"/>
  <c r="CB18" i="6"/>
  <c r="CL4" i="8"/>
  <c r="CL7" i="6" s="1"/>
  <c r="CG10" i="6"/>
  <c r="CG14" i="6" s="1"/>
  <c r="CG4" i="8"/>
  <c r="CG7" i="6" s="1"/>
  <c r="CG55" i="6" s="1"/>
  <c r="CF50" i="8"/>
  <c r="CK4" i="8"/>
  <c r="CK7" i="6" s="1"/>
  <c r="CB19" i="6"/>
  <c r="BO23" i="6"/>
  <c r="BO43" i="6" s="1"/>
  <c r="CF10" i="6"/>
  <c r="CF14" i="6" s="1"/>
  <c r="CN4" i="8"/>
  <c r="CN7" i="6" s="1"/>
  <c r="CI4" i="8"/>
  <c r="CI7" i="6" s="1"/>
  <c r="CI55" i="6" s="1"/>
  <c r="CC10" i="6"/>
  <c r="CL10" i="6"/>
  <c r="CL14" i="6" s="1"/>
  <c r="CN10" i="6"/>
  <c r="CN14" i="6" s="1"/>
  <c r="CJ50" i="8"/>
  <c r="AP43" i="6"/>
  <c r="AP44" i="6" s="1"/>
  <c r="BV23" i="6"/>
  <c r="BV43" i="6" s="1"/>
  <c r="CH23" i="8"/>
  <c r="CH10" i="6" s="1"/>
  <c r="BE23" i="6"/>
  <c r="BE43" i="6" s="1"/>
  <c r="BR17" i="6"/>
  <c r="BR20" i="6"/>
  <c r="P15" i="6"/>
  <c r="BH18" i="6"/>
  <c r="BR16" i="6"/>
  <c r="BR19" i="6"/>
  <c r="BH20" i="6"/>
  <c r="BH16" i="6"/>
  <c r="CP23" i="8"/>
  <c r="BP4" i="8"/>
  <c r="BH19" i="6"/>
  <c r="BH17" i="6"/>
  <c r="CM50" i="8"/>
  <c r="CM4" i="8"/>
  <c r="CM7" i="6" s="1"/>
  <c r="CM55" i="6" s="1"/>
  <c r="BM23" i="6"/>
  <c r="BM43" i="6" s="1"/>
  <c r="BW16" i="6"/>
  <c r="BW19" i="6"/>
  <c r="BW18" i="6"/>
  <c r="BW17" i="6"/>
  <c r="BW20" i="6"/>
  <c r="CJ4" i="8"/>
  <c r="CJ7" i="6" s="1"/>
  <c r="CJ55" i="6" s="1"/>
  <c r="BU14" i="6"/>
  <c r="CC14" i="6" s="1"/>
  <c r="CP36" i="8"/>
  <c r="CE50" i="8"/>
  <c r="BU4" i="8"/>
  <c r="BU7" i="6" s="1"/>
  <c r="BU55" i="6" s="1"/>
  <c r="CP40" i="8"/>
  <c r="CH11" i="6"/>
  <c r="CH42" i="8"/>
  <c r="CD10" i="6"/>
  <c r="BD55" i="6"/>
  <c r="BP55" i="6" s="1"/>
  <c r="BD17" i="6"/>
  <c r="BD16" i="6"/>
  <c r="BD20" i="6"/>
  <c r="BD19" i="6"/>
  <c r="BD18" i="6"/>
  <c r="BP7" i="6"/>
  <c r="G4" i="15" s="1"/>
  <c r="G5" i="15" s="1"/>
  <c r="BZ20" i="6"/>
  <c r="BZ16" i="6"/>
  <c r="BZ17" i="6"/>
  <c r="BZ19" i="6"/>
  <c r="BZ18" i="6"/>
  <c r="CC42" i="8"/>
  <c r="CC50" i="8" s="1"/>
  <c r="CC51" i="8" s="1"/>
  <c r="CP13" i="6"/>
  <c r="CP12" i="6"/>
  <c r="BJ23" i="6"/>
  <c r="BJ43" i="6" s="1"/>
  <c r="CP30" i="6"/>
  <c r="AP23" i="6"/>
  <c r="AC16" i="6"/>
  <c r="AC21" i="6" s="1"/>
  <c r="AC22" i="6" s="1"/>
  <c r="Q23" i="6"/>
  <c r="K39" i="6"/>
  <c r="K40" i="6" s="1"/>
  <c r="L27" i="6"/>
  <c r="BY23" i="6" l="1"/>
  <c r="BY43" i="6" s="1"/>
  <c r="BT23" i="6"/>
  <c r="BT43" i="6" s="1"/>
  <c r="CF20" i="6"/>
  <c r="CF16" i="6"/>
  <c r="CF18" i="6"/>
  <c r="BX23" i="6"/>
  <c r="BX43" i="6" s="1"/>
  <c r="CF17" i="6"/>
  <c r="CF19" i="6"/>
  <c r="CD4" i="8"/>
  <c r="CD7" i="6" s="1"/>
  <c r="CD55" i="6" s="1"/>
  <c r="CP11" i="6"/>
  <c r="CE19" i="6"/>
  <c r="CE55" i="6"/>
  <c r="CO16" i="6"/>
  <c r="CO55" i="6"/>
  <c r="CK19" i="6"/>
  <c r="CK55" i="6"/>
  <c r="CN16" i="6"/>
  <c r="CN55" i="6"/>
  <c r="CL18" i="6"/>
  <c r="CL55" i="6"/>
  <c r="AP24" i="6"/>
  <c r="E10" i="15" s="1"/>
  <c r="E6" i="15"/>
  <c r="E7" i="15" s="1"/>
  <c r="CO19" i="6"/>
  <c r="CA23" i="6"/>
  <c r="CA43" i="6" s="1"/>
  <c r="BP15" i="6"/>
  <c r="CO17" i="6"/>
  <c r="CO20" i="6"/>
  <c r="CE16" i="6"/>
  <c r="CO18" i="6"/>
  <c r="CE18" i="6"/>
  <c r="BS23" i="6"/>
  <c r="BS43" i="6" s="1"/>
  <c r="CK20" i="6"/>
  <c r="CE20" i="6"/>
  <c r="CE17" i="6"/>
  <c r="CB23" i="6"/>
  <c r="CB43" i="6" s="1"/>
  <c r="CG20" i="6"/>
  <c r="CK16" i="6"/>
  <c r="CK18" i="6"/>
  <c r="CG17" i="6"/>
  <c r="CK17" i="6"/>
  <c r="CG18" i="6"/>
  <c r="CG16" i="6"/>
  <c r="CI20" i="6"/>
  <c r="CL19" i="6"/>
  <c r="CN19" i="6"/>
  <c r="CI18" i="6"/>
  <c r="CI16" i="6"/>
  <c r="CN18" i="6"/>
  <c r="CG19" i="6"/>
  <c r="CL20" i="6"/>
  <c r="CI17" i="6"/>
  <c r="CN20" i="6"/>
  <c r="CL16" i="6"/>
  <c r="CN17" i="6"/>
  <c r="CL17" i="6"/>
  <c r="CI19" i="6"/>
  <c r="CH50" i="8"/>
  <c r="BR23" i="6"/>
  <c r="BR43" i="6" s="1"/>
  <c r="BZ23" i="6"/>
  <c r="BZ43" i="6" s="1"/>
  <c r="BH23" i="6"/>
  <c r="BH43" i="6" s="1"/>
  <c r="BP19" i="6"/>
  <c r="BP18" i="6"/>
  <c r="BP17" i="6"/>
  <c r="BP20" i="6"/>
  <c r="CC4" i="8"/>
  <c r="BP16" i="6"/>
  <c r="BD23" i="6"/>
  <c r="CJ19" i="6"/>
  <c r="CJ16" i="6"/>
  <c r="CJ18" i="6"/>
  <c r="CJ17" i="6"/>
  <c r="CJ20" i="6"/>
  <c r="BW23" i="6"/>
  <c r="BW43" i="6" s="1"/>
  <c r="CD14" i="6"/>
  <c r="CP10" i="6"/>
  <c r="CH4" i="8"/>
  <c r="CH7" i="6" s="1"/>
  <c r="CH55" i="6" s="1"/>
  <c r="BU16" i="6"/>
  <c r="BU18" i="6"/>
  <c r="BU19" i="6"/>
  <c r="BU20" i="6"/>
  <c r="BU17" i="6"/>
  <c r="CM19" i="6"/>
  <c r="CM16" i="6"/>
  <c r="CM20" i="6"/>
  <c r="CM17" i="6"/>
  <c r="CM18" i="6"/>
  <c r="BQ20" i="6"/>
  <c r="BQ19" i="6"/>
  <c r="BQ17" i="6"/>
  <c r="BQ16" i="6"/>
  <c r="BQ18" i="6"/>
  <c r="CC7" i="6"/>
  <c r="H4" i="15" s="1"/>
  <c r="H5" i="15" s="1"/>
  <c r="CH14" i="6"/>
  <c r="CP42" i="8"/>
  <c r="CP50" i="8" s="1"/>
  <c r="CP51" i="8" s="1"/>
  <c r="Q43" i="6"/>
  <c r="AC43" i="6" s="1"/>
  <c r="AC44" i="6" s="1"/>
  <c r="AC23" i="6"/>
  <c r="L39" i="6"/>
  <c r="L40" i="6" s="1"/>
  <c r="M27" i="6"/>
  <c r="BP21" i="6" l="1"/>
  <c r="BP22" i="6" s="1"/>
  <c r="CF23" i="6"/>
  <c r="CF43" i="6" s="1"/>
  <c r="AC24" i="6"/>
  <c r="D10" i="15" s="1"/>
  <c r="D6" i="15"/>
  <c r="D7" i="15" s="1"/>
  <c r="CE23" i="6"/>
  <c r="CE43" i="6" s="1"/>
  <c r="CO23" i="6"/>
  <c r="CO43" i="6" s="1"/>
  <c r="CC15" i="6"/>
  <c r="CK23" i="6"/>
  <c r="CK43" i="6" s="1"/>
  <c r="CL23" i="6"/>
  <c r="CL43" i="6" s="1"/>
  <c r="CG23" i="6"/>
  <c r="CG43" i="6" s="1"/>
  <c r="CN23" i="6"/>
  <c r="CN43" i="6" s="1"/>
  <c r="CI23" i="6"/>
  <c r="CI43" i="6" s="1"/>
  <c r="CC17" i="6"/>
  <c r="BU23" i="6"/>
  <c r="BU43" i="6" s="1"/>
  <c r="CM23" i="6"/>
  <c r="CM43" i="6" s="1"/>
  <c r="CP4" i="8"/>
  <c r="CC55" i="6"/>
  <c r="CC16" i="6"/>
  <c r="BQ23" i="6"/>
  <c r="CD17" i="6"/>
  <c r="CD20" i="6"/>
  <c r="CD19" i="6"/>
  <c r="CD16" i="6"/>
  <c r="CD18" i="6"/>
  <c r="CP7" i="6"/>
  <c r="I4" i="15" s="1"/>
  <c r="I5" i="15" s="1"/>
  <c r="CP14" i="6"/>
  <c r="CJ23" i="6"/>
  <c r="CJ43" i="6" s="1"/>
  <c r="BP23" i="6"/>
  <c r="BD43" i="6"/>
  <c r="BP43" i="6" s="1"/>
  <c r="BP44" i="6" s="1"/>
  <c r="CC18" i="6"/>
  <c r="CC20" i="6"/>
  <c r="CH18" i="6"/>
  <c r="CH17" i="6"/>
  <c r="CH20" i="6"/>
  <c r="CH19" i="6"/>
  <c r="CH16" i="6"/>
  <c r="CC19" i="6"/>
  <c r="AC32" i="6"/>
  <c r="M39" i="6"/>
  <c r="N27" i="6"/>
  <c r="CC21" i="6" l="1"/>
  <c r="CC22" i="6" s="1"/>
  <c r="BP24" i="6"/>
  <c r="G10" i="15" s="1"/>
  <c r="G6" i="15"/>
  <c r="G7" i="15" s="1"/>
  <c r="CP15" i="6"/>
  <c r="CP18" i="6"/>
  <c r="CP16" i="6"/>
  <c r="CP55" i="6"/>
  <c r="CH23" i="6"/>
  <c r="CH43" i="6" s="1"/>
  <c r="CP17" i="6"/>
  <c r="CD23" i="6"/>
  <c r="CP20" i="6"/>
  <c r="BQ43" i="6"/>
  <c r="CC43" i="6" s="1"/>
  <c r="CC44" i="6" s="1"/>
  <c r="CC23" i="6"/>
  <c r="CP19" i="6"/>
  <c r="N39" i="6"/>
  <c r="M40" i="6"/>
  <c r="O27" i="6"/>
  <c r="Q27" i="6" s="1"/>
  <c r="CP21" i="6" l="1"/>
  <c r="CP22" i="6" s="1"/>
  <c r="CC24" i="6"/>
  <c r="H10" i="15" s="1"/>
  <c r="H6" i="15"/>
  <c r="H7" i="15" s="1"/>
  <c r="CP23" i="6"/>
  <c r="CD43" i="6"/>
  <c r="CP43" i="6" s="1"/>
  <c r="CP44" i="6" s="1"/>
  <c r="R27" i="6"/>
  <c r="N40" i="6"/>
  <c r="O39" i="6"/>
  <c r="P39" i="6" s="1"/>
  <c r="P27" i="6"/>
  <c r="CP24" i="6" l="1"/>
  <c r="I10" i="15" s="1"/>
  <c r="I6" i="15"/>
  <c r="I7" i="15" s="1"/>
  <c r="S27" i="6"/>
  <c r="O40" i="6"/>
  <c r="Q39" i="6"/>
  <c r="T27" i="6" l="1"/>
  <c r="R39" i="6"/>
  <c r="U27" i="6" l="1"/>
  <c r="S39" i="6"/>
  <c r="V27" i="6" l="1"/>
  <c r="T39" i="6"/>
  <c r="W27" i="6" l="1"/>
  <c r="U39" i="6"/>
  <c r="X27" i="6" l="1"/>
  <c r="V39" i="6"/>
  <c r="W39" i="6" l="1"/>
  <c r="Y27" i="6"/>
  <c r="X39" i="6" l="1"/>
  <c r="Z27" i="6"/>
  <c r="Y39" i="6" l="1"/>
  <c r="AA27" i="6"/>
  <c r="Z39" i="6" l="1"/>
  <c r="AB27" i="6"/>
  <c r="AA39" i="6" l="1"/>
  <c r="AD27" i="6"/>
  <c r="AC27" i="6"/>
  <c r="AB39" i="6" l="1"/>
  <c r="AE27" i="6"/>
  <c r="AD39" i="6" l="1"/>
  <c r="AC39" i="6"/>
  <c r="AF27" i="6"/>
  <c r="AE39" i="6" l="1"/>
  <c r="AG27" i="6"/>
  <c r="AF39" i="6" l="1"/>
  <c r="AH27" i="6"/>
  <c r="AG39" i="6" l="1"/>
  <c r="AI27" i="6"/>
  <c r="AH39" i="6" l="1"/>
  <c r="AJ27" i="6"/>
  <c r="AI39" i="6" l="1"/>
  <c r="AK27" i="6"/>
  <c r="AL27" i="6" l="1"/>
  <c r="AJ39" i="6"/>
  <c r="AM27" i="6" l="1"/>
  <c r="AK39" i="6"/>
  <c r="AN27" i="6" l="1"/>
  <c r="AL39" i="6"/>
  <c r="AO27" i="6" l="1"/>
  <c r="AM39" i="6"/>
  <c r="AN39" i="6" l="1"/>
  <c r="AQ27" i="6"/>
  <c r="AP27" i="6"/>
  <c r="AO39" i="6" l="1"/>
  <c r="AR27" i="6"/>
  <c r="AS27" i="6" s="1"/>
  <c r="AT27" i="6" s="1"/>
  <c r="AU27" i="6" s="1"/>
  <c r="AV27" i="6" s="1"/>
  <c r="AW27" i="6" s="1"/>
  <c r="AX27" i="6" s="1"/>
  <c r="AY27" i="6" s="1"/>
  <c r="AZ27" i="6" s="1"/>
  <c r="BA27" i="6" s="1"/>
  <c r="BB27" i="6" s="1"/>
  <c r="BD27" i="6" s="1"/>
  <c r="AQ39" i="6" l="1"/>
  <c r="AP39" i="6"/>
  <c r="BE27" i="6"/>
  <c r="AR39" i="6" l="1"/>
  <c r="AS39" i="6" s="1"/>
  <c r="AT39" i="6" s="1"/>
  <c r="AU39" i="6" s="1"/>
  <c r="AV39" i="6" s="1"/>
  <c r="AW39" i="6" s="1"/>
  <c r="AX39" i="6" s="1"/>
  <c r="AY39" i="6" s="1"/>
  <c r="AZ39" i="6" s="1"/>
  <c r="BA39" i="6" s="1"/>
  <c r="BB39" i="6" s="1"/>
  <c r="BD39" i="6" s="1"/>
  <c r="BF27" i="6"/>
  <c r="BG27" i="6" l="1"/>
  <c r="BE39" i="6"/>
  <c r="BH27" i="6" l="1"/>
  <c r="BF39" i="6"/>
  <c r="BG39" i="6" l="1"/>
  <c r="BI27" i="6"/>
  <c r="BH39" i="6" l="1"/>
  <c r="BJ27" i="6"/>
  <c r="BK27" i="6" l="1"/>
  <c r="BI39" i="6"/>
  <c r="BL27" i="6" l="1"/>
  <c r="BJ39" i="6"/>
  <c r="BM27" i="6" l="1"/>
  <c r="BK39" i="6"/>
  <c r="BN27" i="6" l="1"/>
  <c r="BL39" i="6"/>
  <c r="BO27" i="6" l="1"/>
  <c r="BQ27" i="6" s="1"/>
  <c r="BM39" i="6"/>
  <c r="BR27" i="6" l="1"/>
  <c r="BP27" i="6"/>
  <c r="BN39" i="6"/>
  <c r="BS27" i="6" l="1"/>
  <c r="BO39" i="6"/>
  <c r="BQ39" i="6" s="1"/>
  <c r="BT27" i="6" l="1"/>
  <c r="BR39" i="6"/>
  <c r="BP39" i="6"/>
  <c r="BU27" i="6" l="1"/>
  <c r="BS39" i="6"/>
  <c r="BV27" i="6" l="1"/>
  <c r="BT39" i="6"/>
  <c r="G19" i="9"/>
  <c r="BW27" i="6" l="1"/>
  <c r="BU39" i="6"/>
  <c r="BX27" i="6" l="1"/>
  <c r="BV39" i="6"/>
  <c r="BY27" i="6" l="1"/>
  <c r="BW39" i="6"/>
  <c r="AQ9" i="8"/>
  <c r="AQ13" i="8"/>
  <c r="AQ15" i="8"/>
  <c r="AQ17" i="8" s="1"/>
  <c r="AQ19" i="8"/>
  <c r="AQ28" i="8"/>
  <c r="AQ21" i="8" l="1"/>
  <c r="C99" i="6"/>
  <c r="L18" i="11" s="1"/>
  <c r="AQ38" i="8"/>
  <c r="BZ27" i="6"/>
  <c r="BX39" i="6"/>
  <c r="D51" i="6"/>
  <c r="P51" i="6" s="1"/>
  <c r="AQ23" i="8"/>
  <c r="AQ30" i="8"/>
  <c r="AQ34" i="8"/>
  <c r="AQ32" i="8" l="1"/>
  <c r="AQ36" i="8"/>
  <c r="AQ12" i="6" s="1"/>
  <c r="AQ40" i="8"/>
  <c r="AQ13" i="6" s="1"/>
  <c r="CA27" i="6"/>
  <c r="BY39" i="6"/>
  <c r="AQ10" i="6"/>
  <c r="AQ42" i="8" l="1"/>
  <c r="AQ4" i="8" s="1"/>
  <c r="AQ11" i="6"/>
  <c r="AQ14" i="6" s="1"/>
  <c r="CB27" i="6"/>
  <c r="BZ39" i="6"/>
  <c r="AQ7" i="6"/>
  <c r="AQ50" i="8"/>
  <c r="D23" i="6"/>
  <c r="D24" i="6" l="1"/>
  <c r="CD27" i="6"/>
  <c r="CE27" i="6" s="1"/>
  <c r="CC27" i="6"/>
  <c r="CA39" i="6"/>
  <c r="AQ17" i="6"/>
  <c r="AQ18" i="6"/>
  <c r="AQ19" i="6"/>
  <c r="AQ20" i="6"/>
  <c r="AQ55" i="6"/>
  <c r="AQ16" i="6"/>
  <c r="D43" i="6"/>
  <c r="D46" i="6"/>
  <c r="D34" i="9"/>
  <c r="D22" i="9"/>
  <c r="G22" i="9"/>
  <c r="AQ23" i="6" l="1"/>
  <c r="CF27" i="6"/>
  <c r="CB39" i="6"/>
  <c r="CC39" i="6" s="1"/>
  <c r="D53" i="6"/>
  <c r="BB28" i="8"/>
  <c r="BB30" i="8" s="1"/>
  <c r="BB32" i="8" s="1"/>
  <c r="BB11" i="6" s="1"/>
  <c r="BA28" i="8"/>
  <c r="BA34" i="8" s="1"/>
  <c r="BA36" i="8" s="1"/>
  <c r="BA12" i="6" s="1"/>
  <c r="AZ28" i="8"/>
  <c r="AZ38" i="8" s="1"/>
  <c r="AZ40" i="8" s="1"/>
  <c r="AZ13" i="6" s="1"/>
  <c r="AY28" i="8"/>
  <c r="AY38" i="8" s="1"/>
  <c r="AY40" i="8" s="1"/>
  <c r="AY13" i="6" s="1"/>
  <c r="AX28" i="8"/>
  <c r="AX30" i="8" s="1"/>
  <c r="AX32" i="8" s="1"/>
  <c r="AX11" i="6" s="1"/>
  <c r="AW28" i="8"/>
  <c r="AW30" i="8" s="1"/>
  <c r="AW32" i="8" s="1"/>
  <c r="AW11" i="6" s="1"/>
  <c r="AV28" i="8"/>
  <c r="AV34" i="8" s="1"/>
  <c r="AV36" i="8" s="1"/>
  <c r="AV12" i="6" s="1"/>
  <c r="AU28" i="8"/>
  <c r="AU30" i="8" s="1"/>
  <c r="AU32" i="8" s="1"/>
  <c r="AU11" i="6" s="1"/>
  <c r="AT28" i="8"/>
  <c r="AT30" i="8" s="1"/>
  <c r="AT32" i="8" s="1"/>
  <c r="AT11" i="6" s="1"/>
  <c r="AS28" i="8"/>
  <c r="AS34" i="8" s="1"/>
  <c r="AS36" i="8" s="1"/>
  <c r="AS12" i="6" s="1"/>
  <c r="AR28" i="8"/>
  <c r="AR9" i="8"/>
  <c r="AS9" i="8"/>
  <c r="AT9" i="8"/>
  <c r="AU9" i="8"/>
  <c r="AV9" i="8"/>
  <c r="AW9" i="8"/>
  <c r="AX9" i="8"/>
  <c r="AY9" i="8"/>
  <c r="AZ9" i="8"/>
  <c r="BA9" i="8"/>
  <c r="BB9" i="8"/>
  <c r="AR13" i="8"/>
  <c r="AS13" i="8"/>
  <c r="AT13" i="8"/>
  <c r="AU13" i="8"/>
  <c r="AV13" i="8"/>
  <c r="AW13" i="8"/>
  <c r="AX13" i="8"/>
  <c r="AY13" i="8"/>
  <c r="AZ13" i="8"/>
  <c r="BA13" i="8"/>
  <c r="BB13" i="8"/>
  <c r="AR15" i="8"/>
  <c r="AR17" i="8" s="1"/>
  <c r="AS15" i="8"/>
  <c r="AS17" i="8" s="1"/>
  <c r="AT15" i="8"/>
  <c r="AT17" i="8" s="1"/>
  <c r="AU15" i="8"/>
  <c r="AU17" i="8" s="1"/>
  <c r="AV15" i="8"/>
  <c r="AV17" i="8" s="1"/>
  <c r="AW15" i="8"/>
  <c r="AW17" i="8" s="1"/>
  <c r="AX15" i="8"/>
  <c r="AX17" i="8" s="1"/>
  <c r="AY15" i="8"/>
  <c r="AY17" i="8" s="1"/>
  <c r="AZ15" i="8"/>
  <c r="AZ17" i="8" s="1"/>
  <c r="BA15" i="8"/>
  <c r="BA17" i="8" s="1"/>
  <c r="BB15" i="8"/>
  <c r="BB17" i="8" s="1"/>
  <c r="AR19" i="8"/>
  <c r="AS19" i="8"/>
  <c r="AS21" i="8" s="1"/>
  <c r="AT19" i="8"/>
  <c r="AT21" i="8" s="1"/>
  <c r="AU19" i="8"/>
  <c r="AU21" i="8" s="1"/>
  <c r="AV19" i="8"/>
  <c r="AV21" i="8" s="1"/>
  <c r="AW19" i="8"/>
  <c r="AW21" i="8" s="1"/>
  <c r="AX19" i="8"/>
  <c r="AX21" i="8" s="1"/>
  <c r="AY19" i="8"/>
  <c r="AY21" i="8" s="1"/>
  <c r="AZ19" i="8"/>
  <c r="AZ21" i="8" s="1"/>
  <c r="BA19" i="8"/>
  <c r="BA21" i="8" s="1"/>
  <c r="BB19" i="8"/>
  <c r="BB21" i="8" s="1"/>
  <c r="P17" i="7"/>
  <c r="P16" i="7"/>
  <c r="P15" i="7"/>
  <c r="P14" i="7"/>
  <c r="P13" i="7"/>
  <c r="O18" i="7"/>
  <c r="O19" i="7" s="1"/>
  <c r="J18" i="7"/>
  <c r="J19" i="7" s="1"/>
  <c r="I18" i="7"/>
  <c r="I19" i="7" s="1"/>
  <c r="H18" i="7"/>
  <c r="H19" i="7" s="1"/>
  <c r="G18" i="7"/>
  <c r="G19" i="7" s="1"/>
  <c r="L18" i="7"/>
  <c r="L19" i="7" s="1"/>
  <c r="D18" i="7"/>
  <c r="AR21" i="8" l="1"/>
  <c r="BC19" i="8"/>
  <c r="AR23" i="8"/>
  <c r="AR30" i="8"/>
  <c r="BC28" i="8"/>
  <c r="AV38" i="8"/>
  <c r="AV40" i="8" s="1"/>
  <c r="AV13" i="6" s="1"/>
  <c r="BY26" i="6"/>
  <c r="BY40" i="6" s="1"/>
  <c r="BY46" i="6" s="1"/>
  <c r="BY53" i="6" s="1"/>
  <c r="BY57" i="6" s="1"/>
  <c r="AY26" i="6"/>
  <c r="BL26" i="6"/>
  <c r="BL40" i="6" s="1"/>
  <c r="BL46" i="6" s="1"/>
  <c r="BL53" i="6" s="1"/>
  <c r="BL57" i="6" s="1"/>
  <c r="CL26" i="6"/>
  <c r="AL26" i="6"/>
  <c r="AL40" i="6" s="1"/>
  <c r="AL46" i="6" s="1"/>
  <c r="AL53" i="6" s="1"/>
  <c r="AL57" i="6" s="1"/>
  <c r="Y26" i="6"/>
  <c r="Y40" i="6" s="1"/>
  <c r="Y46" i="6" s="1"/>
  <c r="Y53" i="6" s="1"/>
  <c r="Y57" i="6" s="1"/>
  <c r="CO26" i="6"/>
  <c r="BO26" i="6"/>
  <c r="BO40" i="6" s="1"/>
  <c r="BO46" i="6" s="1"/>
  <c r="BO53" i="6" s="1"/>
  <c r="BO57" i="6" s="1"/>
  <c r="AO26" i="6"/>
  <c r="AO40" i="6" s="1"/>
  <c r="AO46" i="6" s="1"/>
  <c r="AO53" i="6" s="1"/>
  <c r="AO57" i="6" s="1"/>
  <c r="CB26" i="6"/>
  <c r="CB40" i="6" s="1"/>
  <c r="CB46" i="6" s="1"/>
  <c r="BB26" i="6"/>
  <c r="AB26" i="6"/>
  <c r="AB40" i="6" s="1"/>
  <c r="AB46" i="6" s="1"/>
  <c r="AB53" i="6" s="1"/>
  <c r="AB57" i="6" s="1"/>
  <c r="CJ26" i="6"/>
  <c r="BJ26" i="6"/>
  <c r="BJ40" i="6" s="1"/>
  <c r="BJ46" i="6" s="1"/>
  <c r="BJ53" i="6" s="1"/>
  <c r="BJ57" i="6" s="1"/>
  <c r="AJ26" i="6"/>
  <c r="AJ40" i="6" s="1"/>
  <c r="AJ46" i="6" s="1"/>
  <c r="AJ53" i="6" s="1"/>
  <c r="AJ57" i="6" s="1"/>
  <c r="BW26" i="6"/>
  <c r="BW40" i="6" s="1"/>
  <c r="BW46" i="6" s="1"/>
  <c r="BW53" i="6" s="1"/>
  <c r="BW57" i="6" s="1"/>
  <c r="AW26" i="6"/>
  <c r="W26" i="6"/>
  <c r="W40" i="6" s="1"/>
  <c r="W46" i="6" s="1"/>
  <c r="W53" i="6" s="1"/>
  <c r="W57" i="6" s="1"/>
  <c r="CI26" i="6"/>
  <c r="BI26" i="6"/>
  <c r="BI40" i="6" s="1"/>
  <c r="BI46" i="6" s="1"/>
  <c r="BI53" i="6" s="1"/>
  <c r="BI57" i="6" s="1"/>
  <c r="AI26" i="6"/>
  <c r="AI40" i="6" s="1"/>
  <c r="AI46" i="6" s="1"/>
  <c r="AI53" i="6" s="1"/>
  <c r="AI57" i="6" s="1"/>
  <c r="BV26" i="6"/>
  <c r="BV40" i="6" s="1"/>
  <c r="BV46" i="6" s="1"/>
  <c r="BV53" i="6" s="1"/>
  <c r="BV57" i="6" s="1"/>
  <c r="AV26" i="6"/>
  <c r="V26" i="6"/>
  <c r="V40" i="6" s="1"/>
  <c r="V46" i="6" s="1"/>
  <c r="V53" i="6" s="1"/>
  <c r="V57" i="6" s="1"/>
  <c r="AT26" i="6"/>
  <c r="CG26" i="6"/>
  <c r="BG26" i="6"/>
  <c r="BG40" i="6" s="1"/>
  <c r="BG46" i="6" s="1"/>
  <c r="BG53" i="6" s="1"/>
  <c r="BG57" i="6" s="1"/>
  <c r="AG26" i="6"/>
  <c r="AG40" i="6" s="1"/>
  <c r="AG46" i="6" s="1"/>
  <c r="AG53" i="6" s="1"/>
  <c r="AG57" i="6" s="1"/>
  <c r="BT26" i="6"/>
  <c r="BT40" i="6" s="1"/>
  <c r="BT46" i="6" s="1"/>
  <c r="BT53" i="6" s="1"/>
  <c r="BT57" i="6" s="1"/>
  <c r="T26" i="6"/>
  <c r="T40" i="6" s="1"/>
  <c r="T46" i="6" s="1"/>
  <c r="T53" i="6" s="1"/>
  <c r="T57" i="6" s="1"/>
  <c r="CH26" i="6"/>
  <c r="BH26" i="6"/>
  <c r="BH40" i="6" s="1"/>
  <c r="BH46" i="6" s="1"/>
  <c r="BH53" i="6" s="1"/>
  <c r="BH57" i="6" s="1"/>
  <c r="AH26" i="6"/>
  <c r="AH40" i="6" s="1"/>
  <c r="AH46" i="6" s="1"/>
  <c r="AH53" i="6" s="1"/>
  <c r="AH57" i="6" s="1"/>
  <c r="BU26" i="6"/>
  <c r="BU40" i="6" s="1"/>
  <c r="BU46" i="6" s="1"/>
  <c r="BU53" i="6" s="1"/>
  <c r="BU57" i="6" s="1"/>
  <c r="AU26" i="6"/>
  <c r="U26" i="6"/>
  <c r="U40" i="6" s="1"/>
  <c r="U46" i="6" s="1"/>
  <c r="U53" i="6" s="1"/>
  <c r="U57" i="6" s="1"/>
  <c r="AU34" i="8"/>
  <c r="AU36" i="8" s="1"/>
  <c r="AU12" i="6" s="1"/>
  <c r="BC13" i="8"/>
  <c r="CG27" i="6"/>
  <c r="CD39" i="6"/>
  <c r="BC17" i="8"/>
  <c r="BC9" i="8"/>
  <c r="BC21" i="8"/>
  <c r="D57" i="6"/>
  <c r="BA38" i="8"/>
  <c r="BA40" i="8" s="1"/>
  <c r="BA13" i="6" s="1"/>
  <c r="AW38" i="8"/>
  <c r="AW40" i="8" s="1"/>
  <c r="AW13" i="6" s="1"/>
  <c r="AY34" i="8"/>
  <c r="AY36" i="8" s="1"/>
  <c r="AY12" i="6" s="1"/>
  <c r="AW34" i="8"/>
  <c r="AW36" i="8" s="1"/>
  <c r="AW12" i="6" s="1"/>
  <c r="D19" i="7"/>
  <c r="AS38" i="8"/>
  <c r="AS40" i="8" s="1"/>
  <c r="AS13" i="6" s="1"/>
  <c r="AS30" i="8"/>
  <c r="AS32" i="8" s="1"/>
  <c r="AS11" i="6" s="1"/>
  <c r="AR34" i="8"/>
  <c r="AR38" i="8"/>
  <c r="BA30" i="8"/>
  <c r="BA32" i="8" s="1"/>
  <c r="BA11" i="6" s="1"/>
  <c r="AZ30" i="8"/>
  <c r="AZ32" i="8" s="1"/>
  <c r="AZ11" i="6" s="1"/>
  <c r="AZ34" i="8"/>
  <c r="AZ36" i="8" s="1"/>
  <c r="AZ12" i="6" s="1"/>
  <c r="AV30" i="8"/>
  <c r="AV32" i="8" s="1"/>
  <c r="AV11" i="6" s="1"/>
  <c r="AX34" i="8"/>
  <c r="AX36" i="8" s="1"/>
  <c r="AX12" i="6" s="1"/>
  <c r="AX38" i="8"/>
  <c r="AX40" i="8" s="1"/>
  <c r="AX13" i="6" s="1"/>
  <c r="AY30" i="8"/>
  <c r="AY32" i="8" s="1"/>
  <c r="AY11" i="6" s="1"/>
  <c r="AU38" i="8"/>
  <c r="AU40" i="8" s="1"/>
  <c r="AU13" i="6" s="1"/>
  <c r="AT38" i="8"/>
  <c r="AT40" i="8" s="1"/>
  <c r="AT13" i="6" s="1"/>
  <c r="BB38" i="8"/>
  <c r="BB40" i="8" s="1"/>
  <c r="BB13" i="6" s="1"/>
  <c r="AT34" i="8"/>
  <c r="AT36" i="8" s="1"/>
  <c r="AT12" i="6" s="1"/>
  <c r="BB34" i="8"/>
  <c r="BB36" i="8" s="1"/>
  <c r="BB12" i="6" s="1"/>
  <c r="BA23" i="8"/>
  <c r="BB23" i="8"/>
  <c r="AX23" i="8"/>
  <c r="AZ23" i="8"/>
  <c r="AT23" i="8"/>
  <c r="AY23" i="8"/>
  <c r="AW23" i="8"/>
  <c r="AS23" i="8"/>
  <c r="AU23" i="8"/>
  <c r="AV23" i="8"/>
  <c r="F18" i="7"/>
  <c r="F19" i="7" s="1"/>
  <c r="N18" i="7"/>
  <c r="N19" i="7" s="1"/>
  <c r="E18" i="7"/>
  <c r="E19" i="7" s="1"/>
  <c r="M18" i="7"/>
  <c r="M19" i="7" s="1"/>
  <c r="K18" i="7"/>
  <c r="K19" i="7" s="1"/>
  <c r="AR40" i="8" l="1"/>
  <c r="AR13" i="6" s="1"/>
  <c r="BC13" i="6" s="1"/>
  <c r="BC38" i="8"/>
  <c r="AR32" i="8"/>
  <c r="AR11" i="6" s="1"/>
  <c r="BC11" i="6" s="1"/>
  <c r="BC30" i="8"/>
  <c r="AR36" i="8"/>
  <c r="AR12" i="6" s="1"/>
  <c r="BC12" i="6" s="1"/>
  <c r="BC34" i="8"/>
  <c r="BR26" i="6"/>
  <c r="BR40" i="6" s="1"/>
  <c r="BR46" i="6" s="1"/>
  <c r="BR53" i="6" s="1"/>
  <c r="BR57" i="6" s="1"/>
  <c r="AR26" i="6"/>
  <c r="AR40" i="6" s="1"/>
  <c r="CE26" i="6"/>
  <c r="BE26" i="6"/>
  <c r="BE40" i="6" s="1"/>
  <c r="BE46" i="6" s="1"/>
  <c r="BE53" i="6" s="1"/>
  <c r="BE57" i="6" s="1"/>
  <c r="AE26" i="6"/>
  <c r="AE40" i="6" s="1"/>
  <c r="AE46" i="6" s="1"/>
  <c r="AE53" i="6" s="1"/>
  <c r="AE57" i="6" s="1"/>
  <c r="R26" i="6"/>
  <c r="R40" i="6" s="1"/>
  <c r="R46" i="6" s="1"/>
  <c r="R53" i="6" s="1"/>
  <c r="R57" i="6" s="1"/>
  <c r="BS26" i="6"/>
  <c r="BS40" i="6" s="1"/>
  <c r="BS46" i="6" s="1"/>
  <c r="BS53" i="6" s="1"/>
  <c r="BS57" i="6" s="1"/>
  <c r="AS26" i="6"/>
  <c r="AS40" i="6" s="1"/>
  <c r="BF26" i="6"/>
  <c r="BF40" i="6" s="1"/>
  <c r="BF46" i="6" s="1"/>
  <c r="BF53" i="6" s="1"/>
  <c r="BF57" i="6" s="1"/>
  <c r="AF26" i="6"/>
  <c r="AF40" i="6" s="1"/>
  <c r="AF46" i="6" s="1"/>
  <c r="AF53" i="6" s="1"/>
  <c r="AF57" i="6" s="1"/>
  <c r="CF26" i="6"/>
  <c r="S26" i="6"/>
  <c r="S40" i="6" s="1"/>
  <c r="S46" i="6" s="1"/>
  <c r="S53" i="6" s="1"/>
  <c r="S57" i="6" s="1"/>
  <c r="CA26" i="6"/>
  <c r="CA40" i="6" s="1"/>
  <c r="CA46" i="6" s="1"/>
  <c r="CA53" i="6" s="1"/>
  <c r="CA57" i="6" s="1"/>
  <c r="BA26" i="6"/>
  <c r="CN26" i="6"/>
  <c r="BN26" i="6"/>
  <c r="BN40" i="6" s="1"/>
  <c r="BN46" i="6" s="1"/>
  <c r="BN53" i="6" s="1"/>
  <c r="BN57" i="6" s="1"/>
  <c r="AN26" i="6"/>
  <c r="AN40" i="6" s="1"/>
  <c r="AN46" i="6" s="1"/>
  <c r="AN53" i="6" s="1"/>
  <c r="AN57" i="6" s="1"/>
  <c r="AA26" i="6"/>
  <c r="AA40" i="6" s="1"/>
  <c r="AA46" i="6" s="1"/>
  <c r="AA53" i="6" s="1"/>
  <c r="AA57" i="6" s="1"/>
  <c r="BZ26" i="6"/>
  <c r="BZ40" i="6" s="1"/>
  <c r="BZ46" i="6" s="1"/>
  <c r="BZ53" i="6" s="1"/>
  <c r="BZ57" i="6" s="1"/>
  <c r="AZ26" i="6"/>
  <c r="CM26" i="6"/>
  <c r="BM26" i="6"/>
  <c r="BM40" i="6" s="1"/>
  <c r="BM46" i="6" s="1"/>
  <c r="BM53" i="6" s="1"/>
  <c r="BM57" i="6" s="1"/>
  <c r="AM26" i="6"/>
  <c r="AM40" i="6" s="1"/>
  <c r="AM46" i="6" s="1"/>
  <c r="AM53" i="6" s="1"/>
  <c r="AM57" i="6" s="1"/>
  <c r="Z26" i="6"/>
  <c r="Z40" i="6" s="1"/>
  <c r="Z46" i="6" s="1"/>
  <c r="Z53" i="6" s="1"/>
  <c r="Z57" i="6" s="1"/>
  <c r="CK26" i="6"/>
  <c r="AK26" i="6"/>
  <c r="AK40" i="6" s="1"/>
  <c r="AK46" i="6" s="1"/>
  <c r="AK53" i="6" s="1"/>
  <c r="AK57" i="6" s="1"/>
  <c r="BX26" i="6"/>
  <c r="BX40" i="6" s="1"/>
  <c r="BX46" i="6" s="1"/>
  <c r="BX53" i="6" s="1"/>
  <c r="BX57" i="6" s="1"/>
  <c r="AX26" i="6"/>
  <c r="BK26" i="6"/>
  <c r="BK40" i="6" s="1"/>
  <c r="BK46" i="6" s="1"/>
  <c r="BK53" i="6" s="1"/>
  <c r="BK57" i="6" s="1"/>
  <c r="X26" i="6"/>
  <c r="X40" i="6" s="1"/>
  <c r="X46" i="6" s="1"/>
  <c r="X53" i="6" s="1"/>
  <c r="X57" i="6" s="1"/>
  <c r="CD26" i="6"/>
  <c r="CD40" i="6" s="1"/>
  <c r="CD46" i="6" s="1"/>
  <c r="BD26" i="6"/>
  <c r="AD26" i="6"/>
  <c r="AQ26" i="6"/>
  <c r="AQ40" i="6" s="1"/>
  <c r="BQ26" i="6"/>
  <c r="Q26" i="6"/>
  <c r="CB53" i="6"/>
  <c r="CH27" i="6"/>
  <c r="CE39" i="6"/>
  <c r="AT10" i="6"/>
  <c r="AT14" i="6" s="1"/>
  <c r="AY10" i="6"/>
  <c r="AY14" i="6" s="1"/>
  <c r="AS10" i="6"/>
  <c r="AS14" i="6" s="1"/>
  <c r="AR10" i="6"/>
  <c r="BA10" i="6"/>
  <c r="BA14" i="6" s="1"/>
  <c r="BC23" i="8"/>
  <c r="AU10" i="6"/>
  <c r="AU14" i="6" s="1"/>
  <c r="BB10" i="6"/>
  <c r="BB14" i="6" s="1"/>
  <c r="AV10" i="6"/>
  <c r="AV14" i="6" s="1"/>
  <c r="AX10" i="6"/>
  <c r="AX14" i="6" s="1"/>
  <c r="AW10" i="6"/>
  <c r="AW14" i="6" s="1"/>
  <c r="AZ10" i="6"/>
  <c r="AZ14" i="6" s="1"/>
  <c r="BC36" i="6"/>
  <c r="P19" i="7"/>
  <c r="P18" i="7"/>
  <c r="AW42" i="8"/>
  <c r="AW50" i="8" s="1"/>
  <c r="J23" i="6"/>
  <c r="AU42" i="8"/>
  <c r="AU50" i="8" s="1"/>
  <c r="H23" i="6"/>
  <c r="BA42" i="8"/>
  <c r="BA50" i="8" s="1"/>
  <c r="N23" i="6"/>
  <c r="F23" i="6"/>
  <c r="AZ42" i="8"/>
  <c r="AZ50" i="8" s="1"/>
  <c r="AY42" i="8"/>
  <c r="AY50" i="8" s="1"/>
  <c r="L23" i="6"/>
  <c r="AV42" i="8"/>
  <c r="AV50" i="8" s="1"/>
  <c r="I23" i="6"/>
  <c r="AX42" i="8"/>
  <c r="AX50" i="8" s="1"/>
  <c r="BB42" i="8"/>
  <c r="BB50" i="8" s="1"/>
  <c r="O23" i="6"/>
  <c r="AS42" i="8"/>
  <c r="AS50" i="8" s="1"/>
  <c r="AT42" i="8"/>
  <c r="AT50" i="8" s="1"/>
  <c r="BC36" i="8" l="1"/>
  <c r="BC32" i="8"/>
  <c r="AR42" i="8"/>
  <c r="AR4" i="8" s="1"/>
  <c r="AR7" i="6" s="1"/>
  <c r="BC40" i="8"/>
  <c r="AP26" i="6"/>
  <c r="AD40" i="6"/>
  <c r="AC26" i="6"/>
  <c r="Q40" i="6"/>
  <c r="CC26" i="6"/>
  <c r="CC40" i="6" s="1"/>
  <c r="BQ40" i="6"/>
  <c r="BQ46" i="6" s="1"/>
  <c r="BC26" i="6"/>
  <c r="CP26" i="6"/>
  <c r="BP26" i="6"/>
  <c r="BD40" i="6"/>
  <c r="BA4" i="8"/>
  <c r="BA7" i="6" s="1"/>
  <c r="BA55" i="6" s="1"/>
  <c r="AV4" i="8"/>
  <c r="AV7" i="6" s="1"/>
  <c r="AV55" i="6" s="1"/>
  <c r="AW4" i="8"/>
  <c r="AW7" i="6" s="1"/>
  <c r="AW19" i="6" s="1"/>
  <c r="CD53" i="6"/>
  <c r="AX4" i="8"/>
  <c r="AX7" i="6" s="1"/>
  <c r="AX17" i="6" s="1"/>
  <c r="AT4" i="8"/>
  <c r="AT7" i="6" s="1"/>
  <c r="AT20" i="6" s="1"/>
  <c r="CB57" i="6"/>
  <c r="CF39" i="6"/>
  <c r="CE40" i="6"/>
  <c r="CE46" i="6" s="1"/>
  <c r="CE53" i="6" s="1"/>
  <c r="CE57" i="6" s="1"/>
  <c r="CI27" i="6"/>
  <c r="AZ4" i="8"/>
  <c r="AZ7" i="6" s="1"/>
  <c r="AY4" i="8"/>
  <c r="AY7" i="6" s="1"/>
  <c r="AR14" i="6"/>
  <c r="BC10" i="6"/>
  <c r="AU4" i="8"/>
  <c r="AU7" i="6" s="1"/>
  <c r="BB4" i="8"/>
  <c r="BB7" i="6" s="1"/>
  <c r="AS4" i="8"/>
  <c r="AS7" i="6" s="1"/>
  <c r="I43" i="6"/>
  <c r="I46" i="6"/>
  <c r="I53" i="6" s="1"/>
  <c r="I57" i="6" s="1"/>
  <c r="N46" i="6"/>
  <c r="N53" i="6" s="1"/>
  <c r="N57" i="6" s="1"/>
  <c r="N43" i="6"/>
  <c r="O43" i="6"/>
  <c r="O46" i="6"/>
  <c r="O53" i="6" s="1"/>
  <c r="O57" i="6" s="1"/>
  <c r="H43" i="6"/>
  <c r="H46" i="6"/>
  <c r="H53" i="6" s="1"/>
  <c r="H57" i="6" s="1"/>
  <c r="J43" i="6"/>
  <c r="J46" i="6"/>
  <c r="J53" i="6" s="1"/>
  <c r="J57" i="6" s="1"/>
  <c r="F46" i="6"/>
  <c r="F53" i="6" s="1"/>
  <c r="F57" i="6" s="1"/>
  <c r="F43" i="6"/>
  <c r="L43" i="6"/>
  <c r="L46" i="6"/>
  <c r="L53" i="6" s="1"/>
  <c r="L57" i="6" s="1"/>
  <c r="K23" i="6"/>
  <c r="G23" i="6"/>
  <c r="M23" i="6"/>
  <c r="BC42" i="8" l="1"/>
  <c r="BC50" i="8" s="1"/>
  <c r="BC51" i="8" s="1"/>
  <c r="AR50" i="8"/>
  <c r="CC41" i="6"/>
  <c r="H11" i="15" s="1"/>
  <c r="H8" i="15"/>
  <c r="H9" i="15" s="1"/>
  <c r="BD46" i="6"/>
  <c r="BP40" i="6"/>
  <c r="G8" i="15" s="1"/>
  <c r="G9" i="15" s="1"/>
  <c r="BQ53" i="6"/>
  <c r="BQ57" i="6" s="1"/>
  <c r="CC46" i="6"/>
  <c r="Q46" i="6"/>
  <c r="AC40" i="6"/>
  <c r="AD46" i="6"/>
  <c r="AP40" i="6"/>
  <c r="AV17" i="6"/>
  <c r="BA17" i="6"/>
  <c r="AT18" i="6"/>
  <c r="BA18" i="6"/>
  <c r="BA20" i="6"/>
  <c r="BA19" i="6"/>
  <c r="AV18" i="6"/>
  <c r="AV19" i="6"/>
  <c r="AV20" i="6"/>
  <c r="AV16" i="6"/>
  <c r="BA16" i="6"/>
  <c r="AT19" i="6"/>
  <c r="AT16" i="6"/>
  <c r="AT55" i="6"/>
  <c r="AX16" i="6"/>
  <c r="AX18" i="6"/>
  <c r="AX55" i="6"/>
  <c r="AT17" i="6"/>
  <c r="AW16" i="6"/>
  <c r="AX20" i="6"/>
  <c r="AW18" i="6"/>
  <c r="AW17" i="6"/>
  <c r="AX19" i="6"/>
  <c r="AW55" i="6"/>
  <c r="AW20" i="6"/>
  <c r="CD57" i="6"/>
  <c r="CJ27" i="6"/>
  <c r="CG39" i="6"/>
  <c r="CF40" i="6"/>
  <c r="CF46" i="6" s="1"/>
  <c r="CF53" i="6" s="1"/>
  <c r="CF57" i="6" s="1"/>
  <c r="AZ20" i="6"/>
  <c r="AZ19" i="6"/>
  <c r="AZ16" i="6"/>
  <c r="AZ17" i="6"/>
  <c r="AZ18" i="6"/>
  <c r="AZ55" i="6"/>
  <c r="AS55" i="6"/>
  <c r="AS17" i="6"/>
  <c r="AS18" i="6"/>
  <c r="AS16" i="6"/>
  <c r="AS20" i="6"/>
  <c r="AS19" i="6"/>
  <c r="AR20" i="6"/>
  <c r="AR19" i="6"/>
  <c r="AR16" i="6"/>
  <c r="AR18" i="6"/>
  <c r="AR17" i="6"/>
  <c r="AR55" i="6"/>
  <c r="BC7" i="6"/>
  <c r="F4" i="15" s="1"/>
  <c r="F5" i="15" s="1"/>
  <c r="BB17" i="6"/>
  <c r="BB19" i="6"/>
  <c r="BB55" i="6"/>
  <c r="BB16" i="6"/>
  <c r="BB20" i="6"/>
  <c r="BB18" i="6"/>
  <c r="AU19" i="6"/>
  <c r="AU17" i="6"/>
  <c r="AU55" i="6"/>
  <c r="AU20" i="6"/>
  <c r="AU18" i="6"/>
  <c r="AU16" i="6"/>
  <c r="BC4" i="8"/>
  <c r="BC14" i="6"/>
  <c r="AY18" i="6"/>
  <c r="AY17" i="6"/>
  <c r="AY16" i="6"/>
  <c r="AY55" i="6"/>
  <c r="AY20" i="6"/>
  <c r="AY19" i="6"/>
  <c r="AT40" i="6"/>
  <c r="M46" i="6"/>
  <c r="M53" i="6" s="1"/>
  <c r="M57" i="6" s="1"/>
  <c r="M43" i="6"/>
  <c r="G46" i="6"/>
  <c r="G53" i="6" s="1"/>
  <c r="G57" i="6" s="1"/>
  <c r="G43" i="6"/>
  <c r="K43" i="6"/>
  <c r="K46" i="6"/>
  <c r="K53" i="6" s="1"/>
  <c r="K57" i="6" s="1"/>
  <c r="E23" i="6"/>
  <c r="P23" i="6" s="1"/>
  <c r="CC53" i="6" l="1"/>
  <c r="CC47" i="6"/>
  <c r="H12" i="15" s="1"/>
  <c r="AD53" i="6"/>
  <c r="AD57" i="6" s="1"/>
  <c r="AP46" i="6"/>
  <c r="Q53" i="6"/>
  <c r="Q57" i="6" s="1"/>
  <c r="AC46" i="6"/>
  <c r="E8" i="15"/>
  <c r="E9" i="15" s="1"/>
  <c r="AP41" i="6"/>
  <c r="E11" i="15" s="1"/>
  <c r="BD53" i="6"/>
  <c r="BD57" i="6" s="1"/>
  <c r="BP46" i="6"/>
  <c r="D8" i="15"/>
  <c r="D9" i="15" s="1"/>
  <c r="AC41" i="6"/>
  <c r="D11" i="15" s="1"/>
  <c r="AV23" i="6"/>
  <c r="AV43" i="6" s="1"/>
  <c r="BA23" i="6"/>
  <c r="BA43" i="6" s="1"/>
  <c r="AT23" i="6"/>
  <c r="AT43" i="6" s="1"/>
  <c r="BC55" i="6"/>
  <c r="AW23" i="6"/>
  <c r="AW43" i="6" s="1"/>
  <c r="AX23" i="6"/>
  <c r="AX43" i="6" s="1"/>
  <c r="BC15" i="6"/>
  <c r="CK27" i="6"/>
  <c r="CH39" i="6"/>
  <c r="CG40" i="6"/>
  <c r="CG46" i="6" s="1"/>
  <c r="BC17" i="6"/>
  <c r="AS23" i="6"/>
  <c r="AS43" i="6" s="1"/>
  <c r="AR23" i="6"/>
  <c r="BC19" i="6"/>
  <c r="AZ23" i="6"/>
  <c r="AZ43" i="6" s="1"/>
  <c r="BB23" i="6"/>
  <c r="BB43" i="6" s="1"/>
  <c r="BC16" i="6"/>
  <c r="BC20" i="6"/>
  <c r="AY23" i="6"/>
  <c r="AY43" i="6" s="1"/>
  <c r="AU23" i="6"/>
  <c r="AU43" i="6" s="1"/>
  <c r="BC18" i="6"/>
  <c r="C6" i="15"/>
  <c r="C7" i="15" s="1"/>
  <c r="E46" i="6"/>
  <c r="E43" i="6"/>
  <c r="P43" i="6" s="1"/>
  <c r="P44" i="6" s="1"/>
  <c r="AU40" i="6"/>
  <c r="BC21" i="6" l="1"/>
  <c r="BC22" i="6" s="1"/>
  <c r="CC56" i="6"/>
  <c r="H31" i="11" s="1"/>
  <c r="CC57" i="6"/>
  <c r="CC58" i="6" s="1"/>
  <c r="H13" i="15" s="1"/>
  <c r="AC47" i="6"/>
  <c r="D12" i="15" s="1"/>
  <c r="AC53" i="6"/>
  <c r="BP47" i="6"/>
  <c r="G12" i="15" s="1"/>
  <c r="BP53" i="6"/>
  <c r="AP47" i="6"/>
  <c r="E12" i="15" s="1"/>
  <c r="AP53" i="6"/>
  <c r="AT46" i="6"/>
  <c r="AT53" i="6" s="1"/>
  <c r="AT57" i="6" s="1"/>
  <c r="CG53" i="6"/>
  <c r="CL27" i="6"/>
  <c r="CI39" i="6"/>
  <c r="CH40" i="6"/>
  <c r="CH46" i="6" s="1"/>
  <c r="CH53" i="6" s="1"/>
  <c r="CH57" i="6" s="1"/>
  <c r="AS46" i="6"/>
  <c r="AS53" i="6" s="1"/>
  <c r="AS57" i="6" s="1"/>
  <c r="AR43" i="6"/>
  <c r="AR46" i="6"/>
  <c r="AR53" i="6" s="1"/>
  <c r="AR57" i="6" s="1"/>
  <c r="BC23" i="6"/>
  <c r="E53" i="6"/>
  <c r="P46" i="6"/>
  <c r="J14" i="9"/>
  <c r="AU46" i="6"/>
  <c r="AU53" i="6" s="1"/>
  <c r="AV40" i="6"/>
  <c r="AV46" i="6" s="1"/>
  <c r="AQ43" i="6"/>
  <c r="AQ46" i="6"/>
  <c r="AC57" i="6" l="1"/>
  <c r="AC58" i="6" s="1"/>
  <c r="D13" i="15" s="1"/>
  <c r="AC56" i="6"/>
  <c r="D31" i="11" s="1"/>
  <c r="BP56" i="6"/>
  <c r="G31" i="11" s="1"/>
  <c r="BP57" i="6"/>
  <c r="BP58" i="6" s="1"/>
  <c r="G13" i="15" s="1"/>
  <c r="AP56" i="6"/>
  <c r="E31" i="11" s="1"/>
  <c r="AP57" i="6"/>
  <c r="AP58" i="6" s="1"/>
  <c r="E13" i="15" s="1"/>
  <c r="BC24" i="6"/>
  <c r="F10" i="15" s="1"/>
  <c r="F6" i="15"/>
  <c r="F7" i="15" s="1"/>
  <c r="P53" i="6"/>
  <c r="P57" i="6" s="1"/>
  <c r="P47" i="6"/>
  <c r="C12" i="15" s="1"/>
  <c r="CG57" i="6"/>
  <c r="CJ39" i="6"/>
  <c r="CI40" i="6"/>
  <c r="CI46" i="6" s="1"/>
  <c r="CM27" i="6"/>
  <c r="BC43" i="6"/>
  <c r="BC44" i="6" s="1"/>
  <c r="AV53" i="6"/>
  <c r="AV57" i="6" s="1"/>
  <c r="AQ53" i="6"/>
  <c r="AQ57" i="6" s="1"/>
  <c r="E57" i="6"/>
  <c r="D37" i="9"/>
  <c r="AW40" i="6"/>
  <c r="BC28" i="6"/>
  <c r="AX40" i="6"/>
  <c r="AX46" i="6" s="1"/>
  <c r="P56" i="6" l="1"/>
  <c r="C31" i="11" s="1"/>
  <c r="CI53" i="6"/>
  <c r="CN27" i="6"/>
  <c r="CK39" i="6"/>
  <c r="CJ40" i="6"/>
  <c r="CJ46" i="6" s="1"/>
  <c r="CJ53" i="6" s="1"/>
  <c r="CJ57" i="6" s="1"/>
  <c r="C71" i="6"/>
  <c r="AX53" i="6"/>
  <c r="AX57" i="6" s="1"/>
  <c r="AU57" i="6"/>
  <c r="AW46" i="6"/>
  <c r="AW53" i="6" s="1"/>
  <c r="L8" i="15" l="1"/>
  <c r="L15" i="11"/>
  <c r="CI57" i="6"/>
  <c r="CO27" i="6"/>
  <c r="CP27" i="6" s="1"/>
  <c r="CL39" i="6"/>
  <c r="CK40" i="6"/>
  <c r="CK46" i="6" s="1"/>
  <c r="AY40" i="6"/>
  <c r="AY46" i="6" s="1"/>
  <c r="AZ40" i="6"/>
  <c r="AZ46" i="6" s="1"/>
  <c r="CK53" i="6" l="1"/>
  <c r="CM39" i="6"/>
  <c r="CL40" i="6"/>
  <c r="CL46" i="6" s="1"/>
  <c r="CL53" i="6" s="1"/>
  <c r="CL57" i="6" s="1"/>
  <c r="AY53" i="6"/>
  <c r="AY57" i="6" s="1"/>
  <c r="AZ53" i="6"/>
  <c r="AZ57" i="6" s="1"/>
  <c r="AW57" i="6"/>
  <c r="P24" i="6"/>
  <c r="C10" i="15" s="1"/>
  <c r="BC27" i="6"/>
  <c r="CK57" i="6" l="1"/>
  <c r="CN39" i="6"/>
  <c r="CM40" i="6"/>
  <c r="CM46" i="6" s="1"/>
  <c r="CM53" i="6" s="1"/>
  <c r="CM57" i="6" s="1"/>
  <c r="BA40" i="6"/>
  <c r="BC39" i="6"/>
  <c r="BC40" i="6" s="1"/>
  <c r="BC41" i="6" l="1"/>
  <c r="F11" i="15" s="1"/>
  <c r="F8" i="15"/>
  <c r="F9" i="15" s="1"/>
  <c r="CO39" i="6"/>
  <c r="CN40" i="6"/>
  <c r="CN46" i="6" s="1"/>
  <c r="CN53" i="6" s="1"/>
  <c r="CN57" i="6" s="1"/>
  <c r="BP41" i="6"/>
  <c r="G11" i="15" s="1"/>
  <c r="BA46" i="6"/>
  <c r="BA53" i="6" s="1"/>
  <c r="BB40" i="6"/>
  <c r="CO40" i="6" l="1"/>
  <c r="CO46" i="6" s="1"/>
  <c r="CP39" i="6"/>
  <c r="CP40" i="6" s="1"/>
  <c r="BB46" i="6"/>
  <c r="CP41" i="6" l="1"/>
  <c r="I11" i="15" s="1"/>
  <c r="I8" i="15"/>
  <c r="I9" i="15" s="1"/>
  <c r="CO53" i="6"/>
  <c r="CP46" i="6"/>
  <c r="BB53" i="6"/>
  <c r="BC46" i="6"/>
  <c r="BA57" i="6"/>
  <c r="CP53" i="6" l="1"/>
  <c r="CP57" i="6" s="1"/>
  <c r="CP58" i="6" s="1"/>
  <c r="I13" i="15" s="1"/>
  <c r="CP47" i="6"/>
  <c r="I12" i="15" s="1"/>
  <c r="BC53" i="6"/>
  <c r="BC56" i="6" s="1"/>
  <c r="F31" i="11" s="1"/>
  <c r="BC47" i="6"/>
  <c r="F12" i="15" s="1"/>
  <c r="CO57" i="6"/>
  <c r="BB57" i="6"/>
  <c r="CP56" i="6" l="1"/>
  <c r="I31" i="11" s="1"/>
  <c r="BC57" i="6"/>
  <c r="BC58" i="6" s="1"/>
  <c r="F13" i="15" s="1"/>
  <c r="G34" i="9" l="1"/>
  <c r="J34" i="9" s="1"/>
  <c r="C72" i="6" l="1"/>
  <c r="C73" i="6"/>
  <c r="G37" i="9"/>
  <c r="P40" i="6"/>
  <c r="L11" i="15" l="1"/>
  <c r="L17" i="11"/>
  <c r="L10" i="15"/>
  <c r="L16" i="11"/>
  <c r="P41" i="6"/>
  <c r="C11" i="15" s="1"/>
  <c r="C8" i="15"/>
  <c r="C9" i="15" s="1"/>
  <c r="P58" i="6"/>
  <c r="C13" i="15" s="1"/>
  <c r="L13" i="15" l="1"/>
  <c r="C59" i="6" l="1"/>
  <c r="C65" i="6" l="1"/>
  <c r="C63" i="6" s="1"/>
  <c r="P59" i="6"/>
  <c r="P63" i="6" s="1"/>
  <c r="CR65" i="6" l="1"/>
  <c r="AC59" i="6"/>
  <c r="AC63" i="6" s="1"/>
  <c r="P65" i="6"/>
  <c r="CS65" i="6" s="1"/>
  <c r="AC65" i="6" l="1"/>
  <c r="AP59" i="6"/>
  <c r="AP63" i="6" s="1"/>
  <c r="CT65" i="6" l="1"/>
  <c r="BC59" i="6"/>
  <c r="BC63" i="6" s="1"/>
  <c r="AP65" i="6"/>
  <c r="CU65" i="6" s="1"/>
  <c r="BC65" i="6" l="1"/>
  <c r="BP59" i="6"/>
  <c r="BP63" i="6" s="1"/>
  <c r="CV65" i="6" l="1"/>
  <c r="BP65" i="6"/>
  <c r="CW65" i="6" s="1"/>
  <c r="CC59" i="6"/>
  <c r="CC63" i="6" s="1"/>
  <c r="CC65" i="6" l="1"/>
  <c r="CP59" i="6"/>
  <c r="CP63" i="6" l="1"/>
  <c r="CP65" i="6" s="1"/>
  <c r="CX65" i="6"/>
  <c r="CY65" i="6" l="1"/>
  <c r="C70" i="6"/>
  <c r="L14" i="11" s="1"/>
  <c r="C69" i="6"/>
  <c r="L13" i="11" s="1"/>
  <c r="M13" i="11" s="1"/>
  <c r="L6" i="15" l="1"/>
  <c r="L5" i="15"/>
  <c r="P67" i="6"/>
</calcChain>
</file>

<file path=xl/sharedStrings.xml><?xml version="1.0" encoding="utf-8"?>
<sst xmlns="http://schemas.openxmlformats.org/spreadsheetml/2006/main" count="1209" uniqueCount="992">
  <si>
    <t>ROA</t>
  </si>
  <si>
    <t>ROE</t>
  </si>
  <si>
    <t>Impuestos por Recuperar</t>
  </si>
  <si>
    <t>EBITDA</t>
  </si>
  <si>
    <t>INGRESOS</t>
  </si>
  <si>
    <t>Otros</t>
  </si>
  <si>
    <t>EGRESOS</t>
  </si>
  <si>
    <t>COSTOS VARIABLES</t>
  </si>
  <si>
    <t>COSTOS FIJOS</t>
  </si>
  <si>
    <t>MARGEN DE CONTRIBUCIÓN</t>
  </si>
  <si>
    <t>Intereses</t>
  </si>
  <si>
    <t>INVERSIÓN TOTAL</t>
  </si>
  <si>
    <t>Inversión en Capital de Trabajo</t>
  </si>
  <si>
    <t>Inversión Bienes de Capital</t>
  </si>
  <si>
    <t>Arriendo</t>
  </si>
  <si>
    <t>Gastos Básicos (l,gc)</t>
  </si>
  <si>
    <t>Publicidad (rr.ss. + web)</t>
  </si>
  <si>
    <t>Mantención</t>
  </si>
  <si>
    <t>Secretaria</t>
  </si>
  <si>
    <t>Aseo</t>
  </si>
  <si>
    <t>Contabilidad</t>
  </si>
  <si>
    <t>Teléfono + Internet</t>
  </si>
  <si>
    <t>Otros 5%</t>
  </si>
  <si>
    <t>Celular</t>
  </si>
  <si>
    <t>Patente Municipal</t>
  </si>
  <si>
    <t>Administradora</t>
  </si>
  <si>
    <t>TOTAL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</si>
  <si>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</si>
  <si>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</si>
  <si>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</si>
  <si>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</si>
  <si>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</si>
  <si>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</si>
  <si>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</si>
  <si>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</si>
  <si>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</si>
  <si>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</si>
  <si>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</si>
  <si>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</si>
  <si>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Patrón</t>
  </si>
  <si>
    <t>Odontólogos</t>
  </si>
  <si>
    <t>Médicos</t>
  </si>
  <si>
    <t>Psicologos</t>
  </si>
  <si>
    <t>Acupunturistas</t>
  </si>
  <si>
    <t>TOTAL Sueldos Fijos</t>
  </si>
  <si>
    <t>Medicamentos</t>
  </si>
  <si>
    <t>Insumos Aseos</t>
  </si>
  <si>
    <t>Insumos Médicos</t>
  </si>
  <si>
    <t>Laboratorio Dental 1</t>
  </si>
  <si>
    <t>Laboratorio Dental 2</t>
  </si>
  <si>
    <t>Laboratorio Dental 3</t>
  </si>
  <si>
    <t>OTROS ACTIVOS</t>
  </si>
  <si>
    <t>Caja</t>
  </si>
  <si>
    <t>ACTIVOS</t>
  </si>
  <si>
    <t>PASIVOS</t>
  </si>
  <si>
    <t>Proveedores</t>
  </si>
  <si>
    <t>Banco</t>
  </si>
  <si>
    <t xml:space="preserve">Cuentas por Cobrar </t>
  </si>
  <si>
    <t>Inversiones</t>
  </si>
  <si>
    <t>Cuentas por Pagar</t>
  </si>
  <si>
    <t>Mercaderias</t>
  </si>
  <si>
    <t>Total Activo Circulante</t>
  </si>
  <si>
    <t>Total Pasivo Circulante</t>
  </si>
  <si>
    <t>ACTIVO FIJO</t>
  </si>
  <si>
    <t>PASIVO L / PLAZO</t>
  </si>
  <si>
    <t>Depreciación Muebles y Utiles</t>
  </si>
  <si>
    <t>Total Activo Fijo</t>
  </si>
  <si>
    <t>PATRIMONIO</t>
  </si>
  <si>
    <t>Garantias por Arriendos</t>
  </si>
  <si>
    <t>Capital</t>
  </si>
  <si>
    <t>Arriendos Anticipados</t>
  </si>
  <si>
    <t>Res. Rev. Capital Propio</t>
  </si>
  <si>
    <t>Derechos de Llaves</t>
  </si>
  <si>
    <t>Utilidades Acumuladas</t>
  </si>
  <si>
    <t xml:space="preserve">Marca </t>
  </si>
  <si>
    <t>Total Patrimonio</t>
  </si>
  <si>
    <t>TOTAL ACTIVOS</t>
  </si>
  <si>
    <t>TOTAL PASIVOS</t>
  </si>
  <si>
    <t>PPM</t>
  </si>
  <si>
    <t xml:space="preserve">Insumos de Operación </t>
  </si>
  <si>
    <t>Obra Gruesa (constructora)</t>
  </si>
  <si>
    <t>Inversión en Servicios</t>
  </si>
  <si>
    <t>Decorador</t>
  </si>
  <si>
    <t>Evaluación de Proyecto</t>
  </si>
  <si>
    <t>Habilitación Municipal</t>
  </si>
  <si>
    <t>INVERSION TOTAL</t>
  </si>
  <si>
    <t xml:space="preserve">Obra, Muebles y Útiles </t>
  </si>
  <si>
    <t>Página Web</t>
  </si>
  <si>
    <t>Tarjeta de Crédito</t>
  </si>
  <si>
    <t>Transbank</t>
  </si>
  <si>
    <t>Cuenta Corriente</t>
  </si>
  <si>
    <t>Banco L/P</t>
  </si>
  <si>
    <t>TIR</t>
  </si>
  <si>
    <t>VAN</t>
  </si>
  <si>
    <t>FLUJOS FUTUROS VALOR PRESENTE</t>
  </si>
  <si>
    <t xml:space="preserve">Total Pasivo </t>
  </si>
  <si>
    <t>Utilidad del Ejercicio</t>
  </si>
  <si>
    <t>PRIMER AÑO</t>
  </si>
  <si>
    <t>PARAMETROS</t>
  </si>
  <si>
    <t>Sueldos Variables</t>
  </si>
  <si>
    <t>TRANSBANK</t>
  </si>
  <si>
    <t>% USO TRANSBANK</t>
  </si>
  <si>
    <t>%MDI</t>
  </si>
  <si>
    <t>Industry Name</t>
  </si>
  <si>
    <t>Number of firms</t>
  </si>
  <si>
    <t>Beta </t>
  </si>
  <si>
    <t>D/E Ratio</t>
  </si>
  <si>
    <t>Effective Tax rate</t>
  </si>
  <si>
    <t>Unlevered beta</t>
  </si>
  <si>
    <t>Cash/Firm value</t>
  </si>
  <si>
    <t>Unlevered beta corrected for cash</t>
  </si>
  <si>
    <t>HiLo Risk</t>
  </si>
  <si>
    <t>Standard deviation of equity</t>
  </si>
  <si>
    <t>Standard deviation in operating income (last 10 years)</t>
  </si>
  <si>
    <t>Advertising</t>
  </si>
  <si>
    <t>1.15</t>
  </si>
  <si>
    <t>73.87%</t>
  </si>
  <si>
    <t>6.38%</t>
  </si>
  <si>
    <t>0.74</t>
  </si>
  <si>
    <t>5.80%</t>
  </si>
  <si>
    <t>0.78</t>
  </si>
  <si>
    <t>0.6310</t>
  </si>
  <si>
    <t>80.95%</t>
  </si>
  <si>
    <t>15.30%</t>
  </si>
  <si>
    <t>Aerospace/Defense</t>
  </si>
  <si>
    <t>1.08</t>
  </si>
  <si>
    <t>18.46%</t>
  </si>
  <si>
    <t>11.59%</t>
  </si>
  <si>
    <t>0.95</t>
  </si>
  <si>
    <t>4.33%</t>
  </si>
  <si>
    <t>0.99</t>
  </si>
  <si>
    <t>0.4893</t>
  </si>
  <si>
    <t>49.06%</t>
  </si>
  <si>
    <t>12.87%</t>
  </si>
  <si>
    <t>Air Transport</t>
  </si>
  <si>
    <t>1.01</t>
  </si>
  <si>
    <t>71.00%</t>
  </si>
  <si>
    <t>24.57%</t>
  </si>
  <si>
    <t>0.66</t>
  </si>
  <si>
    <t>2.67%</t>
  </si>
  <si>
    <t>0.67</t>
  </si>
  <si>
    <t>0.4148</t>
  </si>
  <si>
    <t>40.20%</t>
  </si>
  <si>
    <t>92.29%</t>
  </si>
  <si>
    <t>Apparel</t>
  </si>
  <si>
    <t>1.02</t>
  </si>
  <si>
    <t>34.18%</t>
  </si>
  <si>
    <t>10.35%</t>
  </si>
  <si>
    <t>0.81</t>
  </si>
  <si>
    <t>5.16%</t>
  </si>
  <si>
    <t>0.85</t>
  </si>
  <si>
    <t>0.4998</t>
  </si>
  <si>
    <t>59.71%</t>
  </si>
  <si>
    <t>22.55%</t>
  </si>
  <si>
    <t>Auto &amp; Truck</t>
  </si>
  <si>
    <t>1.20</t>
  </si>
  <si>
    <t>148.09%</t>
  </si>
  <si>
    <t>8.15%</t>
  </si>
  <si>
    <t>0.56</t>
  </si>
  <si>
    <t>4.88%</t>
  </si>
  <si>
    <t>0.59</t>
  </si>
  <si>
    <t>0.6051</t>
  </si>
  <si>
    <t>38.59%</t>
  </si>
  <si>
    <t>209.62%</t>
  </si>
  <si>
    <t>Auto Parts</t>
  </si>
  <si>
    <t>1.04</t>
  </si>
  <si>
    <t>28.30%</t>
  </si>
  <si>
    <t>7.71%</t>
  </si>
  <si>
    <t>7.19%</t>
  </si>
  <si>
    <t>0.92</t>
  </si>
  <si>
    <t>0.5423</t>
  </si>
  <si>
    <t>56.74%</t>
  </si>
  <si>
    <t>53.93%</t>
  </si>
  <si>
    <t>Bank (Money Center)</t>
  </si>
  <si>
    <t>0.64</t>
  </si>
  <si>
    <t>157.26%</t>
  </si>
  <si>
    <t>27.31%</t>
  </si>
  <si>
    <t>0.29</t>
  </si>
  <si>
    <t>9.94%</t>
  </si>
  <si>
    <t>0.32</t>
  </si>
  <si>
    <t>0.1462</t>
  </si>
  <si>
    <t>33.37%</t>
  </si>
  <si>
    <t>NA</t>
  </si>
  <si>
    <t>Banks (Regional)</t>
  </si>
  <si>
    <t>0.50</t>
  </si>
  <si>
    <t>58.68%</t>
  </si>
  <si>
    <t>25.57%</t>
  </si>
  <si>
    <t>0.35</t>
  </si>
  <si>
    <t>10.04%</t>
  </si>
  <si>
    <t>0.39</t>
  </si>
  <si>
    <t>0.1809</t>
  </si>
  <si>
    <t>32.08%</t>
  </si>
  <si>
    <t>Beverage (Alcoholic)</t>
  </si>
  <si>
    <t>1.33</t>
  </si>
  <si>
    <t>26.14%</t>
  </si>
  <si>
    <t>10.12%</t>
  </si>
  <si>
    <t>1.11</t>
  </si>
  <si>
    <t>1.20%</t>
  </si>
  <si>
    <t>1.12</t>
  </si>
  <si>
    <t>0.5387</t>
  </si>
  <si>
    <t>50.14%</t>
  </si>
  <si>
    <t>32.58%</t>
  </si>
  <si>
    <t>Beverage (Soft)</t>
  </si>
  <si>
    <t>0.70</t>
  </si>
  <si>
    <t>23.06%</t>
  </si>
  <si>
    <t>6.41%</t>
  </si>
  <si>
    <t>0.60</t>
  </si>
  <si>
    <t>4.46%</t>
  </si>
  <si>
    <t>0.63</t>
  </si>
  <si>
    <t>0.5850</t>
  </si>
  <si>
    <t>45.33%</t>
  </si>
  <si>
    <t>13.03%</t>
  </si>
  <si>
    <t>Broadcasting</t>
  </si>
  <si>
    <t>112.17%</t>
  </si>
  <si>
    <t>17.18%</t>
  </si>
  <si>
    <t>7.16%</t>
  </si>
  <si>
    <t>0.65</t>
  </si>
  <si>
    <t>0.4085</t>
  </si>
  <si>
    <t>52.30%</t>
  </si>
  <si>
    <t>20.47%</t>
  </si>
  <si>
    <t>Brokerage &amp; Investment Banking</t>
  </si>
  <si>
    <t>1.24</t>
  </si>
  <si>
    <t>219.92%</t>
  </si>
  <si>
    <t>14.56%</t>
  </si>
  <si>
    <t>0.46</t>
  </si>
  <si>
    <t>14.84%</t>
  </si>
  <si>
    <t>0.54</t>
  </si>
  <si>
    <t>0.4586</t>
  </si>
  <si>
    <t>42.48%</t>
  </si>
  <si>
    <t>36.49%</t>
  </si>
  <si>
    <t>Building Materials</t>
  </si>
  <si>
    <t>21.46%</t>
  </si>
  <si>
    <t>23.34%</t>
  </si>
  <si>
    <t>3.30%</t>
  </si>
  <si>
    <t>0.3135</t>
  </si>
  <si>
    <t>41.01%</t>
  </si>
  <si>
    <t>55.46%</t>
  </si>
  <si>
    <t>Business &amp; Consumer Services</t>
  </si>
  <si>
    <t>1.17</t>
  </si>
  <si>
    <t>27.44%</t>
  </si>
  <si>
    <t>11.09%</t>
  </si>
  <si>
    <t>0.97</t>
  </si>
  <si>
    <t>3.94%</t>
  </si>
  <si>
    <t>0.5442</t>
  </si>
  <si>
    <t>49.45%</t>
  </si>
  <si>
    <t>19.49%</t>
  </si>
  <si>
    <t>Cable TV</t>
  </si>
  <si>
    <t>53.05%</t>
  </si>
  <si>
    <t>22.23%</t>
  </si>
  <si>
    <t>1.67%</t>
  </si>
  <si>
    <t>0.4154</t>
  </si>
  <si>
    <t>36.33%</t>
  </si>
  <si>
    <t>35.61%</t>
  </si>
  <si>
    <t>Chemical (Basic)</t>
  </si>
  <si>
    <t>41.28%</t>
  </si>
  <si>
    <t>9.76%</t>
  </si>
  <si>
    <t>0.91</t>
  </si>
  <si>
    <t>5.52%</t>
  </si>
  <si>
    <t>0.96</t>
  </si>
  <si>
    <t>0.5297</t>
  </si>
  <si>
    <t>59.39%</t>
  </si>
  <si>
    <t>40.60%</t>
  </si>
  <si>
    <t>Chemical (Diversified)</t>
  </si>
  <si>
    <t>2.03</t>
  </si>
  <si>
    <t>27.19%</t>
  </si>
  <si>
    <t>11.66%</t>
  </si>
  <si>
    <t>1.69</t>
  </si>
  <si>
    <t>6.07%</t>
  </si>
  <si>
    <t>1.79</t>
  </si>
  <si>
    <t>0.3952</t>
  </si>
  <si>
    <t>68.62%</t>
  </si>
  <si>
    <t>36.93%</t>
  </si>
  <si>
    <t>Chemical (Specialty)</t>
  </si>
  <si>
    <t>29.00%</t>
  </si>
  <si>
    <t>9.64%</t>
  </si>
  <si>
    <t>3.71%</t>
  </si>
  <si>
    <t>0.4598</t>
  </si>
  <si>
    <t>59.69%</t>
  </si>
  <si>
    <t>20.92%</t>
  </si>
  <si>
    <t>Coal &amp; Related Energy</t>
  </si>
  <si>
    <t>1.25</t>
  </si>
  <si>
    <t>45.41%</t>
  </si>
  <si>
    <t>4.94%</t>
  </si>
  <si>
    <t>0.93</t>
  </si>
  <si>
    <t>10.94%</t>
  </si>
  <si>
    <t>0.5930</t>
  </si>
  <si>
    <t>90.61%</t>
  </si>
  <si>
    <t>226.93%</t>
  </si>
  <si>
    <t>Computer Services</t>
  </si>
  <si>
    <t>1.10</t>
  </si>
  <si>
    <t>30.83%</t>
  </si>
  <si>
    <t>9.40%</t>
  </si>
  <si>
    <t>0.89</t>
  </si>
  <si>
    <t>5.49%</t>
  </si>
  <si>
    <t>0.94</t>
  </si>
  <si>
    <t>0.5432</t>
  </si>
  <si>
    <t>48.53%</t>
  </si>
  <si>
    <t>12.54%</t>
  </si>
  <si>
    <t>Computers/Peripherals</t>
  </si>
  <si>
    <t>18.17%</t>
  </si>
  <si>
    <t>5.03%</t>
  </si>
  <si>
    <t>4.44%</t>
  </si>
  <si>
    <t>0.5296</t>
  </si>
  <si>
    <t>61.38%</t>
  </si>
  <si>
    <t>44.58%</t>
  </si>
  <si>
    <t>Construction Supplies</t>
  </si>
  <si>
    <t>32.47%</t>
  </si>
  <si>
    <t>17.36%</t>
  </si>
  <si>
    <t>0.90</t>
  </si>
  <si>
    <t>5.64%</t>
  </si>
  <si>
    <t>0.3347</t>
  </si>
  <si>
    <t>45.67%</t>
  </si>
  <si>
    <t>28.97%</t>
  </si>
  <si>
    <t>Diversified</t>
  </si>
  <si>
    <t>1.19</t>
  </si>
  <si>
    <t>32.49%</t>
  </si>
  <si>
    <t>12.09%</t>
  </si>
  <si>
    <t>5.48%</t>
  </si>
  <si>
    <t>0.4370</t>
  </si>
  <si>
    <t>26.82%</t>
  </si>
  <si>
    <t>22.28%</t>
  </si>
  <si>
    <t>Drugs (Biotechnology)</t>
  </si>
  <si>
    <t>1.44</t>
  </si>
  <si>
    <t>15.83%</t>
  </si>
  <si>
    <t>1.36%</t>
  </si>
  <si>
    <t>1.29</t>
  </si>
  <si>
    <t>5.27%</t>
  </si>
  <si>
    <t>1.36</t>
  </si>
  <si>
    <t>0.5569</t>
  </si>
  <si>
    <t>94.78%</t>
  </si>
  <si>
    <t>59.98%</t>
  </si>
  <si>
    <t>Drugs (Pharmaceutical)</t>
  </si>
  <si>
    <t>1.21</t>
  </si>
  <si>
    <t>14.63%</t>
  </si>
  <si>
    <t>2.11%</t>
  </si>
  <si>
    <t>1.09</t>
  </si>
  <si>
    <t>3.65%</t>
  </si>
  <si>
    <t>1.13</t>
  </si>
  <si>
    <t>0.5754</t>
  </si>
  <si>
    <t>85.70%</t>
  </si>
  <si>
    <t>9.32%</t>
  </si>
  <si>
    <t>Education</t>
  </si>
  <si>
    <t>38.83%</t>
  </si>
  <si>
    <t>8.24%</t>
  </si>
  <si>
    <t>7.06%</t>
  </si>
  <si>
    <t>0.4730</t>
  </si>
  <si>
    <t>53.59%</t>
  </si>
  <si>
    <t>25.37%</t>
  </si>
  <si>
    <t>Electrical Equipment</t>
  </si>
  <si>
    <t>15.85%</t>
  </si>
  <si>
    <t>5.06%</t>
  </si>
  <si>
    <t>0.6021</t>
  </si>
  <si>
    <t>66.17%</t>
  </si>
  <si>
    <t>15.61%</t>
  </si>
  <si>
    <t>Electronics (Consumer &amp; Office)</t>
  </si>
  <si>
    <t>6.94%</t>
  </si>
  <si>
    <t>5.98%</t>
  </si>
  <si>
    <t>3.85%</t>
  </si>
  <si>
    <t>0.5949</t>
  </si>
  <si>
    <t>70.22%</t>
  </si>
  <si>
    <t>257.32%</t>
  </si>
  <si>
    <t>Electronics (General)</t>
  </si>
  <si>
    <t>14.97%</t>
  </si>
  <si>
    <t>8.34%</t>
  </si>
  <si>
    <t>0.84</t>
  </si>
  <si>
    <t>7.80%</t>
  </si>
  <si>
    <t>0.5125</t>
  </si>
  <si>
    <t>60.25%</t>
  </si>
  <si>
    <t>28.33%</t>
  </si>
  <si>
    <t>Engineering/Construction</t>
  </si>
  <si>
    <t>1.27</t>
  </si>
  <si>
    <t>29.72%</t>
  </si>
  <si>
    <t>13.37%</t>
  </si>
  <si>
    <t>8.14%</t>
  </si>
  <si>
    <t>0.4130</t>
  </si>
  <si>
    <t>53.02%</t>
  </si>
  <si>
    <t>11.78%</t>
  </si>
  <si>
    <t>Entertainment</t>
  </si>
  <si>
    <t>33.74%</t>
  </si>
  <si>
    <t>5.45%</t>
  </si>
  <si>
    <t>4.23%</t>
  </si>
  <si>
    <t>0.6323</t>
  </si>
  <si>
    <t>54.94%</t>
  </si>
  <si>
    <t>20.36%</t>
  </si>
  <si>
    <t>Environmental &amp; Waste Services</t>
  </si>
  <si>
    <t>0.88</t>
  </si>
  <si>
    <t>34.87%</t>
  </si>
  <si>
    <t>4.45%</t>
  </si>
  <si>
    <t>0.69</t>
  </si>
  <si>
    <t>0.93%</t>
  </si>
  <si>
    <t>0.6050</t>
  </si>
  <si>
    <t>65.74%</t>
  </si>
  <si>
    <t>12.70%</t>
  </si>
  <si>
    <t>Farming/Agriculture</t>
  </si>
  <si>
    <t>55.54%</t>
  </si>
  <si>
    <t>7.69%</t>
  </si>
  <si>
    <t>0.52</t>
  </si>
  <si>
    <t>6.02%</t>
  </si>
  <si>
    <t>0.4842</t>
  </si>
  <si>
    <t>42.57%</t>
  </si>
  <si>
    <t>25.17%</t>
  </si>
  <si>
    <t>Financial Svcs. (Non-bank &amp; Insuran</t>
  </si>
  <si>
    <t>0.61</t>
  </si>
  <si>
    <t>1032.19%</t>
  </si>
  <si>
    <t>19.89%</t>
  </si>
  <si>
    <t>0.07</t>
  </si>
  <si>
    <t>2.38%</t>
  </si>
  <si>
    <t>0.2561</t>
  </si>
  <si>
    <t>36.63%</t>
  </si>
  <si>
    <t>53.82%</t>
  </si>
  <si>
    <t>Food Processing</t>
  </si>
  <si>
    <t>0.68</t>
  </si>
  <si>
    <t>30.82%</t>
  </si>
  <si>
    <t>15.13%</t>
  </si>
  <si>
    <t>0.55</t>
  </si>
  <si>
    <t>1.58%</t>
  </si>
  <si>
    <t>0.4234</t>
  </si>
  <si>
    <t>41.18%</t>
  </si>
  <si>
    <t>25.40%</t>
  </si>
  <si>
    <t>Food Wholesalers</t>
  </si>
  <si>
    <t>37.46%</t>
  </si>
  <si>
    <t>11.91%</t>
  </si>
  <si>
    <t>1.39</t>
  </si>
  <si>
    <t>1.76%</t>
  </si>
  <si>
    <t>1.41</t>
  </si>
  <si>
    <t>0.4729</t>
  </si>
  <si>
    <t>55.42%</t>
  </si>
  <si>
    <t>15.90%</t>
  </si>
  <si>
    <t>Furn/Home Furnishings</t>
  </si>
  <si>
    <t>0.79</t>
  </si>
  <si>
    <t>27.86%</t>
  </si>
  <si>
    <t>12.56%</t>
  </si>
  <si>
    <t>3.22%</t>
  </si>
  <si>
    <t>0.4142</t>
  </si>
  <si>
    <t>51.26%</t>
  </si>
  <si>
    <t>34.05%</t>
  </si>
  <si>
    <t>Green &amp; Renewable Energy</t>
  </si>
  <si>
    <t>98.23%</t>
  </si>
  <si>
    <t>2.41%</t>
  </si>
  <si>
    <t>4.47%</t>
  </si>
  <si>
    <t>0.72</t>
  </si>
  <si>
    <t>0.6613</t>
  </si>
  <si>
    <t>60.29%</t>
  </si>
  <si>
    <t>93.85%</t>
  </si>
  <si>
    <t>Healthcare Products</t>
  </si>
  <si>
    <t>17.08%</t>
  </si>
  <si>
    <t>4.79%</t>
  </si>
  <si>
    <t>0.83</t>
  </si>
  <si>
    <t>5.87%</t>
  </si>
  <si>
    <t>0.5371</t>
  </si>
  <si>
    <t>66.92%</t>
  </si>
  <si>
    <t>10.87%</t>
  </si>
  <si>
    <t>Healthcare Support Services</t>
  </si>
  <si>
    <t>24.83%</t>
  </si>
  <si>
    <t>13.69%</t>
  </si>
  <si>
    <t>0.76</t>
  </si>
  <si>
    <t>8.35%</t>
  </si>
  <si>
    <t>0.82</t>
  </si>
  <si>
    <t>0.4877</t>
  </si>
  <si>
    <t>57.44%</t>
  </si>
  <si>
    <t>24.22%</t>
  </si>
  <si>
    <t>Heathcare Information and Technol</t>
  </si>
  <si>
    <t>0.98</t>
  </si>
  <si>
    <t>19.30%</t>
  </si>
  <si>
    <t>5.96%</t>
  </si>
  <si>
    <t>3.37%</t>
  </si>
  <si>
    <t>0.5393</t>
  </si>
  <si>
    <t>58.64%</t>
  </si>
  <si>
    <t>30.64%</t>
  </si>
  <si>
    <t>Homebuilding</t>
  </si>
  <si>
    <t>39.65%</t>
  </si>
  <si>
    <t>23.86%</t>
  </si>
  <si>
    <t>4.82%</t>
  </si>
  <si>
    <t>0.3080</t>
  </si>
  <si>
    <t>44.70%</t>
  </si>
  <si>
    <t>128.07%</t>
  </si>
  <si>
    <t>Hospitals/Healthcare Facilities</t>
  </si>
  <si>
    <t>1.18</t>
  </si>
  <si>
    <t>176.51%</t>
  </si>
  <si>
    <t>10.57%</t>
  </si>
  <si>
    <t>1.75%</t>
  </si>
  <si>
    <t>0.51</t>
  </si>
  <si>
    <t>0.4592</t>
  </si>
  <si>
    <t>60.63%</t>
  </si>
  <si>
    <t>30.20%</t>
  </si>
  <si>
    <t>Hotel/Gaming</t>
  </si>
  <si>
    <t>39.91%</t>
  </si>
  <si>
    <t>14.01%</t>
  </si>
  <si>
    <t>0.4199</t>
  </si>
  <si>
    <t>45.51%</t>
  </si>
  <si>
    <t>26.64%</t>
  </si>
  <si>
    <t>Household Products</t>
  </si>
  <si>
    <t>1.00</t>
  </si>
  <si>
    <t>21.03%</t>
  </si>
  <si>
    <t>7.35%</t>
  </si>
  <si>
    <t>0.86</t>
  </si>
  <si>
    <t>2.31%</t>
  </si>
  <si>
    <t>0.6009</t>
  </si>
  <si>
    <t>56.30%</t>
  </si>
  <si>
    <t>6.39%</t>
  </si>
  <si>
    <t>Information Services</t>
  </si>
  <si>
    <t>15.71%</t>
  </si>
  <si>
    <t>4.07%</t>
  </si>
  <si>
    <t>0.3503</t>
  </si>
  <si>
    <t>41.35%</t>
  </si>
  <si>
    <t>34.44%</t>
  </si>
  <si>
    <t>Insurance (General)</t>
  </si>
  <si>
    <t>38.50%</t>
  </si>
  <si>
    <t>14.71%</t>
  </si>
  <si>
    <t>3.99%</t>
  </si>
  <si>
    <t>0.2871</t>
  </si>
  <si>
    <t>37.21%</t>
  </si>
  <si>
    <t>76.79%</t>
  </si>
  <si>
    <t>Insurance (Life)</t>
  </si>
  <si>
    <t>57.06%</t>
  </si>
  <si>
    <t>15.32%</t>
  </si>
  <si>
    <t>12.71%</t>
  </si>
  <si>
    <t>0.2369</t>
  </si>
  <si>
    <t>37.34%</t>
  </si>
  <si>
    <t>36.74%</t>
  </si>
  <si>
    <t>Insurance (Prop/Cas.)</t>
  </si>
  <si>
    <t>26.43%</t>
  </si>
  <si>
    <t>18.50%</t>
  </si>
  <si>
    <t>4.06%</t>
  </si>
  <si>
    <t>0.73</t>
  </si>
  <si>
    <t>0.2254</t>
  </si>
  <si>
    <t>34.65%</t>
  </si>
  <si>
    <t>57.83%</t>
  </si>
  <si>
    <t>Investments &amp; Asset Management</t>
  </si>
  <si>
    <t>42.08%</t>
  </si>
  <si>
    <t>8.30%</t>
  </si>
  <si>
    <t>0.75</t>
  </si>
  <si>
    <t>13.70%</t>
  </si>
  <si>
    <t>0.87</t>
  </si>
  <si>
    <t>0.3629</t>
  </si>
  <si>
    <t>41.00%</t>
  </si>
  <si>
    <t>27.10%</t>
  </si>
  <si>
    <t>Machinery</t>
  </si>
  <si>
    <t>19.75%</t>
  </si>
  <si>
    <t>14.05%</t>
  </si>
  <si>
    <t>3.69%</t>
  </si>
  <si>
    <t>0.4209</t>
  </si>
  <si>
    <t>43.17%</t>
  </si>
  <si>
    <t>20.89%</t>
  </si>
  <si>
    <t>Metals &amp; Mining</t>
  </si>
  <si>
    <t>30.54%</t>
  </si>
  <si>
    <t>1.66%</t>
  </si>
  <si>
    <t>6.75%</t>
  </si>
  <si>
    <t>0.6862</t>
  </si>
  <si>
    <t>82.33%</t>
  </si>
  <si>
    <t>40.51%</t>
  </si>
  <si>
    <t>Office Equipment &amp; Services</t>
  </si>
  <si>
    <t>1.37</t>
  </si>
  <si>
    <t>51.65%</t>
  </si>
  <si>
    <t>18.37%</t>
  </si>
  <si>
    <t>10.21%</t>
  </si>
  <si>
    <t>0.4977</t>
  </si>
  <si>
    <t>49.66%</t>
  </si>
  <si>
    <t>18.32%</t>
  </si>
  <si>
    <t>Oil/Gas (Integrated)</t>
  </si>
  <si>
    <t>15.29%</t>
  </si>
  <si>
    <t>10.96%</t>
  </si>
  <si>
    <t>1.23</t>
  </si>
  <si>
    <t>1.70%</t>
  </si>
  <si>
    <t>0.3307</t>
  </si>
  <si>
    <t>20.21%</t>
  </si>
  <si>
    <t>61.70%</t>
  </si>
  <si>
    <t>Oil/Gas (Production and Exploration</t>
  </si>
  <si>
    <t>1.26</t>
  </si>
  <si>
    <t>41.91%</t>
  </si>
  <si>
    <t>2.18%</t>
  </si>
  <si>
    <t>4.89%</t>
  </si>
  <si>
    <t>0.5978</t>
  </si>
  <si>
    <t>78.88%</t>
  </si>
  <si>
    <t>109.36%</t>
  </si>
  <si>
    <t>Oil/Gas Distribution</t>
  </si>
  <si>
    <t>93.43%</t>
  </si>
  <si>
    <t>4.84%</t>
  </si>
  <si>
    <t>0.71</t>
  </si>
  <si>
    <t>1.53%</t>
  </si>
  <si>
    <t>0.4481</t>
  </si>
  <si>
    <t>62.79%</t>
  </si>
  <si>
    <t>30.48%</t>
  </si>
  <si>
    <t>Oilfield Svcs/Equip.</t>
  </si>
  <si>
    <t>30.98%</t>
  </si>
  <si>
    <t>5.93%</t>
  </si>
  <si>
    <t>1.06</t>
  </si>
  <si>
    <t>0.5501</t>
  </si>
  <si>
    <t>73.29%</t>
  </si>
  <si>
    <t>42.07%</t>
  </si>
  <si>
    <t>Packaging &amp; Container</t>
  </si>
  <si>
    <t>50.22%</t>
  </si>
  <si>
    <t>22.37%</t>
  </si>
  <si>
    <t>0.53</t>
  </si>
  <si>
    <t>3.01%</t>
  </si>
  <si>
    <t>0.2952</t>
  </si>
  <si>
    <t>27.67%</t>
  </si>
  <si>
    <t>17.89%</t>
  </si>
  <si>
    <t>Paper/Forest Products</t>
  </si>
  <si>
    <t>40.01%</t>
  </si>
  <si>
    <t>14.18%</t>
  </si>
  <si>
    <t>5.94%</t>
  </si>
  <si>
    <t>0.4787</t>
  </si>
  <si>
    <t>56.81%</t>
  </si>
  <si>
    <t>34.50%</t>
  </si>
  <si>
    <t>Power</t>
  </si>
  <si>
    <t>76.36%</t>
  </si>
  <si>
    <t>20.31%</t>
  </si>
  <si>
    <t>0.2477</t>
  </si>
  <si>
    <t>31.23%</t>
  </si>
  <si>
    <t>8.37%</t>
  </si>
  <si>
    <t>Precious Metals</t>
  </si>
  <si>
    <t>17.85%</t>
  </si>
  <si>
    <t>2.16%</t>
  </si>
  <si>
    <t>10.39%</t>
  </si>
  <si>
    <t>0.6903</t>
  </si>
  <si>
    <t>91.35%</t>
  </si>
  <si>
    <t>72.71%</t>
  </si>
  <si>
    <t>Publishing &amp; Newspapers</t>
  </si>
  <si>
    <t>44.49%</t>
  </si>
  <si>
    <t>11.92%</t>
  </si>
  <si>
    <t>7.84%</t>
  </si>
  <si>
    <t>0.3562</t>
  </si>
  <si>
    <t>54.14%</t>
  </si>
  <si>
    <t>13.55%</t>
  </si>
  <si>
    <t>R.E.I.T.</t>
  </si>
  <si>
    <t>78.50%</t>
  </si>
  <si>
    <t>1.96%</t>
  </si>
  <si>
    <t>0.41</t>
  </si>
  <si>
    <t>2.00%</t>
  </si>
  <si>
    <t>0.42</t>
  </si>
  <si>
    <t>0.1817</t>
  </si>
  <si>
    <t>32.14%</t>
  </si>
  <si>
    <t>30.62%</t>
  </si>
  <si>
    <t>Real Estate (Development)</t>
  </si>
  <si>
    <t>45.30%</t>
  </si>
  <si>
    <t>9.13%</t>
  </si>
  <si>
    <t>0.6155</t>
  </si>
  <si>
    <t>44.27%</t>
  </si>
  <si>
    <t>136.76%</t>
  </si>
  <si>
    <t>Real Estate (General/Diversified)</t>
  </si>
  <si>
    <t>23.60%</t>
  </si>
  <si>
    <t>12.77%</t>
  </si>
  <si>
    <t>13.84%</t>
  </si>
  <si>
    <t>0.4356</t>
  </si>
  <si>
    <t>41.07%</t>
  </si>
  <si>
    <t>204.05%</t>
  </si>
  <si>
    <t>Real Estate (Operations &amp; Services)</t>
  </si>
  <si>
    <t>46.71%</t>
  </si>
  <si>
    <t>8.82%</t>
  </si>
  <si>
    <t>5.89%</t>
  </si>
  <si>
    <t>0.80</t>
  </si>
  <si>
    <t>0.5502</t>
  </si>
  <si>
    <t>54.01%</t>
  </si>
  <si>
    <t>42.66%</t>
  </si>
  <si>
    <t>Recreation</t>
  </si>
  <si>
    <t>29.59%</t>
  </si>
  <si>
    <t>10.16%</t>
  </si>
  <si>
    <t>4.48%</t>
  </si>
  <si>
    <t>0.5329</t>
  </si>
  <si>
    <t>50.85%</t>
  </si>
  <si>
    <t>47.63%</t>
  </si>
  <si>
    <t>Reinsurance</t>
  </si>
  <si>
    <t>27.73%</t>
  </si>
  <si>
    <t>10.92%</t>
  </si>
  <si>
    <t>0.43</t>
  </si>
  <si>
    <t>0.47</t>
  </si>
  <si>
    <t>0.2463</t>
  </si>
  <si>
    <t>18.99%</t>
  </si>
  <si>
    <t>52.13%</t>
  </si>
  <si>
    <t>Restaurant/Dining</t>
  </si>
  <si>
    <t>32.21%</t>
  </si>
  <si>
    <t>14.99%</t>
  </si>
  <si>
    <t>1.85%</t>
  </si>
  <si>
    <t>0.4220</t>
  </si>
  <si>
    <t>48.41%</t>
  </si>
  <si>
    <t>18.74%</t>
  </si>
  <si>
    <t>Retail (Automotive)</t>
  </si>
  <si>
    <t>75.96%</t>
  </si>
  <si>
    <t>19.04%</t>
  </si>
  <si>
    <t>0.99%</t>
  </si>
  <si>
    <t>0.4279</t>
  </si>
  <si>
    <t>42.62%</t>
  </si>
  <si>
    <t>35.82%</t>
  </si>
  <si>
    <t>Retail (Building Supply)</t>
  </si>
  <si>
    <t>17.86%</t>
  </si>
  <si>
    <t>15.36%</t>
  </si>
  <si>
    <t>1.21%</t>
  </si>
  <si>
    <t>0.4310</t>
  </si>
  <si>
    <t>53.44%</t>
  </si>
  <si>
    <t>28.48%</t>
  </si>
  <si>
    <t>Retail (Distributors)</t>
  </si>
  <si>
    <t>45.58%</t>
  </si>
  <si>
    <t>14.20%</t>
  </si>
  <si>
    <t>2.07%</t>
  </si>
  <si>
    <t>0.4930</t>
  </si>
  <si>
    <t>49.24%</t>
  </si>
  <si>
    <t>35.40%</t>
  </si>
  <si>
    <t>Retail (General)</t>
  </si>
  <si>
    <t>1.05</t>
  </si>
  <si>
    <t>31.15%</t>
  </si>
  <si>
    <t>22.96%</t>
  </si>
  <si>
    <t>2.88%</t>
  </si>
  <si>
    <t>0.3620</t>
  </si>
  <si>
    <t>49.94%</t>
  </si>
  <si>
    <t>6.34%</t>
  </si>
  <si>
    <t>Retail (Grocery and Food)</t>
  </si>
  <si>
    <t>83.68%</t>
  </si>
  <si>
    <t>21.04%</t>
  </si>
  <si>
    <t>1.61%</t>
  </si>
  <si>
    <t>0.44</t>
  </si>
  <si>
    <t>0.4397</t>
  </si>
  <si>
    <t>45.73%</t>
  </si>
  <si>
    <t>17.63%</t>
  </si>
  <si>
    <t>Retail (Online)</t>
  </si>
  <si>
    <t>11.41%</t>
  </si>
  <si>
    <t>7.57%</t>
  </si>
  <si>
    <t>3.21%</t>
  </si>
  <si>
    <t>0.5386</t>
  </si>
  <si>
    <t>60.64%</t>
  </si>
  <si>
    <t>49.32%</t>
  </si>
  <si>
    <t>Retail (Special Lines)</t>
  </si>
  <si>
    <t>53.00%</t>
  </si>
  <si>
    <t>22.01%</t>
  </si>
  <si>
    <t>3.41%</t>
  </si>
  <si>
    <t>0.4805</t>
  </si>
  <si>
    <t>59.68%</t>
  </si>
  <si>
    <t>22.09%</t>
  </si>
  <si>
    <t>Rubber&amp; Tires</t>
  </si>
  <si>
    <t>77.99%</t>
  </si>
  <si>
    <t>7.91%</t>
  </si>
  <si>
    <t>6.12%</t>
  </si>
  <si>
    <t>0.4488</t>
  </si>
  <si>
    <t>56.24%</t>
  </si>
  <si>
    <t>42.44%</t>
  </si>
  <si>
    <t>Semiconductor</t>
  </si>
  <si>
    <t>13.10%</t>
  </si>
  <si>
    <t>8.04%</t>
  </si>
  <si>
    <t>1.07</t>
  </si>
  <si>
    <t>7.82%</t>
  </si>
  <si>
    <t>1.16</t>
  </si>
  <si>
    <t>0.3870</t>
  </si>
  <si>
    <t>52.68%</t>
  </si>
  <si>
    <t>30.35%</t>
  </si>
  <si>
    <t>Semiconductor Equip</t>
  </si>
  <si>
    <t>11.53%</t>
  </si>
  <si>
    <t>8.51%</t>
  </si>
  <si>
    <t>8.36%</t>
  </si>
  <si>
    <t>0.4202</t>
  </si>
  <si>
    <t>61.04%</t>
  </si>
  <si>
    <t>52.85%</t>
  </si>
  <si>
    <t>Shipbuilding &amp; Marine</t>
  </si>
  <si>
    <t>1.34</t>
  </si>
  <si>
    <t>46.95%</t>
  </si>
  <si>
    <t>8.31%</t>
  </si>
  <si>
    <t>2.51%</t>
  </si>
  <si>
    <t>0.5144</t>
  </si>
  <si>
    <t>94.40%</t>
  </si>
  <si>
    <t>29.81%</t>
  </si>
  <si>
    <t>Shoe</t>
  </si>
  <si>
    <t>9.65%</t>
  </si>
  <si>
    <t>16.75%</t>
  </si>
  <si>
    <t>4.64%</t>
  </si>
  <si>
    <t>0.3897</t>
  </si>
  <si>
    <t>44.39%</t>
  </si>
  <si>
    <t>25.36%</t>
  </si>
  <si>
    <t>Software (Entertainment)</t>
  </si>
  <si>
    <t>6.45%</t>
  </si>
  <si>
    <t>2.21%</t>
  </si>
  <si>
    <t>6.76%</t>
  </si>
  <si>
    <t>0.4776</t>
  </si>
  <si>
    <t>49.61%</t>
  </si>
  <si>
    <t>103.93%</t>
  </si>
  <si>
    <t>Software (Internet)</t>
  </si>
  <si>
    <t>3.32%</t>
  </si>
  <si>
    <t>2.50%</t>
  </si>
  <si>
    <t>2.12%</t>
  </si>
  <si>
    <t>0.6170</t>
  </si>
  <si>
    <t>65.60%</t>
  </si>
  <si>
    <t>49.78%</t>
  </si>
  <si>
    <t>Software (System &amp; Application)</t>
  </si>
  <si>
    <t>14.14%</t>
  </si>
  <si>
    <t>3.98%</t>
  </si>
  <si>
    <t>3.75%</t>
  </si>
  <si>
    <t>0.5575</t>
  </si>
  <si>
    <t>53.27%</t>
  </si>
  <si>
    <t>13.17%</t>
  </si>
  <si>
    <t>Steel</t>
  </si>
  <si>
    <t>1.82</t>
  </si>
  <si>
    <t>36.23%</t>
  </si>
  <si>
    <t>7.05%</t>
  </si>
  <si>
    <t>1.42</t>
  </si>
  <si>
    <t>1.53</t>
  </si>
  <si>
    <t>0.4324</t>
  </si>
  <si>
    <t>70.40%</t>
  </si>
  <si>
    <t>73.59%</t>
  </si>
  <si>
    <t>Telecom (Wireless)</t>
  </si>
  <si>
    <t>1.30</t>
  </si>
  <si>
    <t>119.97%</t>
  </si>
  <si>
    <t>7.95%</t>
  </si>
  <si>
    <t>3.88%</t>
  </si>
  <si>
    <t>54.46%</t>
  </si>
  <si>
    <t>38.36%</t>
  </si>
  <si>
    <t>Telecom. Equipment</t>
  </si>
  <si>
    <t>1.03</t>
  </si>
  <si>
    <t>20.73%</t>
  </si>
  <si>
    <t>8.12%</t>
  </si>
  <si>
    <t>6.81%</t>
  </si>
  <si>
    <t>0.4608</t>
  </si>
  <si>
    <t>57.87%</t>
  </si>
  <si>
    <t>20.11%</t>
  </si>
  <si>
    <t>Telecom. Services</t>
  </si>
  <si>
    <t>79.53%</t>
  </si>
  <si>
    <t>8.05%</t>
  </si>
  <si>
    <t>6.13%</t>
  </si>
  <si>
    <t>0.6037</t>
  </si>
  <si>
    <t>52.57%</t>
  </si>
  <si>
    <t>Tobacco</t>
  </si>
  <si>
    <t>17.14%</t>
  </si>
  <si>
    <t>5.25%</t>
  </si>
  <si>
    <t>3.05%</t>
  </si>
  <si>
    <t>0.6586</t>
  </si>
  <si>
    <t>45.16%</t>
  </si>
  <si>
    <t>13.92%</t>
  </si>
  <si>
    <t>Transportation</t>
  </si>
  <si>
    <t>30.02%</t>
  </si>
  <si>
    <t>21.92%</t>
  </si>
  <si>
    <t>0.77</t>
  </si>
  <si>
    <t>3.00%</t>
  </si>
  <si>
    <t>0.3657</t>
  </si>
  <si>
    <t>46.36%</t>
  </si>
  <si>
    <t>25.07%</t>
  </si>
  <si>
    <t>Transportation (Railroads)</t>
  </si>
  <si>
    <t>22.66%</t>
  </si>
  <si>
    <t>23.82%</t>
  </si>
  <si>
    <t>1.28%</t>
  </si>
  <si>
    <t>0.3136</t>
  </si>
  <si>
    <t>29.77%</t>
  </si>
  <si>
    <t>24.46%</t>
  </si>
  <si>
    <t>Trucking</t>
  </si>
  <si>
    <t>69.80%</t>
  </si>
  <si>
    <t>20.56%</t>
  </si>
  <si>
    <t>2.99%</t>
  </si>
  <si>
    <t>0.4038</t>
  </si>
  <si>
    <t>54.25%</t>
  </si>
  <si>
    <t>34.40%</t>
  </si>
  <si>
    <t>Utility (General)</t>
  </si>
  <si>
    <t>67.24%</t>
  </si>
  <si>
    <t>30.89%</t>
  </si>
  <si>
    <t>0.19</t>
  </si>
  <si>
    <t>0.58%</t>
  </si>
  <si>
    <t>0.20</t>
  </si>
  <si>
    <t>0.1233</t>
  </si>
  <si>
    <t>20.67%</t>
  </si>
  <si>
    <t>7.02%</t>
  </si>
  <si>
    <t>Utility (Water)</t>
  </si>
  <si>
    <t>0.34</t>
  </si>
  <si>
    <t>38.14%</t>
  </si>
  <si>
    <t>15.09%</t>
  </si>
  <si>
    <t>0.27</t>
  </si>
  <si>
    <t>0.74%</t>
  </si>
  <si>
    <t>0.3992</t>
  </si>
  <si>
    <t>53.52%</t>
  </si>
  <si>
    <t>24.03%</t>
  </si>
  <si>
    <t>Total Market</t>
  </si>
  <si>
    <t>59.01%</t>
  </si>
  <si>
    <t>4.73%</t>
  </si>
  <si>
    <t>0.4635</t>
  </si>
  <si>
    <t>15.92%</t>
  </si>
  <si>
    <t>Total Market (without financials)</t>
  </si>
  <si>
    <t>30.74%</t>
  </si>
  <si>
    <t>7.92%</t>
  </si>
  <si>
    <t>3.95%</t>
  </si>
  <si>
    <t>0.5079</t>
  </si>
  <si>
    <t>57.16%</t>
  </si>
  <si>
    <t>15.06%</t>
  </si>
  <si>
    <t>Beta c/d = Beta s/d + (1-Tc) x D/P x Beta s/d</t>
  </si>
  <si>
    <t>BETA C/D</t>
  </si>
  <si>
    <t>VTA</t>
  </si>
  <si>
    <t>CTO</t>
  </si>
  <si>
    <t>MG</t>
  </si>
  <si>
    <t>FLUJOS</t>
  </si>
  <si>
    <t>K</t>
  </si>
  <si>
    <t>FLUJOS DE CAJA LIBRE</t>
  </si>
  <si>
    <t>PRECIO TRATAMIENTO 1</t>
  </si>
  <si>
    <t>% Costo Variable respecto a la venta</t>
  </si>
  <si>
    <t>INGRESOS OPERACIONALES</t>
  </si>
  <si>
    <t>% Costo Fijos respecto a la venta</t>
  </si>
  <si>
    <t>% Margen de Contribución</t>
  </si>
  <si>
    <t>% EBITDA</t>
  </si>
  <si>
    <t>AMORTIZACION CAPITAL DEL PRÉSTAMO</t>
  </si>
  <si>
    <t>BALANCE GENERAL PRESUPUESTADO</t>
  </si>
  <si>
    <t>PRECIO CONSULTA</t>
  </si>
  <si>
    <t>PRECIO TRATAMIENTO 2</t>
  </si>
  <si>
    <t>PRECIO TRATAMIENTO 3</t>
  </si>
  <si>
    <t>% CRECIMIENTO PROYEC</t>
  </si>
  <si>
    <t>CAP TRATAMIENTO 1</t>
  </si>
  <si>
    <r>
      <t>TRMA (</t>
    </r>
    <r>
      <rPr>
        <b/>
        <i/>
        <sz val="12"/>
        <color indexed="17"/>
        <rFont val="Arial"/>
        <family val="2"/>
      </rPr>
      <t>k</t>
    </r>
    <r>
      <rPr>
        <b/>
        <sz val="12"/>
        <color indexed="17"/>
        <rFont val="Arial"/>
        <family val="2"/>
      </rPr>
      <t>)</t>
    </r>
  </si>
  <si>
    <t>RESUMEN / Año</t>
  </si>
  <si>
    <t>INDICADOR</t>
  </si>
  <si>
    <t>VALOR</t>
  </si>
  <si>
    <t>INGRESO PROMEDIO MENSUAL</t>
  </si>
  <si>
    <t>INGRESOS ANUALES</t>
  </si>
  <si>
    <t>COSTOS VARIABLES ANUALES</t>
  </si>
  <si>
    <t>COSTOS FIJOS ANUALES</t>
  </si>
  <si>
    <t>Empresa</t>
  </si>
  <si>
    <t>Industria</t>
  </si>
  <si>
    <t>PPM PROYECTADO</t>
  </si>
  <si>
    <t>1 mes de Ventas 4 meses de costo fijo</t>
  </si>
  <si>
    <t>TRMA (k)</t>
  </si>
  <si>
    <t>BETA C/D Empresa</t>
  </si>
  <si>
    <t>BETA C/D Industria</t>
  </si>
  <si>
    <t>DEL 2 AL 7TO AÑO</t>
  </si>
  <si>
    <t>simulación 1</t>
  </si>
  <si>
    <t>simulación 2</t>
  </si>
  <si>
    <t>simulación 3</t>
  </si>
  <si>
    <t>simulación 4</t>
  </si>
  <si>
    <t>simulación 5</t>
  </si>
  <si>
    <t>simulación 6</t>
  </si>
  <si>
    <t>simulación 7</t>
  </si>
  <si>
    <t>TOTALES</t>
  </si>
  <si>
    <t>Otros Servicios (10%)</t>
  </si>
  <si>
    <t>DETALLE DE LA INVERSION</t>
  </si>
  <si>
    <t>MONTOS</t>
  </si>
  <si>
    <t>Total Otros Activos</t>
  </si>
  <si>
    <t>INDICADORES</t>
  </si>
  <si>
    <t>VALORES</t>
  </si>
  <si>
    <t>Consulta</t>
  </si>
  <si>
    <t>Tratam 1</t>
  </si>
  <si>
    <t>Precio</t>
  </si>
  <si>
    <t>Tiempo (min)</t>
  </si>
  <si>
    <t>$/min</t>
  </si>
  <si>
    <t>Sello</t>
  </si>
  <si>
    <t>INVERSION</t>
  </si>
  <si>
    <t>ppto</t>
  </si>
  <si>
    <t>Otros Costos Variables</t>
  </si>
  <si>
    <t>Sueldo Administrativos</t>
  </si>
  <si>
    <t>Impuesto a la Renta 27%</t>
  </si>
  <si>
    <t>Depreciación*</t>
  </si>
  <si>
    <t>MARGEN ANTES DE IMPUESTO (RLI)</t>
  </si>
  <si>
    <t>MARGEN NETO</t>
  </si>
  <si>
    <t>MARGEN NETO ACUMULADO</t>
  </si>
  <si>
    <t>Costos Variables Promedio Mensual</t>
  </si>
  <si>
    <t>Ingresos Promedio Mensual</t>
  </si>
  <si>
    <t>Costos Fijos Promedio Mensual</t>
  </si>
  <si>
    <t>% Costo Variable Anual</t>
  </si>
  <si>
    <t>% Costo Fijos Anual</t>
  </si>
  <si>
    <t>% Margen Neto Anual</t>
  </si>
  <si>
    <t>PRECIO CONSULTA A</t>
  </si>
  <si>
    <t>PRECIO CONSULTA B</t>
  </si>
  <si>
    <t>PRECIO CONSULTA C</t>
  </si>
  <si>
    <t>COSTOS VAR A</t>
  </si>
  <si>
    <t>COSTOS VAR B</t>
  </si>
  <si>
    <t>COSTOS VAR C</t>
  </si>
  <si>
    <t>COSTOS VAR D</t>
  </si>
  <si>
    <t>COSTO INSUMOS</t>
  </si>
  <si>
    <t>COSTO VAR E</t>
  </si>
  <si>
    <t>COSTO VAR G</t>
  </si>
  <si>
    <t>COSTO VAR F</t>
  </si>
  <si>
    <t xml:space="preserve">INGRESOS </t>
  </si>
  <si>
    <t>Asist.</t>
  </si>
  <si>
    <t>Asist. 1</t>
  </si>
  <si>
    <t>Asist. 2</t>
  </si>
  <si>
    <t>Asist. 3</t>
  </si>
  <si>
    <t>Accesorios 1</t>
  </si>
  <si>
    <t>Accesorios 2</t>
  </si>
  <si>
    <t>Accesorios 3</t>
  </si>
  <si>
    <t>Accesorios 4</t>
  </si>
  <si>
    <t>Accesorios 5</t>
  </si>
  <si>
    <t>Acción o Procedimiento Clínico</t>
  </si>
  <si>
    <t xml:space="preserve">Cantidad x 30 min </t>
  </si>
  <si>
    <t>Sesiones</t>
  </si>
  <si>
    <t>Precio de Venta</t>
  </si>
  <si>
    <t>Costo Variable Unitario</t>
  </si>
  <si>
    <t>Composite Simple</t>
  </si>
  <si>
    <t>N°</t>
  </si>
  <si>
    <t>Venta</t>
  </si>
  <si>
    <t>Margen de Contribución</t>
  </si>
  <si>
    <t xml:space="preserve">Costo Variable </t>
  </si>
  <si>
    <t>% Margen de Contrib.</t>
  </si>
  <si>
    <t>CTU</t>
  </si>
  <si>
    <t>CS</t>
  </si>
  <si>
    <t>Impto 25%</t>
  </si>
  <si>
    <t>Margen Neto /Final</t>
  </si>
  <si>
    <t>% Margen Neto /Final</t>
  </si>
  <si>
    <t>Activos</t>
  </si>
  <si>
    <t>Endodoncia Anterior</t>
  </si>
  <si>
    <t>CS Unitario</t>
  </si>
  <si>
    <t>ROAue</t>
  </si>
  <si>
    <t>Insumos</t>
  </si>
  <si>
    <t>RLI =Margen Antes Impto</t>
  </si>
  <si>
    <t>Dentista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</si>
</sst>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#,##0_ ;[Red]\-#,##0\ "/>
    <numFmt numFmtId="166" formatCode="0.0%"/>
    <numFmt numFmtId="167" formatCode="0.000%"/>
    <numFmt numFmtId="168" formatCode="#,##0.00_ ;[Red]\-#,##0.00\ "/>
    <numFmt numFmtId="169" formatCode="#,##0.000_ ;[Red]\-#,##0.000\ "/>
    <numFmt numFmtId="170" formatCode="0.0000%"/>
    <numFmt numFmtId="171" formatCode="_ * #,##0.0_ ;_ * \-#,##0.0_ ;_ * &quot;-&quot;??_ ;_ @_ "/>
    <numFmt numFmtId="172" formatCode="_ * #,##0.0_ ;_ * \-#,##0.0_ ;_ * &quot;-&quot;_ ;_ @_ "/>
    <numFmt numFmtId="173" formatCode="0.00000%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2"/>
      <color indexed="17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name val="Verdana"/>
      <family val="2"/>
    </font>
    <font>
      <sz val="12"/>
      <color rgb="FF000000"/>
      <name val="Calibri"/>
      <family val="2"/>
    </font>
    <font>
      <sz val="10"/>
      <name val="Verdana"/>
      <family val="2"/>
    </font>
    <font>
      <b/>
      <sz val="12"/>
      <color rgb="FF000000"/>
      <name val="Calibri"/>
      <family val="2"/>
    </font>
    <font>
      <b/>
      <sz val="16"/>
      <name val="Verdana"/>
      <family val="2"/>
    </font>
    <font>
      <b/>
      <sz val="10"/>
      <color indexed="17"/>
      <name val="Arial"/>
      <family val="2"/>
    </font>
    <font>
      <b/>
      <i/>
      <sz val="12"/>
      <color indexed="17"/>
      <name val="Arial"/>
      <family val="2"/>
    </font>
    <font>
      <u/>
      <sz val="10"/>
      <name val="Arial"/>
      <family val="2"/>
    </font>
    <font>
      <b/>
      <sz val="11"/>
      <color indexed="1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133">
    <xf numFmtId="0" fontId="0" fillId="0" borderId="0" xfId="0"/>
    <xf numFmtId="164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/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" fillId="0" borderId="0" xfId="0" applyFont="1"/>
    <xf numFmtId="9" fontId="0" fillId="0" borderId="0" xfId="0" applyNumberFormat="1"/>
    <xf numFmtId="1" fontId="0" fillId="0" borderId="0" xfId="0" applyNumberFormat="1"/>
    <xf numFmtId="9" fontId="0" fillId="5" borderId="1" xfId="0" applyNumberFormat="1" applyFill="1" applyBorder="1"/>
    <xf numFmtId="9" fontId="0" fillId="5" borderId="1" xfId="2" applyFont="1" applyFill="1" applyBorder="1"/>
    <xf numFmtId="0" fontId="2" fillId="5" borderId="1" xfId="0" applyFont="1" applyFill="1" applyBorder="1"/>
    <xf numFmtId="0" fontId="0" fillId="5" borderId="0" xfId="0" applyFill="1" applyAlignment="1">
      <alignment horizontal="center"/>
    </xf>
    <xf numFmtId="164" fontId="0" fillId="5" borderId="1" xfId="1" applyNumberFormat="1" applyFont="1" applyFill="1" applyBorder="1"/>
    <xf numFmtId="164" fontId="0" fillId="5" borderId="0" xfId="1" applyNumberFormat="1" applyFont="1" applyFill="1"/>
    <xf numFmtId="166" fontId="0" fillId="5" borderId="1" xfId="2" applyNumberFormat="1" applyFont="1" applyFill="1" applyBorder="1"/>
    <xf numFmtId="0" fontId="0" fillId="5" borderId="0" xfId="0" applyFill="1"/>
    <xf numFmtId="0" fontId="2" fillId="5" borderId="0" xfId="0" applyFont="1" applyFill="1"/>
    <xf numFmtId="10" fontId="0" fillId="5" borderId="0" xfId="2" applyNumberFormat="1" applyFont="1" applyFill="1"/>
    <xf numFmtId="0" fontId="3" fillId="5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5" borderId="0" xfId="0" applyFont="1" applyFill="1" applyBorder="1"/>
    <xf numFmtId="164" fontId="0" fillId="5" borderId="0" xfId="1" applyNumberFormat="1" applyFont="1" applyFill="1" applyBorder="1"/>
    <xf numFmtId="166" fontId="0" fillId="5" borderId="1" xfId="0" applyNumberFormat="1" applyFill="1" applyBorder="1"/>
    <xf numFmtId="10" fontId="0" fillId="5" borderId="1" xfId="2" applyNumberFormat="1" applyFont="1" applyFill="1" applyBorder="1"/>
    <xf numFmtId="170" fontId="0" fillId="5" borderId="0" xfId="0" applyNumberFormat="1" applyFill="1"/>
    <xf numFmtId="164" fontId="5" fillId="2" borderId="1" xfId="1" applyNumberFormat="1" applyFont="1" applyFill="1" applyBorder="1"/>
    <xf numFmtId="43" fontId="0" fillId="5" borderId="1" xfId="1" applyFont="1" applyFill="1" applyBorder="1"/>
    <xf numFmtId="9" fontId="0" fillId="5" borderId="0" xfId="0" applyNumberFormat="1" applyFill="1"/>
    <xf numFmtId="164" fontId="0" fillId="5" borderId="0" xfId="0" applyNumberFormat="1" applyFill="1"/>
    <xf numFmtId="0" fontId="2" fillId="5" borderId="0" xfId="0" applyFont="1" applyFill="1" applyAlignment="1">
      <alignment horizontal="center"/>
    </xf>
    <xf numFmtId="164" fontId="7" fillId="5" borderId="0" xfId="1" applyNumberFormat="1" applyFont="1" applyFill="1"/>
    <xf numFmtId="164" fontId="5" fillId="5" borderId="0" xfId="1" applyNumberFormat="1" applyFont="1" applyFill="1" applyAlignment="1">
      <alignment horizontal="center"/>
    </xf>
    <xf numFmtId="164" fontId="5" fillId="5" borderId="0" xfId="1" applyNumberFormat="1" applyFont="1" applyFill="1" applyAlignment="1"/>
    <xf numFmtId="164" fontId="8" fillId="5" borderId="0" xfId="1" applyNumberFormat="1" applyFont="1" applyFill="1"/>
    <xf numFmtId="164" fontId="2" fillId="5" borderId="0" xfId="1" applyNumberFormat="1" applyFont="1" applyFill="1" applyAlignment="1">
      <alignment horizontal="center"/>
    </xf>
    <xf numFmtId="167" fontId="0" fillId="5" borderId="0" xfId="2" applyNumberFormat="1" applyFont="1" applyFill="1"/>
    <xf numFmtId="164" fontId="2" fillId="5" borderId="0" xfId="1" applyNumberFormat="1" applyFont="1" applyFill="1"/>
    <xf numFmtId="164" fontId="9" fillId="5" borderId="0" xfId="1" applyNumberFormat="1" applyFont="1" applyFill="1"/>
    <xf numFmtId="164" fontId="3" fillId="5" borderId="0" xfId="1" applyNumberFormat="1" applyFont="1" applyFill="1"/>
    <xf numFmtId="164" fontId="2" fillId="5" borderId="0" xfId="0" applyNumberFormat="1" applyFont="1" applyFill="1"/>
    <xf numFmtId="164" fontId="2" fillId="5" borderId="0" xfId="0" applyNumberFormat="1" applyFont="1" applyFill="1" applyAlignment="1">
      <alignment horizontal="center"/>
    </xf>
    <xf numFmtId="164" fontId="5" fillId="6" borderId="0" xfId="1" applyNumberFormat="1" applyFont="1" applyFill="1" applyAlignment="1"/>
    <xf numFmtId="165" fontId="6" fillId="5" borderId="0" xfId="1" applyNumberFormat="1" applyFont="1" applyFill="1" applyBorder="1" applyAlignment="1">
      <alignment horizontal="center"/>
    </xf>
    <xf numFmtId="165" fontId="0" fillId="5" borderId="0" xfId="1" applyNumberFormat="1" applyFont="1" applyFill="1"/>
    <xf numFmtId="165" fontId="2" fillId="5" borderId="0" xfId="1" applyNumberFormat="1" applyFont="1" applyFill="1"/>
    <xf numFmtId="165" fontId="3" fillId="5" borderId="0" xfId="1" applyNumberFormat="1" applyFont="1" applyFill="1" applyBorder="1"/>
    <xf numFmtId="165" fontId="7" fillId="5" borderId="0" xfId="1" applyNumberFormat="1" applyFont="1" applyFill="1"/>
    <xf numFmtId="165" fontId="5" fillId="5" borderId="0" xfId="1" applyNumberFormat="1" applyFont="1" applyFill="1" applyAlignment="1">
      <alignment horizontal="center"/>
    </xf>
    <xf numFmtId="165" fontId="8" fillId="5" borderId="0" xfId="1" applyNumberFormat="1" applyFont="1" applyFill="1"/>
    <xf numFmtId="165" fontId="9" fillId="5" borderId="0" xfId="1" applyNumberFormat="1" applyFont="1" applyFill="1"/>
    <xf numFmtId="165" fontId="10" fillId="5" borderId="0" xfId="1" applyNumberFormat="1" applyFont="1" applyFill="1"/>
    <xf numFmtId="165" fontId="3" fillId="5" borderId="0" xfId="1" applyNumberFormat="1" applyFont="1" applyFill="1"/>
    <xf numFmtId="165" fontId="11" fillId="5" borderId="0" xfId="1" applyNumberFormat="1" applyFont="1" applyFill="1"/>
    <xf numFmtId="166" fontId="0" fillId="5" borderId="0" xfId="2" applyNumberFormat="1" applyFont="1" applyFill="1"/>
    <xf numFmtId="166" fontId="2" fillId="5" borderId="0" xfId="2" applyNumberFormat="1" applyFont="1" applyFill="1"/>
    <xf numFmtId="165" fontId="1" fillId="5" borderId="0" xfId="1" applyNumberFormat="1" applyFont="1" applyFill="1"/>
    <xf numFmtId="165" fontId="3" fillId="5" borderId="0" xfId="1" applyNumberFormat="1" applyFont="1" applyFill="1" applyAlignment="1">
      <alignment horizontal="left" indent="4"/>
    </xf>
    <xf numFmtId="165" fontId="12" fillId="5" borderId="0" xfId="1" applyNumberFormat="1" applyFont="1" applyFill="1"/>
    <xf numFmtId="165" fontId="21" fillId="5" borderId="0" xfId="1" applyNumberFormat="1" applyFont="1" applyFill="1"/>
    <xf numFmtId="165" fontId="2" fillId="5" borderId="0" xfId="1" applyNumberFormat="1" applyFont="1" applyFill="1" applyAlignment="1">
      <alignment horizontal="left"/>
    </xf>
    <xf numFmtId="9" fontId="2" fillId="5" borderId="0" xfId="2" applyFont="1" applyFill="1"/>
    <xf numFmtId="10" fontId="2" fillId="5" borderId="0" xfId="2" applyNumberFormat="1" applyFont="1" applyFill="1"/>
    <xf numFmtId="169" fontId="2" fillId="5" borderId="0" xfId="1" applyNumberFormat="1" applyFont="1" applyFill="1"/>
    <xf numFmtId="168" fontId="2" fillId="5" borderId="0" xfId="1" applyNumberFormat="1" applyFont="1" applyFill="1"/>
    <xf numFmtId="165" fontId="6" fillId="5" borderId="0" xfId="1" applyNumberFormat="1" applyFont="1" applyFill="1"/>
    <xf numFmtId="9" fontId="0" fillId="5" borderId="0" xfId="2" applyFont="1" applyFill="1"/>
    <xf numFmtId="164" fontId="3" fillId="5" borderId="0" xfId="1" applyNumberFormat="1" applyFont="1" applyFill="1" applyBorder="1"/>
    <xf numFmtId="164" fontId="3" fillId="5" borderId="4" xfId="1" applyNumberFormat="1" applyFont="1" applyFill="1" applyBorder="1"/>
    <xf numFmtId="164" fontId="2" fillId="5" borderId="5" xfId="1" applyNumberFormat="1" applyFont="1" applyFill="1" applyBorder="1" applyAlignment="1">
      <alignment horizontal="left"/>
    </xf>
    <xf numFmtId="164" fontId="2" fillId="5" borderId="5" xfId="1" applyNumberFormat="1" applyFont="1" applyFill="1" applyBorder="1"/>
    <xf numFmtId="164" fontId="3" fillId="5" borderId="5" xfId="1" applyNumberFormat="1" applyFont="1" applyFill="1" applyBorder="1"/>
    <xf numFmtId="164" fontId="3" fillId="5" borderId="6" xfId="1" applyNumberFormat="1" applyFont="1" applyFill="1" applyBorder="1"/>
    <xf numFmtId="166" fontId="3" fillId="5" borderId="0" xfId="2" applyNumberFormat="1" applyFont="1" applyFill="1"/>
    <xf numFmtId="164" fontId="3" fillId="5" borderId="7" xfId="1" applyNumberFormat="1" applyFont="1" applyFill="1" applyBorder="1"/>
    <xf numFmtId="164" fontId="3" fillId="5" borderId="8" xfId="1" applyNumberFormat="1" applyFont="1" applyFill="1" applyBorder="1"/>
    <xf numFmtId="164" fontId="13" fillId="5" borderId="0" xfId="1" applyNumberFormat="1" applyFont="1" applyFill="1" applyBorder="1"/>
    <xf numFmtId="164" fontId="14" fillId="5" borderId="0" xfId="1" applyNumberFormat="1" applyFont="1" applyFill="1" applyBorder="1"/>
    <xf numFmtId="164" fontId="15" fillId="5" borderId="0" xfId="1" applyNumberFormat="1" applyFont="1" applyFill="1" applyBorder="1"/>
    <xf numFmtId="164" fontId="2" fillId="5" borderId="0" xfId="1" applyNumberFormat="1" applyFont="1" applyFill="1" applyBorder="1"/>
    <xf numFmtId="164" fontId="3" fillId="5" borderId="3" xfId="1" applyNumberFormat="1" applyFont="1" applyFill="1" applyBorder="1"/>
    <xf numFmtId="166" fontId="3" fillId="5" borderId="1" xfId="2" applyNumberFormat="1" applyFont="1" applyFill="1" applyBorder="1"/>
    <xf numFmtId="164" fontId="2" fillId="5" borderId="9" xfId="1" applyNumberFormat="1" applyFont="1" applyFill="1" applyBorder="1"/>
    <xf numFmtId="164" fontId="3" fillId="5" borderId="2" xfId="1" applyNumberFormat="1" applyFont="1" applyFill="1" applyBorder="1"/>
    <xf numFmtId="164" fontId="3" fillId="5" borderId="10" xfId="1" applyNumberFormat="1" applyFont="1" applyFill="1" applyBorder="1"/>
    <xf numFmtId="166" fontId="0" fillId="7" borderId="1" xfId="0" applyNumberFormat="1" applyFill="1" applyBorder="1"/>
    <xf numFmtId="164" fontId="0" fillId="7" borderId="1" xfId="1" applyNumberFormat="1" applyFont="1" applyFill="1" applyBorder="1"/>
    <xf numFmtId="171" fontId="0" fillId="5" borderId="0" xfId="1" applyNumberFormat="1" applyFont="1" applyFill="1"/>
    <xf numFmtId="164" fontId="1" fillId="5" borderId="0" xfId="1" applyNumberFormat="1" applyFont="1" applyFill="1"/>
    <xf numFmtId="166" fontId="0" fillId="5" borderId="0" xfId="1" applyNumberFormat="1" applyFont="1" applyFill="1"/>
    <xf numFmtId="165" fontId="4" fillId="2" borderId="0" xfId="1" applyNumberFormat="1" applyFont="1" applyFill="1" applyAlignment="1">
      <alignment horizontal="center"/>
    </xf>
    <xf numFmtId="165" fontId="24" fillId="5" borderId="1" xfId="1" applyNumberFormat="1" applyFont="1" applyFill="1" applyBorder="1"/>
    <xf numFmtId="166" fontId="25" fillId="5" borderId="1" xfId="2" applyNumberFormat="1" applyFont="1" applyFill="1" applyBorder="1"/>
    <xf numFmtId="164" fontId="25" fillId="5" borderId="1" xfId="1" applyNumberFormat="1" applyFont="1" applyFill="1" applyBorder="1"/>
    <xf numFmtId="166" fontId="26" fillId="5" borderId="1" xfId="2" applyNumberFormat="1" applyFont="1" applyFill="1" applyBorder="1"/>
    <xf numFmtId="43" fontId="26" fillId="5" borderId="1" xfId="1" applyFont="1" applyFill="1" applyBorder="1"/>
    <xf numFmtId="164" fontId="26" fillId="5" borderId="1" xfId="1" applyNumberFormat="1" applyFont="1" applyFill="1" applyBorder="1"/>
    <xf numFmtId="165" fontId="0" fillId="5" borderId="1" xfId="1" applyNumberFormat="1" applyFont="1" applyFill="1" applyBorder="1"/>
    <xf numFmtId="165" fontId="23" fillId="5" borderId="1" xfId="1" applyNumberFormat="1" applyFont="1" applyFill="1" applyBorder="1"/>
    <xf numFmtId="165" fontId="1" fillId="5" borderId="1" xfId="1" applyNumberFormat="1" applyFont="1" applyFill="1" applyBorder="1"/>
    <xf numFmtId="165" fontId="2" fillId="5" borderId="1" xfId="1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41" fontId="0" fillId="0" borderId="0" xfId="3" applyFont="1"/>
    <xf numFmtId="41" fontId="2" fillId="0" borderId="0" xfId="3" applyFont="1" applyAlignment="1">
      <alignment horizontal="center" vertical="center" wrapText="1"/>
    </xf>
    <xf numFmtId="41" fontId="0" fillId="0" borderId="0" xfId="0" applyNumberFormat="1"/>
    <xf numFmtId="41" fontId="1" fillId="0" borderId="0" xfId="3" applyFont="1"/>
    <xf numFmtId="166" fontId="0" fillId="0" borderId="0" xfId="2" applyNumberFormat="1" applyFont="1"/>
    <xf numFmtId="9" fontId="0" fillId="0" borderId="0" xfId="2" applyNumberFormat="1" applyFont="1"/>
    <xf numFmtId="0" fontId="2" fillId="3" borderId="0" xfId="0" applyFont="1" applyFill="1" applyAlignment="1">
      <alignment horizontal="center" vertical="center" wrapText="1"/>
    </xf>
    <xf numFmtId="166" fontId="0" fillId="0" borderId="0" xfId="0" applyNumberFormat="1"/>
    <xf numFmtId="172" fontId="0" fillId="0" borderId="0" xfId="3" applyNumberFormat="1" applyFont="1"/>
    <xf numFmtId="41" fontId="2" fillId="6" borderId="0" xfId="3" applyFont="1" applyFill="1" applyAlignment="1">
      <alignment horizontal="center" vertical="center" wrapText="1"/>
    </xf>
    <xf numFmtId="41" fontId="2" fillId="8" borderId="0" xfId="3" applyFont="1" applyFill="1" applyAlignment="1">
      <alignment horizontal="center" vertical="center" wrapText="1"/>
    </xf>
    <xf numFmtId="173" fontId="0" fillId="0" borderId="0" xfId="2" applyNumberFormat="1" applyFont="1"/>
    <xf numFmtId="164" fontId="5" fillId="2" borderId="0" xfId="1" applyNumberFormat="1" applyFont="1" applyFill="1" applyBorder="1" applyAlignment="1">
      <alignment horizontal="center"/>
    </xf>
    <xf numFmtId="41" fontId="2" fillId="0" borderId="0" xfId="3" applyFont="1" applyAlignment="1">
      <alignment horizontal="center" vertical="center" wrapText="1"/>
    </xf>
  </cellXfs>
  <cellStyles count="4">
    <cellStyle name="Comma" xfId="1" builtinId="3"/>
    <cellStyle name="Comma [0]" xfId="3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Resumen!$B$4</c:f>
              <c:strCache>
                <c:ptCount val="1"/>
                <c:pt idx="0">
                  <c:v>INGRESOS ANUALES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9.929816627651275E-2"/>
                  <c:y val="4.6336190734778848E-2"/>
                </c:manualLayout>
              </c:layout>
              <c:numFmt formatCode="General" sourceLinked="0"/>
            </c:trendlineLbl>
          </c:trendline>
          <c:xVal>
            <c:numRef>
              <c:f>Resumen!$C$3:$I$3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Resumen!$C$4:$I$4</c:f>
              <c:numCache>
                <c:formatCode>_ * #,##0_ ;_ * \-#,##0_ ;_ * "-"??_ ;_ @_ </c:formatCode>
                <c:ptCount val="7"/>
                <c:pt idx="0">
                  <c:v>587314000</c:v>
                </c:pt>
                <c:pt idx="1">
                  <c:v>659906010.40000021</c:v>
                </c:pt>
                <c:pt idx="2">
                  <c:v>755460400.70592022</c:v>
                </c:pt>
                <c:pt idx="3">
                  <c:v>889685784.27856565</c:v>
                </c:pt>
                <c:pt idx="4">
                  <c:v>1027090720.5421382</c:v>
                </c:pt>
                <c:pt idx="5">
                  <c:v>1197587780.152133</c:v>
                </c:pt>
                <c:pt idx="6">
                  <c:v>1396387351.6573875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36-421B-A41A-516D5324E844}"/>
            </c:ext>
          </c:extLst>
        </c:ser>
        <c:ser>
          <c:idx val="1"/>
          <c:order val="1"/>
          <c:tx>
            <c:strRef>
              <c:f>Resumen!$B$6</c:f>
              <c:strCache>
                <c:ptCount val="1"/>
                <c:pt idx="0">
                  <c:v>COSTOS VARIABLES ANUALES</c:v>
                </c:pt>
              </c:strCache>
            </c:strRef>
          </c:tx>
          <c:xVal>
            <c:numRef>
              <c:f>Resumen!$C$3:$I$3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Resumen!$C$6:$I$6</c:f>
              <c:numCache>
                <c:formatCode>_ * #,##0_ ;_ * \-#,##0_ ;_ * "-"??_ ;_ @_ </c:formatCode>
                <c:ptCount val="7"/>
                <c:pt idx="0">
                  <c:v>340634009.26100683</c:v>
                </c:pt>
                <c:pt idx="1">
                  <c:v>383313790.5647673</c:v>
                </c:pt>
                <c:pt idx="2">
                  <c:v>439478655.28916347</c:v>
                </c:pt>
                <c:pt idx="3">
                  <c:v>517486045.46493715</c:v>
                </c:pt>
                <c:pt idx="4">
                  <c:v>597495842.67031384</c:v>
                </c:pt>
                <c:pt idx="5">
                  <c:v>696680152.55358601</c:v>
                </c:pt>
                <c:pt idx="6">
                  <c:v>812329057.87748146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36-421B-A41A-516D5324E844}"/>
            </c:ext>
          </c:extLst>
        </c:ser>
        <c:ser>
          <c:idx val="2"/>
          <c:order val="2"/>
          <c:tx>
            <c:strRef>
              <c:f>Resumen!$B$8</c:f>
              <c:strCache>
                <c:ptCount val="1"/>
                <c:pt idx="0">
                  <c:v>COSTOS FIJOS ANUALES</c:v>
                </c:pt>
              </c:strCache>
            </c:strRef>
          </c:tx>
          <c:xVal>
            <c:numRef>
              <c:f>Resumen!$C$3:$I$3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Resumen!$C$8:$I$8</c:f>
              <c:numCache>
                <c:formatCode>_ * #,##0_ ;_ * \-#,##0_ ;_ * "-"??_ ;_ @_ </c:formatCode>
                <c:ptCount val="7"/>
                <c:pt idx="0">
                  <c:v>70674950.472705171</c:v>
                </c:pt>
                <c:pt idx="1">
                  <c:v>85381360.633092389</c:v>
                </c:pt>
                <c:pt idx="2">
                  <c:v>93019149.066698462</c:v>
                </c:pt>
                <c:pt idx="3">
                  <c:v>97421893.502145052</c:v>
                </c:pt>
                <c:pt idx="4">
                  <c:v>103699852.03984338</c:v>
                </c:pt>
                <c:pt idx="5">
                  <c:v>109032349.50592956</c:v>
                </c:pt>
                <c:pt idx="6">
                  <c:v>114923229.13881259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36-421B-A41A-516D5324E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6677328"/>
        <c:axId val="1286682768"/>
      </c:scatterChart>
      <c:valAx>
        <c:axId val="12866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6682768"/>
        <c:crosses val="autoZero"/>
        <c:crossBetween val="midCat"/>
      </c:valAx>
      <c:valAx>
        <c:axId val="1286682768"/>
        <c:scaling>
          <c:orientation val="minMax"/>
          <c:max val="1400000000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1286677328"/>
        <c:crosses val="autoZero"/>
        <c:crossBetween val="midCat"/>
        <c:majorUnit val="10000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14</xdr:row>
      <xdr:rowOff>38100</xdr:rowOff>
    </xdr:from>
    <xdr:to>
      <xdr:col>12</xdr:col>
      <xdr:colOff>28576</xdr:colOff>
      <xdr:row>38</xdr:row>
      <xdr:rowOff>19050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10</xdr:row>
      <xdr:rowOff>95249</xdr:rowOff>
    </xdr:from>
    <xdr:to>
      <xdr:col>9</xdr:col>
      <xdr:colOff>198967</xdr:colOff>
      <xdr:row>16</xdr:row>
      <xdr:rowOff>44449</xdr:rowOff>
    </xdr:to>
    <xdr:pic>
      <xdr:nvPicPr>
        <xdr:cNvPr id="2" name="Picture 9" descr="http://www.economipedia.com/wp-content/uploads/2014/06/FormulaVAN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167" y="1735666"/>
          <a:ext cx="6781800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9"/>
  <sheetViews>
    <sheetView workbookViewId="0">
      <selection activeCell="C2" sqref="C2:I2"/>
    </sheetView>
  </sheetViews>
  <sheetFormatPr defaultColWidth="11.44140625" defaultRowHeight="13.2" x14ac:dyDescent="0.25"/>
  <cols>
    <col min="1" max="1" width="6" style="29" customWidth="1"/>
    <col min="2" max="2" width="34.109375" style="29" bestFit="1" customWidth="1"/>
    <col min="3" max="6" width="12.33203125" style="29" bestFit="1" customWidth="1"/>
    <col min="7" max="9" width="13.88671875" style="29" bestFit="1" customWidth="1"/>
    <col min="10" max="10" width="9.109375" style="29" customWidth="1"/>
    <col min="11" max="11" width="19.44140625" style="29" customWidth="1"/>
    <col min="12" max="19" width="15.44140625" style="29" customWidth="1"/>
    <col min="20" max="16384" width="11.44140625" style="29"/>
  </cols>
  <sheetData>
    <row r="2" spans="2:19" x14ac:dyDescent="0.25">
      <c r="M2" s="42">
        <v>0.4</v>
      </c>
      <c r="N2" s="42">
        <v>0.45</v>
      </c>
      <c r="O2" s="42">
        <v>0.5</v>
      </c>
      <c r="P2" s="43">
        <f>+P13</f>
        <v>150000000</v>
      </c>
      <c r="Q2" s="43">
        <f t="shared" ref="Q2:S2" si="0">+Q13</f>
        <v>180000000</v>
      </c>
      <c r="R2" s="43">
        <f t="shared" si="0"/>
        <v>215000000</v>
      </c>
      <c r="S2" s="43">
        <f t="shared" si="0"/>
        <v>250000000</v>
      </c>
    </row>
    <row r="3" spans="2:19" s="25" customFormat="1" ht="15.6" x14ac:dyDescent="0.3">
      <c r="B3" s="33" t="s">
        <v>898</v>
      </c>
      <c r="C3" s="34">
        <v>1</v>
      </c>
      <c r="D3" s="34">
        <v>2</v>
      </c>
      <c r="E3" s="34">
        <v>3</v>
      </c>
      <c r="F3" s="34">
        <v>4</v>
      </c>
      <c r="G3" s="34">
        <v>5</v>
      </c>
      <c r="H3" s="34">
        <v>6</v>
      </c>
      <c r="I3" s="34">
        <v>7</v>
      </c>
      <c r="K3" s="33" t="s">
        <v>899</v>
      </c>
      <c r="L3" s="34" t="s">
        <v>900</v>
      </c>
      <c r="M3" s="34" t="s">
        <v>913</v>
      </c>
      <c r="N3" s="34" t="s">
        <v>914</v>
      </c>
      <c r="O3" s="34" t="s">
        <v>915</v>
      </c>
      <c r="P3" s="34" t="s">
        <v>916</v>
      </c>
      <c r="Q3" s="34" t="s">
        <v>917</v>
      </c>
      <c r="R3" s="34" t="s">
        <v>918</v>
      </c>
      <c r="S3" s="34" t="s">
        <v>919</v>
      </c>
    </row>
    <row r="4" spans="2:19" s="27" customFormat="1" x14ac:dyDescent="0.25">
      <c r="B4" s="24" t="s">
        <v>902</v>
      </c>
      <c r="C4" s="26">
        <f>+'Flujos de EE.RR.'!P7</f>
        <v>587314000</v>
      </c>
      <c r="D4" s="26">
        <f>+'Flujos de EE.RR.'!AC7</f>
        <v>659906010.40000021</v>
      </c>
      <c r="E4" s="26">
        <f>+'Flujos de EE.RR.'!AP7</f>
        <v>755460400.70592022</v>
      </c>
      <c r="F4" s="26">
        <f>+'Flujos de EE.RR.'!BC7</f>
        <v>889685784.27856565</v>
      </c>
      <c r="G4" s="26">
        <f>+'Flujos de EE.RR.'!BP7</f>
        <v>1027090720.5421382</v>
      </c>
      <c r="H4" s="26">
        <f>+'Flujos de EE.RR.'!CC7</f>
        <v>1197587780.152133</v>
      </c>
      <c r="I4" s="26">
        <f>+'Flujos de EE.RR.'!CP7</f>
        <v>1396387351.6573875</v>
      </c>
      <c r="K4" s="24" t="s">
        <v>909</v>
      </c>
      <c r="L4" s="28">
        <f>+'Flujos de EE.RR.'!C68</f>
        <v>0.18</v>
      </c>
      <c r="M4" s="28"/>
      <c r="N4" s="28"/>
      <c r="O4" s="28"/>
      <c r="P4" s="28"/>
      <c r="Q4" s="28"/>
      <c r="R4" s="28"/>
      <c r="S4" s="28"/>
    </row>
    <row r="5" spans="2:19" s="27" customFormat="1" x14ac:dyDescent="0.25">
      <c r="B5" s="24" t="s">
        <v>943</v>
      </c>
      <c r="C5" s="26">
        <f>+C4/12</f>
        <v>48942833.333333336</v>
      </c>
      <c r="D5" s="26">
        <f t="shared" ref="D5:I5" si="1">+D4/12</f>
        <v>54992167.533333354</v>
      </c>
      <c r="E5" s="26">
        <f t="shared" si="1"/>
        <v>62955033.392160021</v>
      </c>
      <c r="F5" s="26">
        <f t="shared" si="1"/>
        <v>74140482.023213804</v>
      </c>
      <c r="G5" s="26">
        <f t="shared" si="1"/>
        <v>85590893.378511518</v>
      </c>
      <c r="H5" s="26">
        <f t="shared" si="1"/>
        <v>99798981.679344416</v>
      </c>
      <c r="I5" s="26">
        <f t="shared" si="1"/>
        <v>116365612.63811563</v>
      </c>
      <c r="K5" s="24" t="s">
        <v>92</v>
      </c>
      <c r="L5" s="28">
        <f>+'Flujos de EE.RR.'!C69</f>
        <v>1.3555575316442423</v>
      </c>
      <c r="M5" s="28">
        <v>0.21998360849455673</v>
      </c>
      <c r="N5" s="28">
        <f>26.0830592910098%-L4</f>
        <v>8.0830592910098031E-2</v>
      </c>
      <c r="O5" s="28">
        <f>9.06847020835247%-L4</f>
        <v>-8.9315297916475286E-2</v>
      </c>
      <c r="P5" s="28">
        <f>59.4344900863782%-L4</f>
        <v>0.41434490086378201</v>
      </c>
      <c r="Q5" s="28">
        <f>49.1744134405522%-L4</f>
        <v>0.31174413440552201</v>
      </c>
      <c r="R5" s="28">
        <f>39.9965884526137%-L4</f>
        <v>0.21996588452613702</v>
      </c>
      <c r="S5" s="28">
        <f>32.6945446109185%-L4</f>
        <v>0.14694544610918497</v>
      </c>
    </row>
    <row r="6" spans="2:19" s="27" customFormat="1" x14ac:dyDescent="0.25">
      <c r="B6" s="24" t="s">
        <v>903</v>
      </c>
      <c r="C6" s="26">
        <f>+'Flujos de EE.RR.'!P23</f>
        <v>340634009.26100683</v>
      </c>
      <c r="D6" s="26">
        <f>+'Flujos de EE.RR.'!AC23</f>
        <v>383313790.5647673</v>
      </c>
      <c r="E6" s="26">
        <f>+'Flujos de EE.RR.'!AP23</f>
        <v>439478655.28916347</v>
      </c>
      <c r="F6" s="26">
        <f>+'Flujos de EE.RR.'!BC23</f>
        <v>517486045.46493715</v>
      </c>
      <c r="G6" s="26">
        <f>+'Flujos de EE.RR.'!BP23</f>
        <v>597495842.67031384</v>
      </c>
      <c r="H6" s="26">
        <f>+'Flujos de EE.RR.'!CC23</f>
        <v>696680152.55358601</v>
      </c>
      <c r="I6" s="26">
        <f>+'Flujos de EE.RR.'!CP23</f>
        <v>812329057.87748146</v>
      </c>
      <c r="K6" s="24" t="s">
        <v>93</v>
      </c>
      <c r="L6" s="26">
        <f>+'Flujos de EE.RR.'!C70</f>
        <v>1606594561.6221893</v>
      </c>
      <c r="M6" s="26">
        <v>28650071.770707875</v>
      </c>
      <c r="N6" s="26">
        <v>-219869462.30356163</v>
      </c>
      <c r="O6" s="26">
        <v>-468388996.37783104</v>
      </c>
      <c r="P6" s="26">
        <v>296884579.58019972</v>
      </c>
      <c r="Q6" s="26">
        <v>173069448.9519428</v>
      </c>
      <c r="R6" s="26">
        <v>28618463.218976349</v>
      </c>
      <c r="S6" s="26">
        <v>-115832522.51398996</v>
      </c>
    </row>
    <row r="7" spans="2:19" s="27" customFormat="1" x14ac:dyDescent="0.25">
      <c r="B7" s="24" t="s">
        <v>942</v>
      </c>
      <c r="C7" s="26">
        <f>+C6/12</f>
        <v>28386167.438417237</v>
      </c>
      <c r="D7" s="26">
        <f t="shared" ref="D7" si="2">+D6/12</f>
        <v>31942815.880397275</v>
      </c>
      <c r="E7" s="26">
        <f t="shared" ref="E7" si="3">+E6/12</f>
        <v>36623221.274096958</v>
      </c>
      <c r="F7" s="26">
        <f t="shared" ref="F7" si="4">+F6/12</f>
        <v>43123837.122078098</v>
      </c>
      <c r="G7" s="26">
        <f t="shared" ref="G7" si="5">+G6/12</f>
        <v>49791320.222526155</v>
      </c>
      <c r="H7" s="26">
        <f t="shared" ref="H7" si="6">+H6/12</f>
        <v>58056679.379465498</v>
      </c>
      <c r="I7" s="26">
        <f t="shared" ref="I7" si="7">+I6/12</f>
        <v>67694088.156456783</v>
      </c>
      <c r="K7" s="24"/>
      <c r="L7" s="26"/>
      <c r="M7" s="26"/>
      <c r="N7" s="26"/>
      <c r="O7" s="26"/>
      <c r="P7" s="26"/>
      <c r="Q7" s="26"/>
      <c r="R7" s="26"/>
      <c r="S7" s="26"/>
    </row>
    <row r="8" spans="2:19" x14ac:dyDescent="0.25">
      <c r="B8" s="24" t="s">
        <v>904</v>
      </c>
      <c r="C8" s="26">
        <f>+'Flujos de EE.RR.'!P40</f>
        <v>70674950.472705171</v>
      </c>
      <c r="D8" s="26">
        <f>+'Flujos de EE.RR.'!AC40</f>
        <v>85381360.633092389</v>
      </c>
      <c r="E8" s="26">
        <f>+'Flujos de EE.RR.'!AP40</f>
        <v>93019149.066698462</v>
      </c>
      <c r="F8" s="26">
        <f>+'Flujos de EE.RR.'!BC40</f>
        <v>97421893.502145052</v>
      </c>
      <c r="G8" s="26">
        <f>+'Flujos de EE.RR.'!BP40</f>
        <v>103699852.03984338</v>
      </c>
      <c r="H8" s="26">
        <f>+'Flujos de EE.RR.'!CC40</f>
        <v>109032349.50592956</v>
      </c>
      <c r="I8" s="26">
        <f>+'Flujos de EE.RR.'!CP40</f>
        <v>114923229.13881259</v>
      </c>
      <c r="K8" s="24" t="s">
        <v>0</v>
      </c>
      <c r="L8" s="28" t="e">
        <f>+'Flujos de EE.RR.'!C71</f>
        <v>#DIV/0!</v>
      </c>
      <c r="M8" s="28"/>
      <c r="N8" s="28"/>
      <c r="O8" s="28"/>
      <c r="P8" s="28"/>
      <c r="Q8" s="28"/>
      <c r="R8" s="28"/>
      <c r="S8" s="28"/>
    </row>
    <row r="9" spans="2:19" x14ac:dyDescent="0.25">
      <c r="B9" s="24" t="s">
        <v>944</v>
      </c>
      <c r="C9" s="26">
        <f>+C8/12</f>
        <v>5889579.2060587639</v>
      </c>
      <c r="D9" s="26">
        <f t="shared" ref="D9:I9" si="8">+D8/12</f>
        <v>7115113.3860910321</v>
      </c>
      <c r="E9" s="26">
        <f t="shared" si="8"/>
        <v>7751595.7555582048</v>
      </c>
      <c r="F9" s="26">
        <f t="shared" si="8"/>
        <v>8118491.1251787543</v>
      </c>
      <c r="G9" s="26">
        <f t="shared" si="8"/>
        <v>8641654.3366536144</v>
      </c>
      <c r="H9" s="26">
        <f t="shared" si="8"/>
        <v>9086029.12549413</v>
      </c>
      <c r="I9" s="26">
        <f t="shared" si="8"/>
        <v>9576935.7615677156</v>
      </c>
      <c r="K9" s="24"/>
      <c r="L9" s="28"/>
      <c r="M9" s="28"/>
      <c r="N9" s="28"/>
      <c r="O9" s="28"/>
      <c r="P9" s="28"/>
      <c r="Q9" s="28"/>
      <c r="R9" s="28"/>
      <c r="S9" s="28"/>
    </row>
    <row r="10" spans="2:19" s="27" customFormat="1" x14ac:dyDescent="0.25">
      <c r="B10" s="24" t="s">
        <v>945</v>
      </c>
      <c r="C10" s="28">
        <f>+'Flujos de EE.RR.'!P24</f>
        <v>0.57998619011466923</v>
      </c>
      <c r="D10" s="28">
        <f>+'Flujos de EE.RR.'!AC24</f>
        <v>0.58086119011466908</v>
      </c>
      <c r="E10" s="28">
        <f>+'Flujos de EE.RR.'!AP24</f>
        <v>0.58173619011466937</v>
      </c>
      <c r="F10" s="28">
        <f>+'Flujos de EE.RR.'!BC24</f>
        <v>0.58165034735781429</v>
      </c>
      <c r="G10" s="28">
        <f>+'Flujos de EE.RR.'!BP24</f>
        <v>0.58173619011466915</v>
      </c>
      <c r="H10" s="28">
        <f>+'Flujos de EE.RR.'!CC24</f>
        <v>0.58173619011466926</v>
      </c>
      <c r="I10" s="28">
        <f>+'Flujos de EE.RR.'!CP24</f>
        <v>0.58173619011466926</v>
      </c>
      <c r="K10" s="24" t="s">
        <v>1</v>
      </c>
      <c r="L10" s="28" t="e">
        <f>+'Flujos de EE.RR.'!C72</f>
        <v>#DIV/0!</v>
      </c>
      <c r="M10" s="28"/>
      <c r="N10" s="28"/>
      <c r="O10" s="28"/>
      <c r="P10" s="28"/>
      <c r="Q10" s="28"/>
      <c r="R10" s="28"/>
      <c r="S10" s="28"/>
    </row>
    <row r="11" spans="2:19" s="27" customFormat="1" x14ac:dyDescent="0.25">
      <c r="B11" s="24" t="s">
        <v>946</v>
      </c>
      <c r="C11" s="28">
        <f>+'Flujos de EE.RR.'!P41</f>
        <v>0.12033588586804532</v>
      </c>
      <c r="D11" s="28">
        <f>+'Flujos de EE.RR.'!AC41</f>
        <v>0.12938412332589411</v>
      </c>
      <c r="E11" s="28">
        <f>+'Flujos de EE.RR.'!AP41</f>
        <v>0.123129086554079</v>
      </c>
      <c r="F11" s="28">
        <f>+'Flujos de EE.RR.'!BC41</f>
        <v>0.10950146132900523</v>
      </c>
      <c r="G11" s="28">
        <f>+'Flujos de EE.RR.'!BP41</f>
        <v>0.1009646470032429</v>
      </c>
      <c r="H11" s="28">
        <f>+'Flujos de EE.RR.'!CC41</f>
        <v>9.1043304977676764E-2</v>
      </c>
      <c r="I11" s="28">
        <f>+'Flujos de EE.RR.'!CP41</f>
        <v>8.2300393943277234E-2</v>
      </c>
      <c r="K11" s="24" t="s">
        <v>910</v>
      </c>
      <c r="L11" s="41" t="e">
        <f>+'Flujos de EE.RR.'!C73</f>
        <v>#DIV/0!</v>
      </c>
      <c r="M11" s="41"/>
      <c r="N11" s="41"/>
      <c r="O11" s="41"/>
      <c r="P11" s="41"/>
      <c r="Q11" s="41"/>
      <c r="R11" s="41"/>
      <c r="S11" s="41"/>
    </row>
    <row r="12" spans="2:19" s="27" customFormat="1" x14ac:dyDescent="0.25">
      <c r="B12" s="24" t="s">
        <v>889</v>
      </c>
      <c r="C12" s="28">
        <f>+'Flujos de EE.RR.'!P47</f>
        <v>0.29967792401728549</v>
      </c>
      <c r="D12" s="28">
        <f>+'Flujos de EE.RR.'!AC47</f>
        <v>0.28975468655943648</v>
      </c>
      <c r="E12" s="28">
        <f>+'Flujos de EE.RR.'!AP47</f>
        <v>0.29513472333125174</v>
      </c>
      <c r="F12" s="28">
        <f>+'Flujos de EE.RR.'!BC47</f>
        <v>0.30884819131318025</v>
      </c>
      <c r="G12" s="28">
        <f>+'Flujos de EE.RR.'!BP47</f>
        <v>0.31729916288208798</v>
      </c>
      <c r="H12" s="28">
        <f>+'Flujos de EE.RR.'!CC47</f>
        <v>0.32722050490765398</v>
      </c>
      <c r="I12" s="28">
        <f>+'Flujos de EE.RR.'!CP47</f>
        <v>0.33596341594205364</v>
      </c>
      <c r="K12" s="24" t="s">
        <v>911</v>
      </c>
      <c r="L12" s="41">
        <v>1.18</v>
      </c>
      <c r="M12" s="41"/>
      <c r="N12" s="41"/>
      <c r="O12" s="41"/>
      <c r="P12" s="41"/>
      <c r="Q12" s="41"/>
      <c r="R12" s="41"/>
      <c r="S12" s="41"/>
    </row>
    <row r="13" spans="2:19" s="27" customFormat="1" x14ac:dyDescent="0.25">
      <c r="B13" s="24" t="s">
        <v>947</v>
      </c>
      <c r="C13" s="28">
        <f>+'Flujos de EE.RR.'!P58</f>
        <v>0.19205947775549637</v>
      </c>
      <c r="D13" s="28">
        <f>+'Flujos de EE.RR.'!AC58</f>
        <v>0.19079081681359711</v>
      </c>
      <c r="E13" s="28">
        <f>+'Flujos de EE.RR.'!AP58</f>
        <v>0.20111694021931556</v>
      </c>
      <c r="F13" s="28">
        <f>+'Flujos de EE.RR.'!BC58</f>
        <v>0.21673644523691607</v>
      </c>
      <c r="G13" s="28">
        <f>+'Flujos de EE.RR.'!BP58</f>
        <v>0.22790169706053731</v>
      </c>
      <c r="H13" s="28">
        <f>+'Flujos de EE.RR.'!CC58</f>
        <v>0.23665771650819784</v>
      </c>
      <c r="I13" s="28">
        <f>+'Flujos de EE.RR.'!CP58</f>
        <v>0.24398075007631087</v>
      </c>
      <c r="K13" s="24" t="s">
        <v>85</v>
      </c>
      <c r="L13" s="26">
        <f>+'Flujos de EE.RR.'!C99</f>
        <v>72459397.918267772</v>
      </c>
      <c r="M13" s="26"/>
      <c r="N13" s="26"/>
      <c r="O13" s="26"/>
      <c r="P13" s="26">
        <v>150000000</v>
      </c>
      <c r="Q13" s="26">
        <v>180000000</v>
      </c>
      <c r="R13" s="26">
        <v>215000000</v>
      </c>
      <c r="S13" s="26">
        <v>250000000</v>
      </c>
    </row>
    <row r="14" spans="2:19" s="27" customFormat="1" x14ac:dyDescent="0.25"/>
    <row r="15" spans="2:19" x14ac:dyDescent="0.25">
      <c r="D15" s="27"/>
      <c r="E15" s="27"/>
      <c r="F15" s="27"/>
      <c r="G15" s="27"/>
      <c r="H15" s="27"/>
      <c r="I15" s="27"/>
      <c r="J15" s="27"/>
      <c r="N15" s="29">
        <f>17/214</f>
        <v>7.9439252336448593E-2</v>
      </c>
    </row>
    <row r="16" spans="2:19" s="27" customFormat="1" x14ac:dyDescent="0.25"/>
    <row r="17" spans="2:10" x14ac:dyDescent="0.25">
      <c r="D17" s="27"/>
      <c r="E17" s="27"/>
      <c r="F17" s="27"/>
      <c r="G17" s="27"/>
      <c r="H17" s="27"/>
      <c r="I17" s="27"/>
      <c r="J17" s="27"/>
    </row>
    <row r="18" spans="2:10" x14ac:dyDescent="0.25">
      <c r="D18" s="27"/>
      <c r="E18" s="27"/>
      <c r="F18" s="27"/>
      <c r="G18" s="27"/>
      <c r="H18" s="27"/>
      <c r="I18" s="27"/>
      <c r="J18" s="27"/>
    </row>
    <row r="19" spans="2:10" x14ac:dyDescent="0.25">
      <c r="D19" s="27"/>
      <c r="E19" s="27"/>
      <c r="F19" s="27"/>
      <c r="G19" s="27"/>
      <c r="H19" s="27"/>
      <c r="I19" s="27"/>
      <c r="J19" s="27"/>
    </row>
    <row r="20" spans="2:10" x14ac:dyDescent="0.25">
      <c r="D20" s="27"/>
      <c r="E20" s="27"/>
      <c r="F20" s="27"/>
      <c r="G20" s="27"/>
      <c r="H20" s="27"/>
      <c r="I20" s="27"/>
      <c r="J20" s="27"/>
    </row>
    <row r="21" spans="2:10" x14ac:dyDescent="0.25">
      <c r="D21" s="27"/>
      <c r="E21" s="27"/>
      <c r="F21" s="27"/>
      <c r="G21" s="27"/>
      <c r="H21" s="27"/>
      <c r="I21" s="27"/>
      <c r="J21" s="27"/>
    </row>
    <row r="22" spans="2:10" x14ac:dyDescent="0.25">
      <c r="D22" s="27"/>
      <c r="E22" s="27"/>
      <c r="F22" s="27"/>
      <c r="G22" s="27"/>
      <c r="H22" s="27"/>
      <c r="I22" s="27"/>
      <c r="J22" s="27"/>
    </row>
    <row r="23" spans="2:10" x14ac:dyDescent="0.25">
      <c r="D23" s="31"/>
      <c r="E23" s="31"/>
      <c r="F23" s="31"/>
      <c r="G23" s="31"/>
      <c r="H23" s="31"/>
      <c r="I23" s="31"/>
    </row>
    <row r="25" spans="2:10" x14ac:dyDescent="0.25">
      <c r="B25" s="32"/>
    </row>
    <row r="26" spans="2:10" x14ac:dyDescent="0.25">
      <c r="B26" s="32"/>
    </row>
    <row r="27" spans="2:10" x14ac:dyDescent="0.25">
      <c r="B27" s="32"/>
    </row>
    <row r="28" spans="2:10" x14ac:dyDescent="0.25">
      <c r="B28" s="32"/>
    </row>
    <row r="29" spans="2:10" x14ac:dyDescent="0.25">
      <c r="B29" s="3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40"/>
  <sheetViews>
    <sheetView workbookViewId="0">
      <selection activeCell="D20" sqref="D20"/>
    </sheetView>
  </sheetViews>
  <sheetFormatPr defaultColWidth="11.44140625" defaultRowHeight="13.2" x14ac:dyDescent="0.25"/>
  <cols>
    <col min="1" max="1" width="6" style="29" customWidth="1"/>
    <col min="2" max="2" width="30.44140625" style="29" customWidth="1"/>
    <col min="3" max="9" width="15.6640625" style="29" customWidth="1"/>
    <col min="10" max="10" width="11.44140625" style="29"/>
    <col min="11" max="11" width="17.5546875" style="29" bestFit="1" customWidth="1"/>
    <col min="12" max="12" width="17.109375" style="29" bestFit="1" customWidth="1"/>
    <col min="13" max="13" width="12.44140625" style="29" bestFit="1" customWidth="1"/>
    <col min="14" max="16384" width="11.44140625" style="29"/>
  </cols>
  <sheetData>
    <row r="3" spans="2:13" s="25" customFormat="1" ht="15.6" x14ac:dyDescent="0.3">
      <c r="B3" s="33" t="s">
        <v>98</v>
      </c>
      <c r="C3" s="34">
        <v>1</v>
      </c>
      <c r="D3" s="34">
        <v>2</v>
      </c>
      <c r="E3" s="34">
        <v>3</v>
      </c>
      <c r="F3" s="34">
        <v>4</v>
      </c>
      <c r="G3" s="34">
        <v>5</v>
      </c>
      <c r="H3" s="34">
        <v>6</v>
      </c>
      <c r="I3" s="34">
        <v>7</v>
      </c>
    </row>
    <row r="5" spans="2:13" s="27" customFormat="1" x14ac:dyDescent="0.25">
      <c r="B5" s="24" t="s">
        <v>892</v>
      </c>
      <c r="C5" s="26">
        <v>50000</v>
      </c>
      <c r="D5" s="26">
        <f t="shared" ref="D5:I8" si="0">+C5*(1+D$28)</f>
        <v>53000</v>
      </c>
      <c r="E5" s="26">
        <f t="shared" si="0"/>
        <v>57240.000000000007</v>
      </c>
      <c r="F5" s="26">
        <f t="shared" si="0"/>
        <v>62964.000000000015</v>
      </c>
      <c r="G5" s="26">
        <f t="shared" si="0"/>
        <v>69260.400000000023</v>
      </c>
      <c r="H5" s="26">
        <f t="shared" si="0"/>
        <v>76186.440000000031</v>
      </c>
      <c r="I5" s="26">
        <f t="shared" si="0"/>
        <v>83805.084000000046</v>
      </c>
    </row>
    <row r="6" spans="2:13" x14ac:dyDescent="0.25">
      <c r="B6" s="24" t="s">
        <v>884</v>
      </c>
      <c r="C6" s="100">
        <v>1500000</v>
      </c>
      <c r="D6" s="26">
        <f t="shared" si="0"/>
        <v>1590000</v>
      </c>
      <c r="E6" s="26">
        <f t="shared" si="0"/>
        <v>1717200</v>
      </c>
      <c r="F6" s="26">
        <f t="shared" si="0"/>
        <v>1888920.0000000002</v>
      </c>
      <c r="G6" s="26">
        <f t="shared" si="0"/>
        <v>2077812.0000000005</v>
      </c>
      <c r="H6" s="26">
        <f t="shared" si="0"/>
        <v>2285593.2000000007</v>
      </c>
      <c r="I6" s="26">
        <f t="shared" si="0"/>
        <v>2514152.5200000009</v>
      </c>
    </row>
    <row r="7" spans="2:13" s="27" customFormat="1" x14ac:dyDescent="0.25">
      <c r="B7" s="24" t="s">
        <v>893</v>
      </c>
      <c r="C7" s="26">
        <v>1000000</v>
      </c>
      <c r="D7" s="26">
        <f t="shared" si="0"/>
        <v>1060000</v>
      </c>
      <c r="E7" s="26">
        <f t="shared" si="0"/>
        <v>1144800</v>
      </c>
      <c r="F7" s="26">
        <f t="shared" si="0"/>
        <v>1259280</v>
      </c>
      <c r="G7" s="26">
        <f t="shared" si="0"/>
        <v>1385208</v>
      </c>
      <c r="H7" s="26">
        <f t="shared" si="0"/>
        <v>1523728.8</v>
      </c>
      <c r="I7" s="26">
        <f t="shared" si="0"/>
        <v>1676101.6800000002</v>
      </c>
    </row>
    <row r="8" spans="2:13" s="27" customFormat="1" x14ac:dyDescent="0.25">
      <c r="B8" s="24" t="s">
        <v>894</v>
      </c>
      <c r="C8" s="26">
        <v>850000</v>
      </c>
      <c r="D8" s="26">
        <f t="shared" si="0"/>
        <v>901000</v>
      </c>
      <c r="E8" s="26">
        <f t="shared" si="0"/>
        <v>973080.00000000012</v>
      </c>
      <c r="F8" s="26">
        <f t="shared" si="0"/>
        <v>1070388.0000000002</v>
      </c>
      <c r="G8" s="26">
        <f t="shared" si="0"/>
        <v>1177426.8000000003</v>
      </c>
      <c r="H8" s="26">
        <f t="shared" si="0"/>
        <v>1295169.4800000004</v>
      </c>
      <c r="I8" s="26">
        <f t="shared" si="0"/>
        <v>1424686.4280000005</v>
      </c>
    </row>
    <row r="9" spans="2:13" s="27" customFormat="1" x14ac:dyDescent="0.25">
      <c r="B9" s="35"/>
      <c r="C9" s="36"/>
      <c r="D9" s="36"/>
      <c r="E9" s="36"/>
      <c r="F9" s="36"/>
      <c r="G9" s="36"/>
      <c r="H9" s="36"/>
      <c r="I9" s="36"/>
    </row>
    <row r="10" spans="2:13" s="27" customFormat="1" x14ac:dyDescent="0.25">
      <c r="B10" s="24" t="s">
        <v>948</v>
      </c>
      <c r="C10" s="26">
        <v>40000</v>
      </c>
      <c r="D10" s="26">
        <f t="shared" ref="D10:I12" si="1">+C10*(1+D$28)</f>
        <v>42400</v>
      </c>
      <c r="E10" s="26">
        <f t="shared" si="1"/>
        <v>45792</v>
      </c>
      <c r="F10" s="26">
        <f t="shared" si="1"/>
        <v>50371.200000000004</v>
      </c>
      <c r="G10" s="26">
        <f t="shared" si="1"/>
        <v>55408.320000000007</v>
      </c>
      <c r="H10" s="26">
        <f t="shared" si="1"/>
        <v>60949.152000000009</v>
      </c>
      <c r="I10" s="26">
        <f t="shared" si="1"/>
        <v>67044.06720000002</v>
      </c>
    </row>
    <row r="11" spans="2:13" s="27" customFormat="1" ht="15.6" x14ac:dyDescent="0.3">
      <c r="B11" s="24" t="s">
        <v>949</v>
      </c>
      <c r="C11" s="26">
        <v>30000</v>
      </c>
      <c r="D11" s="26">
        <f t="shared" si="1"/>
        <v>31800</v>
      </c>
      <c r="E11" s="26">
        <f t="shared" si="1"/>
        <v>34344</v>
      </c>
      <c r="F11" s="26">
        <f t="shared" si="1"/>
        <v>37778.400000000001</v>
      </c>
      <c r="G11" s="26">
        <f t="shared" si="1"/>
        <v>41556.240000000005</v>
      </c>
      <c r="H11" s="26">
        <f t="shared" si="1"/>
        <v>45711.864000000009</v>
      </c>
      <c r="I11" s="26">
        <f t="shared" si="1"/>
        <v>50283.050400000015</v>
      </c>
      <c r="K11" s="104" t="str">
        <f>+'Flujos de EE.RR.'!B67</f>
        <v>INDICADORES</v>
      </c>
      <c r="L11" s="104" t="s">
        <v>926</v>
      </c>
    </row>
    <row r="12" spans="2:13" s="27" customFormat="1" ht="13.8" x14ac:dyDescent="0.25">
      <c r="B12" s="24" t="s">
        <v>950</v>
      </c>
      <c r="C12" s="26">
        <v>33000</v>
      </c>
      <c r="D12" s="26">
        <f t="shared" si="1"/>
        <v>34980</v>
      </c>
      <c r="E12" s="26">
        <f t="shared" si="1"/>
        <v>37778.400000000001</v>
      </c>
      <c r="F12" s="26">
        <f t="shared" si="1"/>
        <v>41556.240000000005</v>
      </c>
      <c r="G12" s="26">
        <f t="shared" si="1"/>
        <v>45711.864000000009</v>
      </c>
      <c r="H12" s="26">
        <f t="shared" si="1"/>
        <v>50283.050400000015</v>
      </c>
      <c r="I12" s="26">
        <f t="shared" si="1"/>
        <v>55311.355440000021</v>
      </c>
      <c r="K12" s="105" t="str">
        <f>+'Flujos de EE.RR.'!B68</f>
        <v>TRMA (k)</v>
      </c>
      <c r="L12" s="106">
        <f>+'Flujos de EE.RR.'!C68</f>
        <v>0.18</v>
      </c>
      <c r="M12" s="59"/>
    </row>
    <row r="13" spans="2:13" s="27" customFormat="1" ht="13.8" x14ac:dyDescent="0.25">
      <c r="B13" s="30"/>
      <c r="C13" s="29"/>
      <c r="D13" s="29"/>
      <c r="E13" s="29"/>
      <c r="F13" s="29"/>
      <c r="G13" s="29"/>
      <c r="H13" s="29"/>
      <c r="I13" s="29"/>
      <c r="K13" s="105" t="str">
        <f>+'Flujos de EE.RR.'!B69</f>
        <v>TIR</v>
      </c>
      <c r="L13" s="106">
        <f>+'Flujos de EE.RR.'!C69</f>
        <v>1.3555575316442423</v>
      </c>
      <c r="M13" s="59" t="b">
        <f>+IF(L13&gt;L12,TRUE)</f>
        <v>1</v>
      </c>
    </row>
    <row r="14" spans="2:13" s="27" customFormat="1" ht="13.8" x14ac:dyDescent="0.25">
      <c r="B14" s="24" t="s">
        <v>896</v>
      </c>
      <c r="C14" s="23">
        <v>0.8</v>
      </c>
      <c r="D14" s="23">
        <v>0.8</v>
      </c>
      <c r="E14" s="23">
        <v>0.8</v>
      </c>
      <c r="F14" s="23">
        <v>0.8</v>
      </c>
      <c r="G14" s="23">
        <v>0.8</v>
      </c>
      <c r="H14" s="23">
        <v>0.8</v>
      </c>
      <c r="I14" s="23">
        <v>0.8</v>
      </c>
      <c r="K14" s="105" t="str">
        <f>+'Flujos de EE.RR.'!B70</f>
        <v>VAN</v>
      </c>
      <c r="L14" s="107">
        <f>+'Flujos de EE.RR.'!C70</f>
        <v>1606594561.6221893</v>
      </c>
    </row>
    <row r="15" spans="2:13" ht="13.8" x14ac:dyDescent="0.25">
      <c r="B15" s="30"/>
      <c r="K15" s="105" t="str">
        <f>+'Flujos de EE.RR.'!B71</f>
        <v>ROA</v>
      </c>
      <c r="L15" s="108" t="e">
        <f>+'Flujos de EE.RR.'!C71</f>
        <v>#DIV/0!</v>
      </c>
    </row>
    <row r="16" spans="2:13" s="27" customFormat="1" ht="13.8" x14ac:dyDescent="0.25">
      <c r="B16" s="24" t="s">
        <v>951</v>
      </c>
      <c r="C16" s="99">
        <v>0.4</v>
      </c>
      <c r="D16" s="99">
        <v>0.4</v>
      </c>
      <c r="E16" s="99">
        <v>0.4</v>
      </c>
      <c r="F16" s="99">
        <v>0.4</v>
      </c>
      <c r="G16" s="99">
        <v>0.4</v>
      </c>
      <c r="H16" s="99">
        <v>0.4</v>
      </c>
      <c r="I16" s="99">
        <v>0.4</v>
      </c>
      <c r="K16" s="105" t="str">
        <f>+'Flujos de EE.RR.'!B72</f>
        <v>ROE</v>
      </c>
      <c r="L16" s="108" t="e">
        <f>+'Flujos de EE.RR.'!C72</f>
        <v>#DIV/0!</v>
      </c>
    </row>
    <row r="17" spans="2:12" ht="13.8" x14ac:dyDescent="0.25">
      <c r="B17" s="24" t="s">
        <v>952</v>
      </c>
      <c r="C17" s="23">
        <v>0.7</v>
      </c>
      <c r="D17" s="23">
        <v>0.7</v>
      </c>
      <c r="E17" s="23">
        <v>0.7</v>
      </c>
      <c r="F17" s="23">
        <v>0.7</v>
      </c>
      <c r="G17" s="23">
        <v>0.7</v>
      </c>
      <c r="H17" s="23">
        <v>0.7</v>
      </c>
      <c r="I17" s="23">
        <v>0.7</v>
      </c>
      <c r="K17" s="105" t="str">
        <f>+'Flujos de EE.RR.'!B73</f>
        <v>BETA C/D</v>
      </c>
      <c r="L17" s="109" t="e">
        <f>+'Flujos de EE.RR.'!C73</f>
        <v>#DIV/0!</v>
      </c>
    </row>
    <row r="18" spans="2:12" ht="13.8" x14ac:dyDescent="0.25">
      <c r="B18" s="24" t="s">
        <v>953</v>
      </c>
      <c r="C18" s="23">
        <v>0.7</v>
      </c>
      <c r="D18" s="23">
        <v>0.7</v>
      </c>
      <c r="E18" s="23">
        <v>0.7</v>
      </c>
      <c r="F18" s="23">
        <v>0.7</v>
      </c>
      <c r="G18" s="23">
        <v>0.7</v>
      </c>
      <c r="H18" s="23">
        <v>0.7</v>
      </c>
      <c r="I18" s="23">
        <v>0.7</v>
      </c>
      <c r="K18" s="105" t="s">
        <v>933</v>
      </c>
      <c r="L18" s="110">
        <f>+'Flujos de EE.RR.'!C99</f>
        <v>72459397.918267772</v>
      </c>
    </row>
    <row r="19" spans="2:12" ht="15.75" customHeight="1" x14ac:dyDescent="0.25">
      <c r="B19" s="24" t="s">
        <v>954</v>
      </c>
      <c r="C19" s="23">
        <v>0.7</v>
      </c>
      <c r="D19" s="23">
        <v>0.7</v>
      </c>
      <c r="E19" s="23">
        <v>0.7</v>
      </c>
      <c r="F19" s="23">
        <v>0.7</v>
      </c>
      <c r="G19" s="23">
        <v>0.7</v>
      </c>
      <c r="H19" s="23">
        <v>0.7</v>
      </c>
      <c r="I19" s="23">
        <v>0.7</v>
      </c>
      <c r="K19" s="27"/>
      <c r="L19" s="27"/>
    </row>
    <row r="20" spans="2:12" ht="15.75" customHeight="1" x14ac:dyDescent="0.25">
      <c r="B20" s="24" t="s">
        <v>955</v>
      </c>
      <c r="C20" s="37">
        <v>0.13200000000000001</v>
      </c>
      <c r="D20" s="37">
        <v>0.13200000000000001</v>
      </c>
      <c r="E20" s="37">
        <v>0.13200000000000001</v>
      </c>
      <c r="F20" s="37">
        <v>0.13200000000000001</v>
      </c>
      <c r="G20" s="37">
        <v>0.13200000000000001</v>
      </c>
      <c r="H20" s="37">
        <v>0.13200000000000001</v>
      </c>
      <c r="I20" s="37">
        <v>0.13200000000000001</v>
      </c>
    </row>
    <row r="21" spans="2:12" ht="15.75" customHeight="1" x14ac:dyDescent="0.25">
      <c r="B21" s="24" t="s">
        <v>956</v>
      </c>
      <c r="C21" s="38">
        <v>1.8147447329019005E-3</v>
      </c>
      <c r="D21" s="38">
        <v>1.8147447329019005E-3</v>
      </c>
      <c r="E21" s="38">
        <v>1.8147447329019005E-3</v>
      </c>
      <c r="F21" s="38">
        <v>1.8147447329019005E-3</v>
      </c>
      <c r="G21" s="38">
        <v>1.8147447329019005E-3</v>
      </c>
      <c r="H21" s="38">
        <v>1.8147447329019005E-3</v>
      </c>
      <c r="I21" s="38">
        <v>1.8147447329019005E-3</v>
      </c>
    </row>
    <row r="22" spans="2:12" ht="15.75" customHeight="1" x14ac:dyDescent="0.25">
      <c r="B22" s="24" t="s">
        <v>958</v>
      </c>
      <c r="C22" s="38">
        <v>3.4026463741910633E-4</v>
      </c>
      <c r="D22" s="38">
        <v>3.4026463741910633E-4</v>
      </c>
      <c r="E22" s="38">
        <v>3.4026463741910633E-4</v>
      </c>
      <c r="F22" s="38">
        <v>3.4026463741910633E-4</v>
      </c>
      <c r="G22" s="38">
        <v>3.4026463741910633E-4</v>
      </c>
      <c r="H22" s="38">
        <v>3.4026463741910633E-4</v>
      </c>
      <c r="I22" s="38">
        <v>3.4026463741910633E-4</v>
      </c>
    </row>
    <row r="23" spans="2:12" ht="15.75" customHeight="1" x14ac:dyDescent="0.25">
      <c r="B23" s="24" t="s">
        <v>957</v>
      </c>
      <c r="C23" s="38">
        <v>5.6710772903184386E-3</v>
      </c>
      <c r="D23" s="38">
        <v>5.6710772903184386E-3</v>
      </c>
      <c r="E23" s="38">
        <v>5.6710772903184386E-3</v>
      </c>
      <c r="F23" s="38">
        <v>5.6710772903184386E-3</v>
      </c>
      <c r="G23" s="38">
        <v>5.6710772903184386E-3</v>
      </c>
      <c r="H23" s="38">
        <v>5.6710772903184386E-3</v>
      </c>
      <c r="I23" s="38">
        <v>5.6710772903184386E-3</v>
      </c>
    </row>
    <row r="24" spans="2:12" ht="15.75" customHeight="1" x14ac:dyDescent="0.25">
      <c r="B24" s="30"/>
    </row>
    <row r="25" spans="2:12" ht="15.75" customHeight="1" x14ac:dyDescent="0.25">
      <c r="B25" s="24" t="s">
        <v>101</v>
      </c>
      <c r="C25" s="37">
        <v>0.9</v>
      </c>
      <c r="D25" s="37">
        <v>0.92500000000000004</v>
      </c>
      <c r="E25" s="37">
        <v>0.95</v>
      </c>
      <c r="F25" s="37">
        <v>0.95</v>
      </c>
      <c r="G25" s="37">
        <v>0.95</v>
      </c>
      <c r="H25" s="37">
        <v>0.95</v>
      </c>
      <c r="I25" s="37">
        <v>0.95</v>
      </c>
    </row>
    <row r="26" spans="2:12" ht="15.75" customHeight="1" x14ac:dyDescent="0.25">
      <c r="B26" s="24" t="s">
        <v>100</v>
      </c>
      <c r="C26" s="37">
        <v>3.5000000000000003E-2</v>
      </c>
      <c r="D26" s="37">
        <v>3.5000000000000003E-2</v>
      </c>
      <c r="E26" s="37">
        <v>3.5000000000000003E-2</v>
      </c>
      <c r="F26" s="37">
        <v>3.5000000000000003E-2</v>
      </c>
      <c r="G26" s="37">
        <v>3.5000000000000003E-2</v>
      </c>
      <c r="H26" s="37">
        <v>3.5000000000000003E-2</v>
      </c>
      <c r="I26" s="37">
        <v>3.5000000000000003E-2</v>
      </c>
    </row>
    <row r="27" spans="2:12" ht="15.75" customHeight="1" x14ac:dyDescent="0.25">
      <c r="B27" s="30"/>
    </row>
    <row r="28" spans="2:12" ht="15.75" customHeight="1" x14ac:dyDescent="0.25">
      <c r="B28" s="24" t="s">
        <v>895</v>
      </c>
      <c r="C28" s="22">
        <v>0.04</v>
      </c>
      <c r="D28" s="22">
        <v>0.06</v>
      </c>
      <c r="E28" s="22">
        <v>0.08</v>
      </c>
      <c r="F28" s="22">
        <v>0.1</v>
      </c>
      <c r="G28" s="22">
        <v>0.1</v>
      </c>
      <c r="H28" s="22">
        <v>0.1</v>
      </c>
      <c r="I28" s="22">
        <v>0.1</v>
      </c>
    </row>
    <row r="29" spans="2:12" ht="15.75" customHeight="1" x14ac:dyDescent="0.25">
      <c r="B29" s="30"/>
    </row>
    <row r="30" spans="2:12" ht="15.75" customHeight="1" x14ac:dyDescent="0.25">
      <c r="B30" s="24" t="s">
        <v>907</v>
      </c>
      <c r="C30" s="38">
        <v>7.1999999999999995E-2</v>
      </c>
      <c r="D30" s="38">
        <v>7.1999999999999995E-2</v>
      </c>
      <c r="E30" s="38">
        <v>7.5499999999999998E-2</v>
      </c>
      <c r="F30" s="38">
        <v>8.1500000000000003E-2</v>
      </c>
      <c r="G30" s="38">
        <v>8.5500000000000007E-2</v>
      </c>
      <c r="H30" s="38">
        <v>0.09</v>
      </c>
      <c r="I30" s="38">
        <v>9.1499999999999998E-2</v>
      </c>
    </row>
    <row r="31" spans="2:12" ht="15.75" customHeight="1" x14ac:dyDescent="0.25">
      <c r="C31" s="38">
        <f>+'Flujos de EE.RR.'!P56</f>
        <v>0.27266584260485355</v>
      </c>
      <c r="D31" s="38">
        <f>+'Flujos de EE.RR.'!AC56</f>
        <v>0.27398217667199182</v>
      </c>
      <c r="E31" s="38">
        <f>+'Flujos de EE.RR.'!AP56</f>
        <v>0.27294062301513383</v>
      </c>
      <c r="F31" s="38">
        <f>+'Flujos de EE.RR.'!BC56</f>
        <v>0.27327310696470114</v>
      </c>
      <c r="G31" s="38">
        <f>+'Flujos de EE.RR.'!BP56</f>
        <v>0.27281281754988279</v>
      </c>
      <c r="H31" s="38">
        <f>+'Flujos de EE.RR.'!CC56</f>
        <v>0.27551775283943541</v>
      </c>
      <c r="I31" s="38">
        <f>+'Flujos de EE.RR.'!CP56</f>
        <v>0.27274292184927673</v>
      </c>
      <c r="J31" s="39"/>
      <c r="K31" s="39"/>
    </row>
    <row r="34" spans="2:9" x14ac:dyDescent="0.25">
      <c r="B34" s="32"/>
      <c r="C34" s="31"/>
      <c r="D34" s="31"/>
      <c r="E34" s="31"/>
      <c r="F34" s="31"/>
      <c r="G34" s="31"/>
      <c r="H34" s="31"/>
      <c r="I34" s="31"/>
    </row>
    <row r="35" spans="2:9" x14ac:dyDescent="0.25">
      <c r="B35" s="32"/>
    </row>
    <row r="36" spans="2:9" x14ac:dyDescent="0.25">
      <c r="B36" s="32"/>
    </row>
    <row r="37" spans="2:9" x14ac:dyDescent="0.25">
      <c r="B37" s="32"/>
    </row>
    <row r="38" spans="2:9" x14ac:dyDescent="0.25">
      <c r="B38" s="32"/>
    </row>
    <row r="39" spans="2:9" x14ac:dyDescent="0.25">
      <c r="B39" s="32"/>
    </row>
    <row r="40" spans="2:9" x14ac:dyDescent="0.25">
      <c r="B40" s="3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Y101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C8" sqref="B8:BC13"/>
    </sheetView>
  </sheetViews>
  <sheetFormatPr defaultColWidth="11.44140625" defaultRowHeight="13.2" outlineLevelRow="2" outlineLevelCol="1" x14ac:dyDescent="0.25"/>
  <cols>
    <col min="1" max="1" width="3" style="58" customWidth="1"/>
    <col min="2" max="2" width="45" style="66" customWidth="1"/>
    <col min="3" max="3" width="14.33203125" style="58" customWidth="1"/>
    <col min="4" max="15" width="13.88671875" style="58" hidden="1" customWidth="1" outlineLevel="1"/>
    <col min="16" max="16" width="14.5546875" style="59" customWidth="1" collapsed="1"/>
    <col min="17" max="28" width="13.88671875" style="58" hidden="1" customWidth="1" outlineLevel="1"/>
    <col min="29" max="29" width="14.44140625" style="59" customWidth="1" collapsed="1"/>
    <col min="30" max="41" width="13.88671875" style="58" hidden="1" customWidth="1" outlineLevel="1"/>
    <col min="42" max="42" width="14.44140625" style="59" customWidth="1" collapsed="1"/>
    <col min="43" max="54" width="13.88671875" style="58" hidden="1" customWidth="1" outlineLevel="1"/>
    <col min="55" max="55" width="14.44140625" style="59" customWidth="1" collapsed="1"/>
    <col min="56" max="67" width="13.88671875" style="58" hidden="1" customWidth="1" outlineLevel="1"/>
    <col min="68" max="68" width="14.33203125" style="58" customWidth="1" collapsed="1"/>
    <col min="69" max="80" width="13.88671875" style="58" hidden="1" customWidth="1" outlineLevel="1"/>
    <col min="81" max="81" width="14.5546875" style="59" customWidth="1" collapsed="1"/>
    <col min="82" max="93" width="13.88671875" style="58" hidden="1" customWidth="1" outlineLevel="1"/>
    <col min="94" max="94" width="14.5546875" style="59" customWidth="1" collapsed="1"/>
    <col min="95" max="97" width="13.109375" style="58" bestFit="1" customWidth="1"/>
    <col min="98" max="98" width="12.33203125" style="58" bestFit="1" customWidth="1"/>
    <col min="99" max="103" width="12.44140625" style="58" bestFit="1" customWidth="1"/>
    <col min="104" max="16384" width="11.44140625" style="58"/>
  </cols>
  <sheetData>
    <row r="2" spans="2:94" ht="15.6" x14ac:dyDescent="0.3">
      <c r="B2" s="57"/>
    </row>
    <row r="3" spans="2:94" x14ac:dyDescent="0.25">
      <c r="B3" s="60"/>
    </row>
    <row r="4" spans="2:94" x14ac:dyDescent="0.25">
      <c r="B4" s="61"/>
      <c r="C4" s="2">
        <v>0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>
        <v>19</v>
      </c>
      <c r="X4" s="2">
        <v>20</v>
      </c>
      <c r="Y4" s="2">
        <v>21</v>
      </c>
      <c r="Z4" s="2">
        <v>22</v>
      </c>
      <c r="AA4" s="2">
        <v>23</v>
      </c>
      <c r="AB4" s="2">
        <v>24</v>
      </c>
      <c r="AC4" s="2">
        <v>2</v>
      </c>
      <c r="AD4" s="2">
        <v>25</v>
      </c>
      <c r="AE4" s="2">
        <v>26</v>
      </c>
      <c r="AF4" s="2">
        <v>27</v>
      </c>
      <c r="AG4" s="2">
        <v>28</v>
      </c>
      <c r="AH4" s="2">
        <v>29</v>
      </c>
      <c r="AI4" s="2">
        <v>30</v>
      </c>
      <c r="AJ4" s="2">
        <v>31</v>
      </c>
      <c r="AK4" s="2">
        <v>32</v>
      </c>
      <c r="AL4" s="2">
        <v>33</v>
      </c>
      <c r="AM4" s="2">
        <v>34</v>
      </c>
      <c r="AN4" s="2">
        <v>35</v>
      </c>
      <c r="AO4" s="2">
        <v>36</v>
      </c>
      <c r="AP4" s="2">
        <v>3</v>
      </c>
      <c r="AQ4" s="2">
        <v>37</v>
      </c>
      <c r="AR4" s="2">
        <v>38</v>
      </c>
      <c r="AS4" s="2">
        <v>39</v>
      </c>
      <c r="AT4" s="2">
        <v>40</v>
      </c>
      <c r="AU4" s="2">
        <v>41</v>
      </c>
      <c r="AV4" s="2">
        <v>42</v>
      </c>
      <c r="AW4" s="2">
        <v>43</v>
      </c>
      <c r="AX4" s="2">
        <v>44</v>
      </c>
      <c r="AY4" s="2">
        <v>45</v>
      </c>
      <c r="AZ4" s="2">
        <v>46</v>
      </c>
      <c r="BA4" s="2">
        <v>47</v>
      </c>
      <c r="BB4" s="2">
        <v>48</v>
      </c>
      <c r="BC4" s="2">
        <v>4</v>
      </c>
      <c r="BD4" s="2">
        <v>49</v>
      </c>
      <c r="BE4" s="2">
        <v>50</v>
      </c>
      <c r="BF4" s="2">
        <v>51</v>
      </c>
      <c r="BG4" s="2">
        <v>52</v>
      </c>
      <c r="BH4" s="2">
        <v>53</v>
      </c>
      <c r="BI4" s="2">
        <v>54</v>
      </c>
      <c r="BJ4" s="2">
        <v>55</v>
      </c>
      <c r="BK4" s="2">
        <v>56</v>
      </c>
      <c r="BL4" s="2">
        <v>57</v>
      </c>
      <c r="BM4" s="2">
        <v>58</v>
      </c>
      <c r="BN4" s="2">
        <v>59</v>
      </c>
      <c r="BO4" s="2">
        <v>60</v>
      </c>
      <c r="BP4" s="2">
        <v>5</v>
      </c>
      <c r="BQ4" s="2">
        <v>61</v>
      </c>
      <c r="BR4" s="2">
        <v>62</v>
      </c>
      <c r="BS4" s="2">
        <v>63</v>
      </c>
      <c r="BT4" s="2">
        <v>64</v>
      </c>
      <c r="BU4" s="2">
        <v>65</v>
      </c>
      <c r="BV4" s="2">
        <v>66</v>
      </c>
      <c r="BW4" s="2">
        <v>67</v>
      </c>
      <c r="BX4" s="2">
        <v>68</v>
      </c>
      <c r="BY4" s="2">
        <v>69</v>
      </c>
      <c r="BZ4" s="2">
        <v>70</v>
      </c>
      <c r="CA4" s="2">
        <v>71</v>
      </c>
      <c r="CB4" s="2">
        <v>72</v>
      </c>
      <c r="CC4" s="2">
        <v>6</v>
      </c>
      <c r="CD4" s="2">
        <v>73</v>
      </c>
      <c r="CE4" s="2">
        <v>74</v>
      </c>
      <c r="CF4" s="2">
        <v>75</v>
      </c>
      <c r="CG4" s="2">
        <v>76</v>
      </c>
      <c r="CH4" s="2">
        <v>77</v>
      </c>
      <c r="CI4" s="2">
        <v>78</v>
      </c>
      <c r="CJ4" s="2">
        <v>79</v>
      </c>
      <c r="CK4" s="2">
        <v>80</v>
      </c>
      <c r="CL4" s="2">
        <v>81</v>
      </c>
      <c r="CM4" s="2">
        <v>82</v>
      </c>
      <c r="CN4" s="2">
        <v>83</v>
      </c>
      <c r="CO4" s="2">
        <v>84</v>
      </c>
      <c r="CP4" s="2">
        <v>7</v>
      </c>
    </row>
    <row r="5" spans="2:94" ht="15.6" hidden="1" x14ac:dyDescent="0.3">
      <c r="B5" s="63" t="s">
        <v>4</v>
      </c>
    </row>
    <row r="6" spans="2:94" hidden="1" x14ac:dyDescent="0.25">
      <c r="B6" s="59"/>
    </row>
    <row r="7" spans="2:94" s="59" customFormat="1" ht="15.6" x14ac:dyDescent="0.3">
      <c r="B7" s="63" t="s">
        <v>886</v>
      </c>
      <c r="D7" s="59">
        <f>+Ingresos!D4</f>
        <v>35958000</v>
      </c>
      <c r="E7" s="59">
        <f>+Ingresos!E4</f>
        <v>11986000</v>
      </c>
      <c r="F7" s="59">
        <f>+Ingresos!F4</f>
        <v>35958000</v>
      </c>
      <c r="G7" s="59">
        <f>+Ingresos!G4</f>
        <v>71916000</v>
      </c>
      <c r="H7" s="59">
        <f>+Ingresos!H4</f>
        <v>71916000</v>
      </c>
      <c r="I7" s="59">
        <f>+Ingresos!I4</f>
        <v>71916000</v>
      </c>
      <c r="J7" s="59">
        <f>+Ingresos!J4</f>
        <v>35958000</v>
      </c>
      <c r="K7" s="59">
        <f>+Ingresos!K4</f>
        <v>71916000</v>
      </c>
      <c r="L7" s="59">
        <f>+Ingresos!L4</f>
        <v>11986000</v>
      </c>
      <c r="M7" s="59">
        <f>+Ingresos!M4</f>
        <v>71916000</v>
      </c>
      <c r="N7" s="59">
        <f>+Ingresos!N4</f>
        <v>71916000</v>
      </c>
      <c r="O7" s="59">
        <f>+Ingresos!O4</f>
        <v>23972000</v>
      </c>
      <c r="P7" s="59">
        <f>SUM(D7:O7)</f>
        <v>587314000</v>
      </c>
      <c r="Q7" s="59">
        <f>+Ingresos!Q4</f>
        <v>40402408.800000004</v>
      </c>
      <c r="R7" s="59">
        <f>+Ingresos!R4</f>
        <v>13467469.600000003</v>
      </c>
      <c r="S7" s="59">
        <f>+Ingresos!S4</f>
        <v>40402408.800000004</v>
      </c>
      <c r="T7" s="59">
        <f>+Ingresos!T4</f>
        <v>80804817.600000009</v>
      </c>
      <c r="U7" s="59">
        <f>+Ingresos!U4</f>
        <v>80804817.600000009</v>
      </c>
      <c r="V7" s="59">
        <f>+Ingresos!V4</f>
        <v>80804817.600000009</v>
      </c>
      <c r="W7" s="59">
        <f>+Ingresos!W4</f>
        <v>40402408.800000004</v>
      </c>
      <c r="X7" s="59">
        <f>+Ingresos!X4</f>
        <v>80804817.600000009</v>
      </c>
      <c r="Y7" s="59">
        <f>+Ingresos!Y4</f>
        <v>13467469.600000003</v>
      </c>
      <c r="Z7" s="59">
        <f>+Ingresos!Z4</f>
        <v>80804817.600000009</v>
      </c>
      <c r="AA7" s="59">
        <f>+Ingresos!AA4</f>
        <v>80804817.600000009</v>
      </c>
      <c r="AB7" s="59">
        <f>+Ingresos!AB4</f>
        <v>26934939.200000007</v>
      </c>
      <c r="AC7" s="59">
        <f>SUM(Q7:AB7)</f>
        <v>659906010.40000021</v>
      </c>
      <c r="AD7" s="59">
        <f>+Ingresos!AD4</f>
        <v>46252677.594240017</v>
      </c>
      <c r="AE7" s="59">
        <f>+Ingresos!AE4</f>
        <v>15417559.198080007</v>
      </c>
      <c r="AF7" s="59">
        <f>+Ingresos!AF4</f>
        <v>46252677.594240017</v>
      </c>
      <c r="AG7" s="59">
        <f>+Ingresos!AG4</f>
        <v>92505355.188480034</v>
      </c>
      <c r="AH7" s="59">
        <f>+Ingresos!AH4</f>
        <v>92505355.188480034</v>
      </c>
      <c r="AI7" s="59">
        <f>+Ingresos!AI4</f>
        <v>92505355.188480034</v>
      </c>
      <c r="AJ7" s="59">
        <f>+Ingresos!AJ4</f>
        <v>46252677.594240017</v>
      </c>
      <c r="AK7" s="59">
        <f>+Ingresos!AK4</f>
        <v>92505355.188480034</v>
      </c>
      <c r="AL7" s="59">
        <f>+Ingresos!AL4</f>
        <v>15417559.198080007</v>
      </c>
      <c r="AM7" s="59">
        <f>+Ingresos!AM4</f>
        <v>92505355.188480034</v>
      </c>
      <c r="AN7" s="59">
        <f>+Ingresos!AN4</f>
        <v>92505355.188480034</v>
      </c>
      <c r="AO7" s="59">
        <f>+Ingresos!AO4</f>
        <v>30835118.396160014</v>
      </c>
      <c r="AP7" s="59">
        <f>SUM(AD7:AO7)</f>
        <v>755460400.70592022</v>
      </c>
      <c r="AQ7" s="59">
        <f>+Ingresos!AQ4</f>
        <v>54470558.221136667</v>
      </c>
      <c r="AR7" s="59">
        <f>+Ingresos!AR4</f>
        <v>18156852.740378886</v>
      </c>
      <c r="AS7" s="59">
        <f>+Ingresos!AS4</f>
        <v>54470558.221136667</v>
      </c>
      <c r="AT7" s="59">
        <f>+Ingresos!AT4</f>
        <v>108941116.44227333</v>
      </c>
      <c r="AU7" s="59">
        <f>+Ingresos!AU4</f>
        <v>108941116.44227333</v>
      </c>
      <c r="AV7" s="59">
        <f>+Ingresos!AV4</f>
        <v>108941116.44227333</v>
      </c>
      <c r="AW7" s="59">
        <f>+Ingresos!AW4</f>
        <v>54470558.221136667</v>
      </c>
      <c r="AX7" s="59">
        <f>+Ingresos!AX4</f>
        <v>108941116.44227333</v>
      </c>
      <c r="AY7" s="59">
        <f>+Ingresos!AY4</f>
        <v>18156852.740378886</v>
      </c>
      <c r="AZ7" s="59">
        <f>+Ingresos!AZ4</f>
        <v>108941116.44227333</v>
      </c>
      <c r="BA7" s="59">
        <f>+Ingresos!BA4</f>
        <v>108941116.44227333</v>
      </c>
      <c r="BB7" s="59">
        <f>+Ingresos!BB4</f>
        <v>36313705.480757773</v>
      </c>
      <c r="BC7" s="59">
        <f>SUM(AQ7:BB7)</f>
        <v>889685784.27856565</v>
      </c>
      <c r="BD7" s="59">
        <f>+Ingresos!BD4</f>
        <v>62883105.33931458</v>
      </c>
      <c r="BE7" s="59">
        <f>+Ingresos!BE4</f>
        <v>20961035.113104865</v>
      </c>
      <c r="BF7" s="59">
        <f>+Ingresos!BF4</f>
        <v>62883105.33931458</v>
      </c>
      <c r="BG7" s="59">
        <f>+Ingresos!BG4</f>
        <v>125766210.67862916</v>
      </c>
      <c r="BH7" s="59">
        <f>+Ingresos!BH4</f>
        <v>125766210.67862916</v>
      </c>
      <c r="BI7" s="59">
        <f>+Ingresos!BI4</f>
        <v>125766210.67862916</v>
      </c>
      <c r="BJ7" s="59">
        <f>+Ingresos!BJ4</f>
        <v>62883105.33931458</v>
      </c>
      <c r="BK7" s="59">
        <f>+Ingresos!BK4</f>
        <v>125766210.67862916</v>
      </c>
      <c r="BL7" s="59">
        <f>+Ingresos!BL4</f>
        <v>20961035.113104865</v>
      </c>
      <c r="BM7" s="59">
        <f>+Ingresos!BM4</f>
        <v>125766210.67862916</v>
      </c>
      <c r="BN7" s="59">
        <f>+Ingresos!BN4</f>
        <v>125766210.67862916</v>
      </c>
      <c r="BO7" s="59">
        <f>+Ingresos!BO4</f>
        <v>41922070.22620973</v>
      </c>
      <c r="BP7" s="59">
        <f>SUM(BD7:BO7)</f>
        <v>1027090720.5421382</v>
      </c>
      <c r="BQ7" s="59">
        <f>+Ingresos!BQ4</f>
        <v>73321700.825640798</v>
      </c>
      <c r="BR7" s="59">
        <f>+Ingresos!BR4</f>
        <v>24440566.941880271</v>
      </c>
      <c r="BS7" s="59">
        <f>+Ingresos!BS4</f>
        <v>73321700.825640798</v>
      </c>
      <c r="BT7" s="59">
        <f>+Ingresos!BT4</f>
        <v>146643401.6512816</v>
      </c>
      <c r="BU7" s="59">
        <f>+Ingresos!BU4</f>
        <v>146643401.6512816</v>
      </c>
      <c r="BV7" s="59">
        <f>+Ingresos!BV4</f>
        <v>146643401.6512816</v>
      </c>
      <c r="BW7" s="59">
        <f>+Ingresos!BW4</f>
        <v>73321700.825640798</v>
      </c>
      <c r="BX7" s="59">
        <f>+Ingresos!BX4</f>
        <v>146643401.6512816</v>
      </c>
      <c r="BY7" s="59">
        <f>+Ingresos!BY4</f>
        <v>24440566.941880271</v>
      </c>
      <c r="BZ7" s="59">
        <f>+Ingresos!BZ4</f>
        <v>146643401.6512816</v>
      </c>
      <c r="CA7" s="59">
        <f>+Ingresos!CA4</f>
        <v>146643401.6512816</v>
      </c>
      <c r="CB7" s="59">
        <f>+Ingresos!CB4</f>
        <v>48881133.883760542</v>
      </c>
      <c r="CC7" s="59">
        <f>SUM(BQ7:CB7)</f>
        <v>1197587780.152133</v>
      </c>
      <c r="CD7" s="59">
        <f>+Ingresos!CD4</f>
        <v>85493103.162697196</v>
      </c>
      <c r="CE7" s="59">
        <f>+Ingresos!CE4</f>
        <v>28497701.054232411</v>
      </c>
      <c r="CF7" s="59">
        <f>+Ingresos!CF4</f>
        <v>85493103.162697196</v>
      </c>
      <c r="CG7" s="59">
        <f>+Ingresos!CG4</f>
        <v>170986206.32539439</v>
      </c>
      <c r="CH7" s="59">
        <f>+Ingresos!CH4</f>
        <v>170986206.32539439</v>
      </c>
      <c r="CI7" s="59">
        <f>+Ingresos!CI4</f>
        <v>170986206.32539439</v>
      </c>
      <c r="CJ7" s="59">
        <f>+Ingresos!CJ4</f>
        <v>85493103.162697196</v>
      </c>
      <c r="CK7" s="59">
        <f>+Ingresos!CK4</f>
        <v>170986206.32539439</v>
      </c>
      <c r="CL7" s="59">
        <f>+Ingresos!CL4</f>
        <v>28497701.054232411</v>
      </c>
      <c r="CM7" s="59">
        <f>+Ingresos!CM4</f>
        <v>170986206.32539439</v>
      </c>
      <c r="CN7" s="59">
        <f>+Ingresos!CN4</f>
        <v>170986206.32539439</v>
      </c>
      <c r="CO7" s="59">
        <f>+Ingresos!CO4</f>
        <v>56995402.108464822</v>
      </c>
      <c r="CP7" s="59">
        <f>SUM(CD7:CO7)</f>
        <v>1396387351.6573875</v>
      </c>
    </row>
    <row r="8" spans="2:94" x14ac:dyDescent="0.25">
      <c r="B8" s="64"/>
      <c r="R8" s="59"/>
    </row>
    <row r="9" spans="2:94" ht="13.5" customHeight="1" x14ac:dyDescent="0.3">
      <c r="B9" s="65" t="s">
        <v>6</v>
      </c>
      <c r="R9" s="59"/>
    </row>
    <row r="10" spans="2:94" outlineLevel="2" x14ac:dyDescent="0.25">
      <c r="B10" s="53" t="s">
        <v>40</v>
      </c>
      <c r="D10" s="27">
        <f>+Ingresos!D23*Parámetros!$C$16</f>
        <v>13968000</v>
      </c>
      <c r="E10" s="27">
        <f>+Ingresos!E23*Parámetros!$C$16</f>
        <v>4656000</v>
      </c>
      <c r="F10" s="27">
        <f>+Ingresos!F23*Parámetros!$C$16</f>
        <v>13968000</v>
      </c>
      <c r="G10" s="27">
        <f>+Ingresos!G23*Parámetros!$C$16</f>
        <v>27936000</v>
      </c>
      <c r="H10" s="27">
        <f>+Ingresos!H23*Parámetros!$C$16</f>
        <v>27936000</v>
      </c>
      <c r="I10" s="27">
        <f>+Ingresos!I23*Parámetros!$C$16</f>
        <v>27936000</v>
      </c>
      <c r="J10" s="27">
        <f>+Ingresos!J23*Parámetros!$C$16</f>
        <v>13968000</v>
      </c>
      <c r="K10" s="27">
        <f>+Ingresos!K23*Parámetros!$C$16</f>
        <v>27936000</v>
      </c>
      <c r="L10" s="27">
        <f>+Ingresos!L23*Parámetros!$C$16</f>
        <v>4656000</v>
      </c>
      <c r="M10" s="27">
        <f>+Ingresos!M23*Parámetros!$C$16</f>
        <v>27936000</v>
      </c>
      <c r="N10" s="27">
        <f>+Ingresos!N23*Parámetros!$C$16</f>
        <v>27936000</v>
      </c>
      <c r="O10" s="27">
        <f>+Ingresos!O23*Parámetros!$C$16</f>
        <v>9312000</v>
      </c>
      <c r="P10" s="59">
        <f t="shared" ref="P10:P14" si="0">SUM(D10:O10)</f>
        <v>228144000</v>
      </c>
      <c r="Q10" s="58">
        <f>+Ingresos!Q23*Parámetros!$D$16</f>
        <v>15694444.800000004</v>
      </c>
      <c r="R10" s="58">
        <f>+Ingresos!R23*Parámetros!$D$16</f>
        <v>5231481.6000000015</v>
      </c>
      <c r="S10" s="58">
        <f>+Ingresos!S23*Parámetros!$D$16</f>
        <v>15694444.800000004</v>
      </c>
      <c r="T10" s="58">
        <f>+Ingresos!T23*Parámetros!$D$16</f>
        <v>31388889.600000009</v>
      </c>
      <c r="U10" s="58">
        <f>+Ingresos!U23*Parámetros!$D$16</f>
        <v>31388889.600000009</v>
      </c>
      <c r="V10" s="58">
        <f>+Ingresos!V23*Parámetros!$D$16</f>
        <v>31388889.600000009</v>
      </c>
      <c r="W10" s="58">
        <f>+Ingresos!W23*Parámetros!$D$16</f>
        <v>15694444.800000004</v>
      </c>
      <c r="X10" s="58">
        <f>+Ingresos!X23*Parámetros!$D$16</f>
        <v>31388889.600000009</v>
      </c>
      <c r="Y10" s="58">
        <f>+Ingresos!Y23*Parámetros!$D$16</f>
        <v>5231481.6000000015</v>
      </c>
      <c r="Z10" s="58">
        <f>+Ingresos!Z23*Parámetros!$D$16</f>
        <v>31388889.600000009</v>
      </c>
      <c r="AA10" s="58">
        <f>+Ingresos!AA23*Parámetros!$D$16</f>
        <v>31388889.600000009</v>
      </c>
      <c r="AB10" s="58">
        <f>+Ingresos!AB23*Parámetros!$D$16</f>
        <v>10462963.200000003</v>
      </c>
      <c r="AC10" s="59">
        <f t="shared" ref="AC10:AC14" si="1">SUM(Q10:AB10)</f>
        <v>256342598.40000004</v>
      </c>
      <c r="AD10" s="58">
        <f>+Ingresos!AD23*Parámetros!$E$16</f>
        <v>17967000.407040007</v>
      </c>
      <c r="AE10" s="58">
        <f>+Ingresos!AE23*Parámetros!$E$16</f>
        <v>5989000.1356800031</v>
      </c>
      <c r="AF10" s="58">
        <f>+Ingresos!AF23*Parámetros!$E$16</f>
        <v>17967000.407040007</v>
      </c>
      <c r="AG10" s="58">
        <f>+Ingresos!AG23*Parámetros!$E$16</f>
        <v>35934000.814080015</v>
      </c>
      <c r="AH10" s="58">
        <f>+Ingresos!AH23*Parámetros!$E$16</f>
        <v>35934000.814080015</v>
      </c>
      <c r="AI10" s="58">
        <f>+Ingresos!AI23*Parámetros!$E$16</f>
        <v>35934000.814080015</v>
      </c>
      <c r="AJ10" s="58">
        <f>+Ingresos!AJ23*Parámetros!$E$16</f>
        <v>17967000.407040007</v>
      </c>
      <c r="AK10" s="58">
        <f>+Ingresos!AK23*Parámetros!$E$16</f>
        <v>35934000.814080015</v>
      </c>
      <c r="AL10" s="58">
        <f>+Ingresos!AL23*Parámetros!$E$16</f>
        <v>5989000.1356800031</v>
      </c>
      <c r="AM10" s="58">
        <f>+Ingresos!AM23*Parámetros!$E$16</f>
        <v>35934000.814080015</v>
      </c>
      <c r="AN10" s="58">
        <f>+Ingresos!AN23*Parámetros!$E$16</f>
        <v>35934000.814080015</v>
      </c>
      <c r="AO10" s="58">
        <f>+Ingresos!AO23*Parámetros!$E$16</f>
        <v>11978000.271360006</v>
      </c>
      <c r="AP10" s="59">
        <f t="shared" ref="AP10:AP14" si="2">SUM(AD10:AO10)</f>
        <v>293461006.64832008</v>
      </c>
      <c r="AQ10" s="58">
        <f>+Ingresos!AQ23*Parámetros!$F$16</f>
        <v>21165496.933109771</v>
      </c>
      <c r="AR10" s="58">
        <f>+Ingresos!AR23*Parámetros!$F$16</f>
        <v>7055165.6443699226</v>
      </c>
      <c r="AS10" s="58">
        <f>+Ingresos!AS23*Parámetros!$F$16</f>
        <v>21165496.933109771</v>
      </c>
      <c r="AT10" s="58">
        <f>+Ingresos!AT23*Parámetros!$F$16</f>
        <v>42330993.866219543</v>
      </c>
      <c r="AU10" s="58">
        <f>+Ingresos!AU23*Parámetros!$F$16</f>
        <v>42330993.866219543</v>
      </c>
      <c r="AV10" s="58">
        <f>+Ingresos!AV23*Parámetros!$F$16</f>
        <v>42330993.866219543</v>
      </c>
      <c r="AW10" s="58">
        <f>+Ingresos!AW23*Parámetros!$F$16</f>
        <v>21165496.933109771</v>
      </c>
      <c r="AX10" s="58">
        <f>+Ingresos!AX23*Parámetros!$F$16</f>
        <v>42330993.866219543</v>
      </c>
      <c r="AY10" s="58">
        <f>+Ingresos!AY23*Parámetros!$F$16</f>
        <v>7055165.6443699226</v>
      </c>
      <c r="AZ10" s="58">
        <f>+Ingresos!AZ23*Parámetros!$F$16</f>
        <v>42330993.866219543</v>
      </c>
      <c r="BA10" s="58">
        <f>+Ingresos!BA23*Parámetros!$F$16</f>
        <v>42330993.866219543</v>
      </c>
      <c r="BB10" s="58">
        <f>+Ingresos!BB23*Parámetros!$F$16</f>
        <v>14110331.288739845</v>
      </c>
      <c r="BC10" s="59">
        <f t="shared" ref="BC10:BC14" si="3">SUM(AQ10:BB10)</f>
        <v>345703116.57412624</v>
      </c>
      <c r="BD10" s="58">
        <f>+Ingresos!BD23*Parámetros!$G$16</f>
        <v>24427143.205393687</v>
      </c>
      <c r="BE10" s="58">
        <f>+Ingresos!BE23*Parámetros!$G$16</f>
        <v>8142381.0684645623</v>
      </c>
      <c r="BF10" s="58">
        <f>+Ingresos!BF23*Parámetros!$G$16</f>
        <v>24427143.205393687</v>
      </c>
      <c r="BG10" s="58">
        <f>+Ingresos!BG23*Parámetros!$G$16</f>
        <v>48854286.410787374</v>
      </c>
      <c r="BH10" s="58">
        <f>+Ingresos!BH23*Parámetros!$G$16</f>
        <v>48854286.410787374</v>
      </c>
      <c r="BI10" s="58">
        <f>+Ingresos!BI23*Parámetros!$G$16</f>
        <v>48854286.410787374</v>
      </c>
      <c r="BJ10" s="58">
        <f>+Ingresos!BJ23*Parámetros!$G$16</f>
        <v>24427143.205393687</v>
      </c>
      <c r="BK10" s="58">
        <f>+Ingresos!BK23*Parámetros!$G$16</f>
        <v>48854286.410787374</v>
      </c>
      <c r="BL10" s="58">
        <f>+Ingresos!BL23*Parámetros!$G$16</f>
        <v>8142381.0684645623</v>
      </c>
      <c r="BM10" s="58">
        <f>+Ingresos!BM23*Parámetros!$G$16</f>
        <v>48854286.410787374</v>
      </c>
      <c r="BN10" s="58">
        <f>+Ingresos!BN23*Parámetros!$G$16</f>
        <v>48854286.410787374</v>
      </c>
      <c r="BO10" s="58">
        <f>+Ingresos!BO23*Parámetros!$G$16</f>
        <v>16284762.136929125</v>
      </c>
      <c r="BP10" s="59">
        <f t="shared" ref="BP10:BP14" si="4">SUM(BD10:BO10)</f>
        <v>398976672.35476363</v>
      </c>
      <c r="BQ10" s="58">
        <f>+Ingresos!BQ23*Parámetros!$G$16</f>
        <v>28482048.977489039</v>
      </c>
      <c r="BR10" s="58">
        <f>+Ingresos!BR23*Parámetros!$G$16</f>
        <v>9494016.325829681</v>
      </c>
      <c r="BS10" s="58">
        <f>+Ingresos!BS23*Parámetros!$G$16</f>
        <v>28482048.977489039</v>
      </c>
      <c r="BT10" s="58">
        <f>+Ingresos!BT23*Parámetros!$G$16</f>
        <v>56964097.954978079</v>
      </c>
      <c r="BU10" s="58">
        <f>+Ingresos!BU23*Parámetros!$G$16</f>
        <v>56964097.954978079</v>
      </c>
      <c r="BV10" s="58">
        <f>+Ingresos!BV23*Parámetros!$G$16</f>
        <v>56964097.954978079</v>
      </c>
      <c r="BW10" s="58">
        <f>+Ingresos!BW23*Parámetros!$G$16</f>
        <v>28482048.977489039</v>
      </c>
      <c r="BX10" s="58">
        <f>+Ingresos!BX23*Parámetros!$G$16</f>
        <v>56964097.954978079</v>
      </c>
      <c r="BY10" s="58">
        <f>+Ingresos!BY23*Parámetros!$G$16</f>
        <v>9494016.325829681</v>
      </c>
      <c r="BZ10" s="58">
        <f>+Ingresos!BZ23*Parámetros!$G$16</f>
        <v>56964097.954978079</v>
      </c>
      <c r="CA10" s="58">
        <f>+Ingresos!CA23*Parámetros!$G$16</f>
        <v>56964097.954978079</v>
      </c>
      <c r="CB10" s="58">
        <f>+Ingresos!CB23*Parámetros!$G$16</f>
        <v>18988032.651659362</v>
      </c>
      <c r="CC10" s="59">
        <f t="shared" ref="CC10:CC14" si="5">SUM(BQ10:CB10)</f>
        <v>465206799.96565437</v>
      </c>
      <c r="CD10" s="58">
        <f>+Ingresos!CD23*Parámetros!$G$16</f>
        <v>33210069.107752223</v>
      </c>
      <c r="CE10" s="58">
        <f>+Ingresos!CE23*Parámetros!$G$16</f>
        <v>11070023.035917414</v>
      </c>
      <c r="CF10" s="58">
        <f>+Ingresos!CF23*Parámetros!$G$16</f>
        <v>33210069.107752223</v>
      </c>
      <c r="CG10" s="58">
        <f>+Ingresos!CG23*Parámetros!$G$16</f>
        <v>66420138.215504445</v>
      </c>
      <c r="CH10" s="58">
        <f>+Ingresos!CH23*Parámetros!$G$16</f>
        <v>66420138.215504445</v>
      </c>
      <c r="CI10" s="58">
        <f>+Ingresos!CI23*Parámetros!$G$16</f>
        <v>66420138.215504445</v>
      </c>
      <c r="CJ10" s="58">
        <f>+Ingresos!CJ23*Parámetros!$G$16</f>
        <v>33210069.107752223</v>
      </c>
      <c r="CK10" s="58">
        <f>+Ingresos!CK23*Parámetros!$G$16</f>
        <v>66420138.215504445</v>
      </c>
      <c r="CL10" s="58">
        <f>+Ingresos!CL23*Parámetros!$G$16</f>
        <v>11070023.035917414</v>
      </c>
      <c r="CM10" s="58">
        <f>+Ingresos!CM23*Parámetros!$G$16</f>
        <v>66420138.215504445</v>
      </c>
      <c r="CN10" s="58">
        <f>+Ingresos!CN23*Parámetros!$G$16</f>
        <v>66420138.215504445</v>
      </c>
      <c r="CO10" s="58">
        <f>+Ingresos!CO23*Parámetros!$G$16</f>
        <v>22140046.071834829</v>
      </c>
      <c r="CP10" s="59">
        <f t="shared" ref="CP10:CP14" si="6">SUM(CD10:CO10)</f>
        <v>542431128.75995302</v>
      </c>
    </row>
    <row r="11" spans="2:94" outlineLevel="2" x14ac:dyDescent="0.25">
      <c r="B11" s="53" t="s">
        <v>41</v>
      </c>
      <c r="D11" s="27">
        <f>+Ingresos!D32*Parámetros!$C$17</f>
        <v>336000</v>
      </c>
      <c r="E11" s="27">
        <f>+Ingresos!E32*Parámetros!$C$17</f>
        <v>112000</v>
      </c>
      <c r="F11" s="27">
        <f>+Ingresos!F32*Parámetros!$C$17</f>
        <v>336000</v>
      </c>
      <c r="G11" s="27">
        <f>+Ingresos!G32*Parámetros!$C$17</f>
        <v>672000</v>
      </c>
      <c r="H11" s="27">
        <f>+Ingresos!H32*Parámetros!$C$17</f>
        <v>672000</v>
      </c>
      <c r="I11" s="27">
        <f>+Ingresos!I32*Parámetros!$C$17</f>
        <v>672000</v>
      </c>
      <c r="J11" s="27">
        <f>+Ingresos!J32*Parámetros!$C$17</f>
        <v>336000</v>
      </c>
      <c r="K11" s="27">
        <f>+Ingresos!K32*Parámetros!$C$17</f>
        <v>672000</v>
      </c>
      <c r="L11" s="27">
        <f>+Ingresos!L32*Parámetros!$C$17</f>
        <v>112000</v>
      </c>
      <c r="M11" s="27">
        <f>+Ingresos!M32*Parámetros!$C$17</f>
        <v>672000</v>
      </c>
      <c r="N11" s="27">
        <f>+Ingresos!N32*Parámetros!$C$17</f>
        <v>672000</v>
      </c>
      <c r="O11" s="27">
        <f>+Ingresos!O32*Parámetros!$C$17</f>
        <v>224000</v>
      </c>
      <c r="P11" s="59">
        <f t="shared" si="0"/>
        <v>5488000</v>
      </c>
      <c r="Q11" s="58">
        <f>+Ingresos!Q32*Parámetros!$D$17</f>
        <v>377529.59999999998</v>
      </c>
      <c r="R11" s="58">
        <f>+Ingresos!R32*Parámetros!$D$17</f>
        <v>125843.20000000003</v>
      </c>
      <c r="S11" s="58">
        <f>+Ingresos!S32*Parámetros!$D$17</f>
        <v>377529.59999999998</v>
      </c>
      <c r="T11" s="58">
        <f>+Ingresos!T32*Parámetros!$D$17</f>
        <v>755059.19999999995</v>
      </c>
      <c r="U11" s="58">
        <f>+Ingresos!U32*Parámetros!$D$17</f>
        <v>755059.19999999995</v>
      </c>
      <c r="V11" s="58">
        <f>+Ingresos!V32*Parámetros!$D$17</f>
        <v>755059.19999999995</v>
      </c>
      <c r="W11" s="58">
        <f>+Ingresos!W32*Parámetros!$D$17</f>
        <v>377529.59999999998</v>
      </c>
      <c r="X11" s="58">
        <f>+Ingresos!X32*Parámetros!$D$17</f>
        <v>755059.19999999995</v>
      </c>
      <c r="Y11" s="58">
        <f>+Ingresos!Y32*Parámetros!$D$17</f>
        <v>125843.20000000003</v>
      </c>
      <c r="Z11" s="58">
        <f>+Ingresos!Z32*Parámetros!$D$17</f>
        <v>755059.19999999995</v>
      </c>
      <c r="AA11" s="58">
        <f>+Ingresos!AA32*Parámetros!$D$17</f>
        <v>755059.19999999995</v>
      </c>
      <c r="AB11" s="58">
        <f>+Ingresos!AB32*Parámetros!$D$17</f>
        <v>251686.40000000005</v>
      </c>
      <c r="AC11" s="59">
        <f t="shared" si="1"/>
        <v>6166316.8000000007</v>
      </c>
      <c r="AD11" s="58">
        <f>+Ingresos!AD32*Parámetros!$E$17</f>
        <v>432195.88608000008</v>
      </c>
      <c r="AE11" s="58">
        <f>+Ingresos!AE32*Parámetros!$E$17</f>
        <v>144065.29536000005</v>
      </c>
      <c r="AF11" s="58">
        <f>+Ingresos!AF32*Parámetros!$E$17</f>
        <v>432195.88608000008</v>
      </c>
      <c r="AG11" s="58">
        <f>+Ingresos!AG32*Parámetros!$E$17</f>
        <v>864391.77216000017</v>
      </c>
      <c r="AH11" s="58">
        <f>+Ingresos!AH32*Parámetros!$E$17</f>
        <v>864391.77216000017</v>
      </c>
      <c r="AI11" s="58">
        <f>+Ingresos!AI32*Parámetros!$E$17</f>
        <v>864391.77216000017</v>
      </c>
      <c r="AJ11" s="58">
        <f>+Ingresos!AJ32*Parámetros!$E$17</f>
        <v>432195.88608000008</v>
      </c>
      <c r="AK11" s="58">
        <f>+Ingresos!AK32*Parámetros!$E$17</f>
        <v>864391.77216000017</v>
      </c>
      <c r="AL11" s="58">
        <f>+Ingresos!AL32*Parámetros!$E$17</f>
        <v>144065.29536000005</v>
      </c>
      <c r="AM11" s="58">
        <f>+Ingresos!AM32*Parámetros!$E$17</f>
        <v>864391.77216000017</v>
      </c>
      <c r="AN11" s="58">
        <f>+Ingresos!AN32*Parámetros!$E$17</f>
        <v>864391.77216000017</v>
      </c>
      <c r="AO11" s="58">
        <f>+Ingresos!AO32*Parámetros!$E$17</f>
        <v>288130.59072000009</v>
      </c>
      <c r="AP11" s="59">
        <f t="shared" si="2"/>
        <v>7059199.4726400012</v>
      </c>
      <c r="AQ11" s="58">
        <f>+Ingresos!AQ32*Parámetros!$F$17</f>
        <v>503940.40316928015</v>
      </c>
      <c r="AR11" s="58">
        <f>+Ingresos!AR32*Parámetros!$F$17</f>
        <v>167980.13438976003</v>
      </c>
      <c r="AS11" s="58">
        <f>+Ingresos!AS32*Parámetros!$F$17</f>
        <v>503940.40316928015</v>
      </c>
      <c r="AT11" s="58">
        <f>+Ingresos!AT32*Parámetros!$F$17</f>
        <v>1007880.8063385603</v>
      </c>
      <c r="AU11" s="58">
        <f>+Ingresos!AU32*Parámetros!$F$17</f>
        <v>1007880.8063385603</v>
      </c>
      <c r="AV11" s="58">
        <f>+Ingresos!AV32*Parámetros!$F$17</f>
        <v>1007880.8063385603</v>
      </c>
      <c r="AW11" s="58">
        <f>+Ingresos!AW32*Parámetros!$F$17</f>
        <v>503940.40316928015</v>
      </c>
      <c r="AX11" s="58">
        <f>+Ingresos!AX32*Parámetros!$F$17</f>
        <v>1007880.8063385603</v>
      </c>
      <c r="AY11" s="58">
        <f>+Ingresos!AY32*Parámetros!$F$17</f>
        <v>167980.13438976003</v>
      </c>
      <c r="AZ11" s="58">
        <f>+Ingresos!AZ32*Parámetros!$F$17</f>
        <v>1007880.8063385603</v>
      </c>
      <c r="BA11" s="58">
        <f>+Ingresos!BA32*Parámetros!$F$17</f>
        <v>1007880.8063385603</v>
      </c>
      <c r="BB11" s="58">
        <f>+Ingresos!BB32*Parámetros!$F$17</f>
        <v>335960.26877952006</v>
      </c>
      <c r="BC11" s="59">
        <f t="shared" si="3"/>
        <v>8231026.5850982405</v>
      </c>
      <c r="BD11" s="58">
        <f>+Ingresos!BD32*Parámetros!$G$17</f>
        <v>587594.51009538071</v>
      </c>
      <c r="BE11" s="58">
        <f>+Ingresos!BE32*Parámetros!$G$17</f>
        <v>195864.83669846025</v>
      </c>
      <c r="BF11" s="58">
        <f>+Ingresos!BF32*Parámetros!$G$17</f>
        <v>587594.51009538071</v>
      </c>
      <c r="BG11" s="58">
        <f>+Ingresos!BG32*Parámetros!$G$17</f>
        <v>1175189.0201907614</v>
      </c>
      <c r="BH11" s="58">
        <f>+Ingresos!BH32*Parámetros!$G$17</f>
        <v>1175189.0201907614</v>
      </c>
      <c r="BI11" s="58">
        <f>+Ingresos!BI32*Parámetros!$G$17</f>
        <v>1175189.0201907614</v>
      </c>
      <c r="BJ11" s="58">
        <f>+Ingresos!BJ32*Parámetros!$G$17</f>
        <v>587594.51009538071</v>
      </c>
      <c r="BK11" s="58">
        <f>+Ingresos!BK32*Parámetros!$G$17</f>
        <v>1175189.0201907614</v>
      </c>
      <c r="BL11" s="58">
        <f>+Ingresos!BL32*Parámetros!$G$17</f>
        <v>195864.83669846025</v>
      </c>
      <c r="BM11" s="58">
        <f>+Ingresos!BM32*Parámetros!$G$17</f>
        <v>1175189.0201907614</v>
      </c>
      <c r="BN11" s="58">
        <f>+Ingresos!BN32*Parámetros!$G$17</f>
        <v>1175189.0201907614</v>
      </c>
      <c r="BO11" s="58">
        <f>+Ingresos!BO32*Parámetros!$G$17</f>
        <v>391729.67339692049</v>
      </c>
      <c r="BP11" s="59">
        <f t="shared" si="4"/>
        <v>9597376.9982245527</v>
      </c>
      <c r="BQ11" s="58">
        <f>+Ingresos!BQ32*Parámetros!$G$17</f>
        <v>685135.19877121376</v>
      </c>
      <c r="BR11" s="58">
        <f>+Ingresos!BR32*Parámetros!$G$17</f>
        <v>228378.39959040465</v>
      </c>
      <c r="BS11" s="58">
        <f>+Ingresos!BS32*Parámetros!$G$17</f>
        <v>685135.19877121376</v>
      </c>
      <c r="BT11" s="58">
        <f>+Ingresos!BT32*Parámetros!$G$17</f>
        <v>1370270.3975424275</v>
      </c>
      <c r="BU11" s="58">
        <f>+Ingresos!BU32*Parámetros!$G$17</f>
        <v>1370270.3975424275</v>
      </c>
      <c r="BV11" s="58">
        <f>+Ingresos!BV32*Parámetros!$G$17</f>
        <v>1370270.3975424275</v>
      </c>
      <c r="BW11" s="58">
        <f>+Ingresos!BW32*Parámetros!$G$17</f>
        <v>685135.19877121376</v>
      </c>
      <c r="BX11" s="58">
        <f>+Ingresos!BX32*Parámetros!$G$17</f>
        <v>1370270.3975424275</v>
      </c>
      <c r="BY11" s="58">
        <f>+Ingresos!BY32*Parámetros!$G$17</f>
        <v>228378.39959040465</v>
      </c>
      <c r="BZ11" s="58">
        <f>+Ingresos!BZ32*Parámetros!$G$17</f>
        <v>1370270.3975424275</v>
      </c>
      <c r="CA11" s="58">
        <f>+Ingresos!CA32*Parámetros!$G$17</f>
        <v>1370270.3975424275</v>
      </c>
      <c r="CB11" s="58">
        <f>+Ingresos!CB32*Parámetros!$G$17</f>
        <v>456756.79918080929</v>
      </c>
      <c r="CC11" s="59">
        <f t="shared" si="5"/>
        <v>11190541.579929825</v>
      </c>
      <c r="CD11" s="58">
        <f>+Ingresos!CD32*Parámetros!$G$17</f>
        <v>798867.64176723559</v>
      </c>
      <c r="CE11" s="58">
        <f>+Ingresos!CE32*Parámetros!$G$17</f>
        <v>266289.21392241196</v>
      </c>
      <c r="CF11" s="58">
        <f>+Ingresos!CF32*Parámetros!$G$17</f>
        <v>798867.64176723559</v>
      </c>
      <c r="CG11" s="58">
        <f>+Ingresos!CG32*Parámetros!$G$17</f>
        <v>1597735.2835344712</v>
      </c>
      <c r="CH11" s="58">
        <f>+Ingresos!CH32*Parámetros!$G$17</f>
        <v>1597735.2835344712</v>
      </c>
      <c r="CI11" s="58">
        <f>+Ingresos!CI32*Parámetros!$G$17</f>
        <v>1597735.2835344712</v>
      </c>
      <c r="CJ11" s="58">
        <f>+Ingresos!CJ32*Parámetros!$G$17</f>
        <v>798867.64176723559</v>
      </c>
      <c r="CK11" s="58">
        <f>+Ingresos!CK32*Parámetros!$G$17</f>
        <v>1597735.2835344712</v>
      </c>
      <c r="CL11" s="58">
        <f>+Ingresos!CL32*Parámetros!$G$17</f>
        <v>266289.21392241196</v>
      </c>
      <c r="CM11" s="58">
        <f>+Ingresos!CM32*Parámetros!$G$17</f>
        <v>1597735.2835344712</v>
      </c>
      <c r="CN11" s="58">
        <f>+Ingresos!CN32*Parámetros!$G$17</f>
        <v>1597735.2835344712</v>
      </c>
      <c r="CO11" s="58">
        <f>+Ingresos!CO32*Parámetros!$G$17</f>
        <v>532578.42784482392</v>
      </c>
      <c r="CP11" s="59">
        <f t="shared" si="6"/>
        <v>13048171.482198181</v>
      </c>
    </row>
    <row r="12" spans="2:94" outlineLevel="2" x14ac:dyDescent="0.25">
      <c r="B12" s="53" t="s">
        <v>43</v>
      </c>
      <c r="D12" s="27">
        <f>+Ingresos!D36*Parámetros!$C$18</f>
        <v>251999.99999999997</v>
      </c>
      <c r="E12" s="27">
        <f>+Ingresos!E36*Parámetros!$C$18</f>
        <v>84000</v>
      </c>
      <c r="F12" s="27">
        <f>+Ingresos!F36*Parámetros!$C$18</f>
        <v>251999.99999999997</v>
      </c>
      <c r="G12" s="27">
        <f>+Ingresos!G36*Parámetros!$C$18</f>
        <v>503999.99999999994</v>
      </c>
      <c r="H12" s="27">
        <f>+Ingresos!H36*Parámetros!$C$18</f>
        <v>503999.99999999994</v>
      </c>
      <c r="I12" s="27">
        <f>+Ingresos!I36*Parámetros!$C$18</f>
        <v>503999.99999999994</v>
      </c>
      <c r="J12" s="27">
        <f>+Ingresos!J36*Parámetros!$C$18</f>
        <v>251999.99999999997</v>
      </c>
      <c r="K12" s="27">
        <f>+Ingresos!K36*Parámetros!$C$18</f>
        <v>503999.99999999994</v>
      </c>
      <c r="L12" s="27">
        <f>+Ingresos!L36*Parámetros!$C$18</f>
        <v>84000</v>
      </c>
      <c r="M12" s="27">
        <f>+Ingresos!M36*Parámetros!$C$18</f>
        <v>503999.99999999994</v>
      </c>
      <c r="N12" s="27">
        <f>+Ingresos!N36*Parámetros!$C$18</f>
        <v>503999.99999999994</v>
      </c>
      <c r="O12" s="27">
        <f>+Ingresos!O36*Parámetros!$C$18</f>
        <v>168000</v>
      </c>
      <c r="P12" s="59">
        <f t="shared" si="0"/>
        <v>4116000</v>
      </c>
      <c r="Q12" s="58">
        <f>+Ingresos!Q36*Parámetros!$D$18</f>
        <v>283147.19999999995</v>
      </c>
      <c r="R12" s="58">
        <f>+Ingresos!R36*Parámetros!$D$18</f>
        <v>94382.400000000009</v>
      </c>
      <c r="S12" s="58">
        <f>+Ingresos!S36*Parámetros!$D$18</f>
        <v>283147.19999999995</v>
      </c>
      <c r="T12" s="58">
        <f>+Ingresos!T36*Parámetros!$D$18</f>
        <v>566294.39999999991</v>
      </c>
      <c r="U12" s="58">
        <f>+Ingresos!U36*Parámetros!$D$18</f>
        <v>566294.39999999991</v>
      </c>
      <c r="V12" s="58">
        <f>+Ingresos!V36*Parámetros!$D$18</f>
        <v>566294.39999999991</v>
      </c>
      <c r="W12" s="58">
        <f>+Ingresos!W36*Parámetros!$D$18</f>
        <v>283147.19999999995</v>
      </c>
      <c r="X12" s="58">
        <f>+Ingresos!X36*Parámetros!$D$18</f>
        <v>566294.39999999991</v>
      </c>
      <c r="Y12" s="58">
        <f>+Ingresos!Y36*Parámetros!$D$18</f>
        <v>94382.400000000009</v>
      </c>
      <c r="Z12" s="58">
        <f>+Ingresos!Z36*Parámetros!$D$18</f>
        <v>566294.39999999991</v>
      </c>
      <c r="AA12" s="58">
        <f>+Ingresos!AA36*Parámetros!$D$18</f>
        <v>566294.39999999991</v>
      </c>
      <c r="AB12" s="58">
        <f>+Ingresos!AB36*Parámetros!$D$18</f>
        <v>188764.80000000002</v>
      </c>
      <c r="AC12" s="59">
        <f t="shared" si="1"/>
        <v>4624737.5999999987</v>
      </c>
      <c r="AD12" s="58">
        <f>+Ingresos!AD36*Parámetros!$E$18</f>
        <v>324146.91456000006</v>
      </c>
      <c r="AE12" s="58">
        <f>+Ingresos!AE36*Parámetros!$E$18</f>
        <v>108048.97152000002</v>
      </c>
      <c r="AF12" s="58">
        <f>+Ingresos!AF36*Parámetros!$E$18</f>
        <v>324146.91456000006</v>
      </c>
      <c r="AG12" s="58">
        <f>+Ingresos!AG36*Parámetros!$E$18</f>
        <v>648293.82912000013</v>
      </c>
      <c r="AH12" s="58">
        <f>+Ingresos!AH36*Parámetros!$E$18</f>
        <v>648293.82912000013</v>
      </c>
      <c r="AI12" s="58">
        <f>+Ingresos!AI36*Parámetros!$E$18</f>
        <v>648293.82912000013</v>
      </c>
      <c r="AJ12" s="58">
        <f>+Ingresos!AJ36*Parámetros!$E$18</f>
        <v>324146.91456000006</v>
      </c>
      <c r="AK12" s="58">
        <f>+Ingresos!AK36*Parámetros!$E$18</f>
        <v>648293.82912000013</v>
      </c>
      <c r="AL12" s="58">
        <f>+Ingresos!AL36*Parámetros!$E$18</f>
        <v>108048.97152000002</v>
      </c>
      <c r="AM12" s="58">
        <f>+Ingresos!AM36*Parámetros!$E$18</f>
        <v>648293.82912000013</v>
      </c>
      <c r="AN12" s="58">
        <f>+Ingresos!AN36*Parámetros!$E$18</f>
        <v>648293.82912000013</v>
      </c>
      <c r="AO12" s="58">
        <f>+Ingresos!AO36*Parámetros!$E$18</f>
        <v>216097.94304000004</v>
      </c>
      <c r="AP12" s="59">
        <f t="shared" si="2"/>
        <v>5294399.6044800011</v>
      </c>
      <c r="AQ12" s="58">
        <f>+Ingresos!AQ36*Parámetros!$F$18</f>
        <v>377955.30237696005</v>
      </c>
      <c r="AR12" s="58">
        <f>+Ingresos!AR36*Parámetros!$F$18</f>
        <v>125985.10079232004</v>
      </c>
      <c r="AS12" s="58">
        <f>+Ingresos!AS36*Parámetros!$F$18</f>
        <v>377955.30237696005</v>
      </c>
      <c r="AT12" s="58">
        <f>+Ingresos!AT36*Parámetros!$F$18</f>
        <v>755910.60475392011</v>
      </c>
      <c r="AU12" s="58">
        <f>+Ingresos!AU36*Parámetros!$F$18</f>
        <v>755910.60475392011</v>
      </c>
      <c r="AV12" s="58">
        <f>+Ingresos!AV36*Parámetros!$F$18</f>
        <v>755910.60475392011</v>
      </c>
      <c r="AW12" s="58">
        <f>+Ingresos!AW36*Parámetros!$F$18</f>
        <v>377955.30237696005</v>
      </c>
      <c r="AX12" s="58">
        <f>+Ingresos!AX36*Parámetros!$F$18</f>
        <v>755910.60475392011</v>
      </c>
      <c r="AY12" s="58">
        <f>+Ingresos!AY36*Parámetros!$F$18</f>
        <v>125985.10079232004</v>
      </c>
      <c r="AZ12" s="58">
        <f>+Ingresos!AZ36*Parámetros!$F$18</f>
        <v>755910.60475392011</v>
      </c>
      <c r="BA12" s="58">
        <f>+Ingresos!BA36*Parámetros!$F$18</f>
        <v>755910.60475392011</v>
      </c>
      <c r="BB12" s="58">
        <f>+Ingresos!BB36*Parámetros!$F$18</f>
        <v>251970.20158464008</v>
      </c>
      <c r="BC12" s="59">
        <f t="shared" si="3"/>
        <v>6173269.9388236804</v>
      </c>
      <c r="BD12" s="58">
        <f>+Ingresos!BD36*Parámetros!$G$18</f>
        <v>440695.88257153548</v>
      </c>
      <c r="BE12" s="58">
        <f>+Ingresos!BE36*Parámetros!$G$18</f>
        <v>146898.62752384521</v>
      </c>
      <c r="BF12" s="58">
        <f>+Ingresos!BF36*Parámetros!$G$18</f>
        <v>440695.88257153548</v>
      </c>
      <c r="BG12" s="58">
        <f>+Ingresos!BG36*Parámetros!$G$18</f>
        <v>881391.76514307095</v>
      </c>
      <c r="BH12" s="58">
        <f>+Ingresos!BH36*Parámetros!$G$18</f>
        <v>881391.76514307095</v>
      </c>
      <c r="BI12" s="58">
        <f>+Ingresos!BI36*Parámetros!$G$18</f>
        <v>881391.76514307095</v>
      </c>
      <c r="BJ12" s="58">
        <f>+Ingresos!BJ36*Parámetros!$G$18</f>
        <v>440695.88257153548</v>
      </c>
      <c r="BK12" s="58">
        <f>+Ingresos!BK36*Parámetros!$G$18</f>
        <v>881391.76514307095</v>
      </c>
      <c r="BL12" s="58">
        <f>+Ingresos!BL36*Parámetros!$G$18</f>
        <v>146898.62752384521</v>
      </c>
      <c r="BM12" s="58">
        <f>+Ingresos!BM36*Parámetros!$G$18</f>
        <v>881391.76514307095</v>
      </c>
      <c r="BN12" s="58">
        <f>+Ingresos!BN36*Parámetros!$G$18</f>
        <v>881391.76514307095</v>
      </c>
      <c r="BO12" s="58">
        <f>+Ingresos!BO36*Parámetros!$G$18</f>
        <v>293797.25504769041</v>
      </c>
      <c r="BP12" s="59">
        <f t="shared" si="4"/>
        <v>7198032.7486684136</v>
      </c>
      <c r="BQ12" s="58">
        <f>+Ingresos!BQ36*Parámetros!$G$18</f>
        <v>513851.39907841041</v>
      </c>
      <c r="BR12" s="58">
        <f>+Ingresos!BR36*Parámetros!$G$18</f>
        <v>171283.7996928035</v>
      </c>
      <c r="BS12" s="58">
        <f>+Ingresos!BS36*Parámetros!$G$18</f>
        <v>513851.39907841041</v>
      </c>
      <c r="BT12" s="58">
        <f>+Ingresos!BT36*Parámetros!$G$18</f>
        <v>1027702.7981568208</v>
      </c>
      <c r="BU12" s="58">
        <f>+Ingresos!BU36*Parámetros!$G$18</f>
        <v>1027702.7981568208</v>
      </c>
      <c r="BV12" s="58">
        <f>+Ingresos!BV36*Parámetros!$G$18</f>
        <v>1027702.7981568208</v>
      </c>
      <c r="BW12" s="58">
        <f>+Ingresos!BW36*Parámetros!$G$18</f>
        <v>513851.39907841041</v>
      </c>
      <c r="BX12" s="58">
        <f>+Ingresos!BX36*Parámetros!$G$18</f>
        <v>1027702.7981568208</v>
      </c>
      <c r="BY12" s="58">
        <f>+Ingresos!BY36*Parámetros!$G$18</f>
        <v>171283.7996928035</v>
      </c>
      <c r="BZ12" s="58">
        <f>+Ingresos!BZ36*Parámetros!$G$18</f>
        <v>1027702.7981568208</v>
      </c>
      <c r="CA12" s="58">
        <f>+Ingresos!CA36*Parámetros!$G$18</f>
        <v>1027702.7981568208</v>
      </c>
      <c r="CB12" s="58">
        <f>+Ingresos!CB36*Parámetros!$G$18</f>
        <v>342567.599385607</v>
      </c>
      <c r="CC12" s="59">
        <f t="shared" si="5"/>
        <v>8392906.1849473696</v>
      </c>
      <c r="CD12" s="58">
        <f>+Ingresos!CD36*Parámetros!$G$18</f>
        <v>599150.73132542672</v>
      </c>
      <c r="CE12" s="58">
        <f>+Ingresos!CE36*Parámetros!$G$18</f>
        <v>199716.91044180896</v>
      </c>
      <c r="CF12" s="58">
        <f>+Ingresos!CF36*Parámetros!$G$18</f>
        <v>599150.73132542672</v>
      </c>
      <c r="CG12" s="58">
        <f>+Ingresos!CG36*Parámetros!$G$18</f>
        <v>1198301.4626508534</v>
      </c>
      <c r="CH12" s="58">
        <f>+Ingresos!CH36*Parámetros!$G$18</f>
        <v>1198301.4626508534</v>
      </c>
      <c r="CI12" s="58">
        <f>+Ingresos!CI36*Parámetros!$G$18</f>
        <v>1198301.4626508534</v>
      </c>
      <c r="CJ12" s="58">
        <f>+Ingresos!CJ36*Parámetros!$G$18</f>
        <v>599150.73132542672</v>
      </c>
      <c r="CK12" s="58">
        <f>+Ingresos!CK36*Parámetros!$G$18</f>
        <v>1198301.4626508534</v>
      </c>
      <c r="CL12" s="58">
        <f>+Ingresos!CL36*Parámetros!$G$18</f>
        <v>199716.91044180896</v>
      </c>
      <c r="CM12" s="58">
        <f>+Ingresos!CM36*Parámetros!$G$18</f>
        <v>1198301.4626508534</v>
      </c>
      <c r="CN12" s="58">
        <f>+Ingresos!CN36*Parámetros!$G$18</f>
        <v>1198301.4626508534</v>
      </c>
      <c r="CO12" s="58">
        <f>+Ingresos!CO36*Parámetros!$G$18</f>
        <v>399433.82088361791</v>
      </c>
      <c r="CP12" s="59">
        <f t="shared" si="6"/>
        <v>9786128.6116486378</v>
      </c>
    </row>
    <row r="13" spans="2:94" outlineLevel="2" x14ac:dyDescent="0.25">
      <c r="B13" s="53" t="s">
        <v>42</v>
      </c>
      <c r="D13" s="27">
        <f>+Ingresos!D40*Parámetros!$C$19</f>
        <v>138600</v>
      </c>
      <c r="E13" s="27">
        <f>+Ingresos!E40*Parámetros!$C$19</f>
        <v>46200</v>
      </c>
      <c r="F13" s="27">
        <f>+Ingresos!F40*Parámetros!$C$19</f>
        <v>138600</v>
      </c>
      <c r="G13" s="27">
        <f>+Ingresos!G40*Parámetros!$C$19</f>
        <v>277200</v>
      </c>
      <c r="H13" s="27">
        <f>+Ingresos!H40*Parámetros!$C$19</f>
        <v>277200</v>
      </c>
      <c r="I13" s="27">
        <f>+Ingresos!I40*Parámetros!$C$19</f>
        <v>277200</v>
      </c>
      <c r="J13" s="27">
        <f>+Ingresos!J40*Parámetros!$C$19</f>
        <v>138600</v>
      </c>
      <c r="K13" s="27">
        <f>+Ingresos!K40*Parámetros!$C$19</f>
        <v>277200</v>
      </c>
      <c r="L13" s="27">
        <f>+Ingresos!L40*Parámetros!$C$19</f>
        <v>46200</v>
      </c>
      <c r="M13" s="27">
        <f>+Ingresos!M40*Parámetros!$C$19</f>
        <v>277200</v>
      </c>
      <c r="N13" s="27">
        <f>+Ingresos!N40*Parámetros!$C$19</f>
        <v>277200</v>
      </c>
      <c r="O13" s="27">
        <f>+Ingresos!O40*Parámetros!$C$19</f>
        <v>92400</v>
      </c>
      <c r="P13" s="59">
        <f t="shared" si="0"/>
        <v>2263800</v>
      </c>
      <c r="Q13" s="58">
        <f>+Ingresos!Q40*Parámetros!$D$19</f>
        <v>155730.96</v>
      </c>
      <c r="R13" s="58">
        <f>+Ingresos!R40*Parámetros!$D$19</f>
        <v>51910.320000000014</v>
      </c>
      <c r="S13" s="58">
        <f>+Ingresos!S40*Parámetros!$D$19</f>
        <v>155730.96</v>
      </c>
      <c r="T13" s="58">
        <f>+Ingresos!T40*Parámetros!$D$19</f>
        <v>311461.92</v>
      </c>
      <c r="U13" s="58">
        <f>+Ingresos!U40*Parámetros!$D$19</f>
        <v>311461.92</v>
      </c>
      <c r="V13" s="58">
        <f>+Ingresos!V40*Parámetros!$D$19</f>
        <v>311461.92</v>
      </c>
      <c r="W13" s="58">
        <f>+Ingresos!W40*Parámetros!$D$19</f>
        <v>155730.96</v>
      </c>
      <c r="X13" s="58">
        <f>+Ingresos!X40*Parámetros!$D$19</f>
        <v>311461.92</v>
      </c>
      <c r="Y13" s="58">
        <f>+Ingresos!Y40*Parámetros!$D$19</f>
        <v>51910.320000000014</v>
      </c>
      <c r="Z13" s="58">
        <f>+Ingresos!Z40*Parámetros!$D$19</f>
        <v>311461.92</v>
      </c>
      <c r="AA13" s="58">
        <f>+Ingresos!AA40*Parámetros!$D$19</f>
        <v>311461.92</v>
      </c>
      <c r="AB13" s="58">
        <f>+Ingresos!AB40*Parámetros!$D$19</f>
        <v>103820.64000000003</v>
      </c>
      <c r="AC13" s="59">
        <f t="shared" si="1"/>
        <v>2543605.6799999997</v>
      </c>
      <c r="AD13" s="58">
        <f>+Ingresos!AD40*Parámetros!$E$19</f>
        <v>178280.80300800005</v>
      </c>
      <c r="AE13" s="58">
        <f>+Ingresos!AE40*Parámetros!$E$19</f>
        <v>59426.934336000013</v>
      </c>
      <c r="AF13" s="58">
        <f>+Ingresos!AF40*Parámetros!$E$19</f>
        <v>178280.80300800005</v>
      </c>
      <c r="AG13" s="58">
        <f>+Ingresos!AG40*Parámetros!$E$19</f>
        <v>356561.60601600009</v>
      </c>
      <c r="AH13" s="58">
        <f>+Ingresos!AH40*Parámetros!$E$19</f>
        <v>356561.60601600009</v>
      </c>
      <c r="AI13" s="58">
        <f>+Ingresos!AI40*Parámetros!$E$19</f>
        <v>356561.60601600009</v>
      </c>
      <c r="AJ13" s="58">
        <f>+Ingresos!AJ40*Parámetros!$E$19</f>
        <v>178280.80300800005</v>
      </c>
      <c r="AK13" s="58">
        <f>+Ingresos!AK40*Parámetros!$E$19</f>
        <v>356561.60601600009</v>
      </c>
      <c r="AL13" s="58">
        <f>+Ingresos!AL40*Parámetros!$E$19</f>
        <v>59426.934336000013</v>
      </c>
      <c r="AM13" s="58">
        <f>+Ingresos!AM40*Parámetros!$E$19</f>
        <v>356561.60601600009</v>
      </c>
      <c r="AN13" s="58">
        <f>+Ingresos!AN40*Parámetros!$E$19</f>
        <v>356561.60601600009</v>
      </c>
      <c r="AO13" s="58">
        <f>+Ingresos!AO40*Parámetros!$E$19</f>
        <v>118853.86867200003</v>
      </c>
      <c r="AP13" s="59">
        <f t="shared" si="2"/>
        <v>2911919.7824640013</v>
      </c>
      <c r="AQ13" s="58">
        <f>+Ingresos!AQ40*Parámetros!$F$19</f>
        <v>207875.41630732809</v>
      </c>
      <c r="AR13" s="58">
        <f>+Ingresos!AR40*Parámetros!$F$19</f>
        <v>69291.805435776027</v>
      </c>
      <c r="AS13" s="58">
        <f>+Ingresos!AS40*Parámetros!$F$19</f>
        <v>207875.41630732809</v>
      </c>
      <c r="AT13" s="58">
        <f>+Ingresos!AT40*Parámetros!$F$19</f>
        <v>415750.83261465619</v>
      </c>
      <c r="AU13" s="58">
        <f>+Ingresos!AU40*Parámetros!$F$19</f>
        <v>415750.83261465619</v>
      </c>
      <c r="AV13" s="58">
        <f>+Ingresos!AV40*Parámetros!$F$19</f>
        <v>415750.83261465619</v>
      </c>
      <c r="AW13" s="58">
        <f>+Ingresos!AW40*Parámetros!$F$19</f>
        <v>207875.41630732809</v>
      </c>
      <c r="AX13" s="58">
        <f>+Ingresos!AX40*Parámetros!$F$19</f>
        <v>415750.83261465619</v>
      </c>
      <c r="AY13" s="58">
        <f>+Ingresos!AY40*Parámetros!$F$19</f>
        <v>69291.805435776027</v>
      </c>
      <c r="AZ13" s="58">
        <f>+Ingresos!AZ40*Parámetros!$F$19</f>
        <v>415750.83261465619</v>
      </c>
      <c r="BA13" s="58">
        <f>+Ingresos!BA40*Parámetros!$F$19</f>
        <v>415750.83261465619</v>
      </c>
      <c r="BB13" s="58">
        <f>+Ingresos!BB40*Parámetros!$F$19</f>
        <v>138583.61087155205</v>
      </c>
      <c r="BC13" s="59">
        <f t="shared" si="3"/>
        <v>3395298.4663530253</v>
      </c>
      <c r="BD13" s="58">
        <f>+Ingresos!BD40*Parámetros!$G$19</f>
        <v>242382.73541434453</v>
      </c>
      <c r="BE13" s="58">
        <f>+Ingresos!BE40*Parámetros!$G$19</f>
        <v>80794.245138114857</v>
      </c>
      <c r="BF13" s="58">
        <f>+Ingresos!BF40*Parámetros!$G$19</f>
        <v>242382.73541434453</v>
      </c>
      <c r="BG13" s="58">
        <f>+Ingresos!BG40*Parámetros!$G$19</f>
        <v>484765.47082868905</v>
      </c>
      <c r="BH13" s="58">
        <f>+Ingresos!BH40*Parámetros!$G$19</f>
        <v>484765.47082868905</v>
      </c>
      <c r="BI13" s="58">
        <f>+Ingresos!BI40*Parámetros!$G$19</f>
        <v>484765.47082868905</v>
      </c>
      <c r="BJ13" s="58">
        <f>+Ingresos!BJ40*Parámetros!$G$19</f>
        <v>242382.73541434453</v>
      </c>
      <c r="BK13" s="58">
        <f>+Ingresos!BK40*Parámetros!$G$19</f>
        <v>484765.47082868905</v>
      </c>
      <c r="BL13" s="58">
        <f>+Ingresos!BL40*Parámetros!$G$19</f>
        <v>80794.245138114857</v>
      </c>
      <c r="BM13" s="58">
        <f>+Ingresos!BM40*Parámetros!$G$19</f>
        <v>484765.47082868905</v>
      </c>
      <c r="BN13" s="58">
        <f>+Ingresos!BN40*Parámetros!$G$19</f>
        <v>484765.47082868905</v>
      </c>
      <c r="BO13" s="58">
        <f>+Ingresos!BO40*Parámetros!$G$19</f>
        <v>161588.49027622971</v>
      </c>
      <c r="BP13" s="59">
        <f t="shared" si="4"/>
        <v>3958918.0117676277</v>
      </c>
      <c r="BQ13" s="58">
        <f>+Ingresos!BQ40*Parámetros!$G$19</f>
        <v>282618.26949312573</v>
      </c>
      <c r="BR13" s="58">
        <f>+Ingresos!BR40*Parámetros!$G$19</f>
        <v>94206.089831041929</v>
      </c>
      <c r="BS13" s="58">
        <f>+Ingresos!BS40*Parámetros!$G$19</f>
        <v>282618.26949312573</v>
      </c>
      <c r="BT13" s="58">
        <f>+Ingresos!BT40*Parámetros!$G$19</f>
        <v>565236.53898625146</v>
      </c>
      <c r="BU13" s="58">
        <f>+Ingresos!BU40*Parámetros!$G$19</f>
        <v>565236.53898625146</v>
      </c>
      <c r="BV13" s="58">
        <f>+Ingresos!BV40*Parámetros!$G$19</f>
        <v>565236.53898625146</v>
      </c>
      <c r="BW13" s="58">
        <f>+Ingresos!BW40*Parámetros!$G$19</f>
        <v>282618.26949312573</v>
      </c>
      <c r="BX13" s="58">
        <f>+Ingresos!BX40*Parámetros!$G$19</f>
        <v>565236.53898625146</v>
      </c>
      <c r="BY13" s="58">
        <f>+Ingresos!BY40*Parámetros!$G$19</f>
        <v>94206.089831041929</v>
      </c>
      <c r="BZ13" s="58">
        <f>+Ingresos!BZ40*Parámetros!$G$19</f>
        <v>565236.53898625146</v>
      </c>
      <c r="CA13" s="58">
        <f>+Ingresos!CA40*Parámetros!$G$19</f>
        <v>565236.53898625146</v>
      </c>
      <c r="CB13" s="58">
        <f>+Ingresos!CB40*Parámetros!$G$19</f>
        <v>188412.17966208386</v>
      </c>
      <c r="CC13" s="59">
        <f t="shared" si="5"/>
        <v>4616098.4017210547</v>
      </c>
      <c r="CD13" s="58">
        <f>+Ingresos!CD40*Parámetros!$G$19</f>
        <v>329532.90222898469</v>
      </c>
      <c r="CE13" s="58">
        <f>+Ingresos!CE40*Parámetros!$G$19</f>
        <v>109844.30074299492</v>
      </c>
      <c r="CF13" s="58">
        <f>+Ingresos!CF40*Parámetros!$G$19</f>
        <v>329532.90222898469</v>
      </c>
      <c r="CG13" s="58">
        <f>+Ingresos!CG40*Parámetros!$G$19</f>
        <v>659065.80445796938</v>
      </c>
      <c r="CH13" s="58">
        <f>+Ingresos!CH40*Parámetros!$G$19</f>
        <v>659065.80445796938</v>
      </c>
      <c r="CI13" s="58">
        <f>+Ingresos!CI40*Parámetros!$G$19</f>
        <v>659065.80445796938</v>
      </c>
      <c r="CJ13" s="58">
        <f>+Ingresos!CJ40*Parámetros!$G$19</f>
        <v>329532.90222898469</v>
      </c>
      <c r="CK13" s="58">
        <f>+Ingresos!CK40*Parámetros!$G$19</f>
        <v>659065.80445796938</v>
      </c>
      <c r="CL13" s="58">
        <f>+Ingresos!CL40*Parámetros!$G$19</f>
        <v>109844.30074299492</v>
      </c>
      <c r="CM13" s="58">
        <f>+Ingresos!CM40*Parámetros!$G$19</f>
        <v>659065.80445796938</v>
      </c>
      <c r="CN13" s="58">
        <f>+Ingresos!CN40*Parámetros!$G$19</f>
        <v>659065.80445796938</v>
      </c>
      <c r="CO13" s="58">
        <f>+Ingresos!CO40*Parámetros!$G$19</f>
        <v>219688.60148598984</v>
      </c>
      <c r="CP13" s="59">
        <f t="shared" si="6"/>
        <v>5382370.73640675</v>
      </c>
    </row>
    <row r="14" spans="2:94" outlineLevel="1" x14ac:dyDescent="0.25">
      <c r="B14" s="67" t="s">
        <v>99</v>
      </c>
      <c r="D14" s="51">
        <f>SUM(D10:D13)</f>
        <v>14694600</v>
      </c>
      <c r="E14" s="51">
        <f t="shared" ref="E14:O14" si="7">SUM(E10:E13)</f>
        <v>4898200</v>
      </c>
      <c r="F14" s="51">
        <f t="shared" si="7"/>
        <v>14694600</v>
      </c>
      <c r="G14" s="51">
        <f t="shared" si="7"/>
        <v>29389200</v>
      </c>
      <c r="H14" s="51">
        <f t="shared" si="7"/>
        <v>29389200</v>
      </c>
      <c r="I14" s="51">
        <f t="shared" si="7"/>
        <v>29389200</v>
      </c>
      <c r="J14" s="51">
        <f t="shared" si="7"/>
        <v>14694600</v>
      </c>
      <c r="K14" s="51">
        <f t="shared" si="7"/>
        <v>29389200</v>
      </c>
      <c r="L14" s="51">
        <f t="shared" si="7"/>
        <v>4898200</v>
      </c>
      <c r="M14" s="51">
        <f t="shared" si="7"/>
        <v>29389200</v>
      </c>
      <c r="N14" s="51">
        <f t="shared" si="7"/>
        <v>29389200</v>
      </c>
      <c r="O14" s="51">
        <f t="shared" si="7"/>
        <v>9796400</v>
      </c>
      <c r="P14" s="59">
        <f t="shared" si="0"/>
        <v>240011800</v>
      </c>
      <c r="Q14" s="59">
        <f t="shared" ref="Q14:AA14" si="8">SUM(Q10:Q13)</f>
        <v>16510852.560000004</v>
      </c>
      <c r="R14" s="59">
        <f t="shared" si="8"/>
        <v>5503617.5200000023</v>
      </c>
      <c r="S14" s="59">
        <f t="shared" si="8"/>
        <v>16510852.560000004</v>
      </c>
      <c r="T14" s="59">
        <f t="shared" si="8"/>
        <v>33021705.120000008</v>
      </c>
      <c r="U14" s="59">
        <f t="shared" si="8"/>
        <v>33021705.120000008</v>
      </c>
      <c r="V14" s="59">
        <f t="shared" si="8"/>
        <v>33021705.120000008</v>
      </c>
      <c r="W14" s="59">
        <f t="shared" si="8"/>
        <v>16510852.560000004</v>
      </c>
      <c r="X14" s="59">
        <f t="shared" si="8"/>
        <v>33021705.120000008</v>
      </c>
      <c r="Y14" s="59">
        <f t="shared" si="8"/>
        <v>5503617.5200000023</v>
      </c>
      <c r="Z14" s="59">
        <f t="shared" si="8"/>
        <v>33021705.120000008</v>
      </c>
      <c r="AA14" s="59">
        <f t="shared" si="8"/>
        <v>33021705.120000008</v>
      </c>
      <c r="AB14" s="59">
        <f>SUM(AB10:AB13)</f>
        <v>11007235.040000005</v>
      </c>
      <c r="AC14" s="59">
        <f t="shared" si="1"/>
        <v>269677258.48000008</v>
      </c>
      <c r="AD14" s="59">
        <f t="shared" ref="AD14:AO14" si="9">SUM(AD10:AD13)</f>
        <v>18901624.010688011</v>
      </c>
      <c r="AE14" s="59">
        <f t="shared" si="9"/>
        <v>6300541.3368960032</v>
      </c>
      <c r="AF14" s="59">
        <f t="shared" si="9"/>
        <v>18901624.010688011</v>
      </c>
      <c r="AG14" s="59">
        <f t="shared" si="9"/>
        <v>37803248.021376021</v>
      </c>
      <c r="AH14" s="59">
        <f t="shared" si="9"/>
        <v>37803248.021376021</v>
      </c>
      <c r="AI14" s="59">
        <f t="shared" si="9"/>
        <v>37803248.021376021</v>
      </c>
      <c r="AJ14" s="59">
        <f t="shared" si="9"/>
        <v>18901624.010688011</v>
      </c>
      <c r="AK14" s="59">
        <f t="shared" si="9"/>
        <v>37803248.021376021</v>
      </c>
      <c r="AL14" s="59">
        <f t="shared" si="9"/>
        <v>6300541.3368960032</v>
      </c>
      <c r="AM14" s="59">
        <f t="shared" si="9"/>
        <v>37803248.021376021</v>
      </c>
      <c r="AN14" s="59">
        <f t="shared" si="9"/>
        <v>37803248.021376021</v>
      </c>
      <c r="AO14" s="59">
        <f t="shared" si="9"/>
        <v>12601082.673792006</v>
      </c>
      <c r="AP14" s="59">
        <f t="shared" si="2"/>
        <v>308726525.50790417</v>
      </c>
      <c r="AQ14" s="59">
        <f t="shared" ref="AQ14" si="10">SUM(AQ10:AQ13)</f>
        <v>22255268.054963339</v>
      </c>
      <c r="AR14" s="59">
        <f t="shared" ref="AR14" si="11">SUM(AR10:AR13)</f>
        <v>7418422.6849877788</v>
      </c>
      <c r="AS14" s="59">
        <f t="shared" ref="AS14" si="12">SUM(AS10:AS13)</f>
        <v>22255268.054963339</v>
      </c>
      <c r="AT14" s="59">
        <f t="shared" ref="AT14" si="13">SUM(AT10:AT13)</f>
        <v>44510536.109926678</v>
      </c>
      <c r="AU14" s="59">
        <f t="shared" ref="AU14" si="14">SUM(AU10:AU13)</f>
        <v>44510536.109926678</v>
      </c>
      <c r="AV14" s="59">
        <f t="shared" ref="AV14" si="15">SUM(AV10:AV13)</f>
        <v>44510536.109926678</v>
      </c>
      <c r="AW14" s="59">
        <f t="shared" ref="AW14" si="16">SUM(AW10:AW13)</f>
        <v>22255268.054963339</v>
      </c>
      <c r="AX14" s="59">
        <f t="shared" ref="AX14" si="17">SUM(AX10:AX13)</f>
        <v>44510536.109926678</v>
      </c>
      <c r="AY14" s="59">
        <f t="shared" ref="AY14" si="18">SUM(AY10:AY13)</f>
        <v>7418422.6849877788</v>
      </c>
      <c r="AZ14" s="59">
        <f t="shared" ref="AZ14" si="19">SUM(AZ10:AZ13)</f>
        <v>44510536.109926678</v>
      </c>
      <c r="BA14" s="59">
        <f t="shared" ref="BA14" si="20">SUM(BA10:BA13)</f>
        <v>44510536.109926678</v>
      </c>
      <c r="BB14" s="59">
        <f t="shared" ref="BB14:BD14" si="21">SUM(BB10:BB13)</f>
        <v>14836845.369975558</v>
      </c>
      <c r="BC14" s="59">
        <f t="shared" si="3"/>
        <v>363502711.56440121</v>
      </c>
      <c r="BD14" s="59">
        <f t="shared" si="21"/>
        <v>25697816.333474949</v>
      </c>
      <c r="BE14" s="59">
        <f t="shared" ref="BE14" si="22">SUM(BE10:BE13)</f>
        <v>8565938.777824983</v>
      </c>
      <c r="BF14" s="59">
        <f t="shared" ref="BF14" si="23">SUM(BF10:BF13)</f>
        <v>25697816.333474949</v>
      </c>
      <c r="BG14" s="59">
        <f t="shared" ref="BG14" si="24">SUM(BG10:BG13)</f>
        <v>51395632.666949898</v>
      </c>
      <c r="BH14" s="59">
        <f t="shared" ref="BH14" si="25">SUM(BH10:BH13)</f>
        <v>51395632.666949898</v>
      </c>
      <c r="BI14" s="59">
        <f t="shared" ref="BI14" si="26">SUM(BI10:BI13)</f>
        <v>51395632.666949898</v>
      </c>
      <c r="BJ14" s="59">
        <f t="shared" ref="BJ14" si="27">SUM(BJ10:BJ13)</f>
        <v>25697816.333474949</v>
      </c>
      <c r="BK14" s="59">
        <f t="shared" ref="BK14" si="28">SUM(BK10:BK13)</f>
        <v>51395632.666949898</v>
      </c>
      <c r="BL14" s="59">
        <f t="shared" ref="BL14" si="29">SUM(BL10:BL13)</f>
        <v>8565938.777824983</v>
      </c>
      <c r="BM14" s="59">
        <f t="shared" ref="BM14" si="30">SUM(BM10:BM13)</f>
        <v>51395632.666949898</v>
      </c>
      <c r="BN14" s="59">
        <f t="shared" ref="BN14" si="31">SUM(BN10:BN13)</f>
        <v>51395632.666949898</v>
      </c>
      <c r="BO14" s="59">
        <f t="shared" ref="BO14" si="32">SUM(BO10:BO13)</f>
        <v>17131877.555649966</v>
      </c>
      <c r="BP14" s="59">
        <f t="shared" si="4"/>
        <v>419731000.11342418</v>
      </c>
      <c r="BQ14" s="59">
        <f t="shared" ref="BQ14:CB14" si="33">SUM(BQ10:BQ13)</f>
        <v>29963653.844831787</v>
      </c>
      <c r="BR14" s="59">
        <f t="shared" si="33"/>
        <v>9987884.6149439309</v>
      </c>
      <c r="BS14" s="59">
        <f t="shared" si="33"/>
        <v>29963653.844831787</v>
      </c>
      <c r="BT14" s="59">
        <f t="shared" si="33"/>
        <v>59927307.689663574</v>
      </c>
      <c r="BU14" s="59">
        <f t="shared" si="33"/>
        <v>59927307.689663574</v>
      </c>
      <c r="BV14" s="59">
        <f t="shared" si="33"/>
        <v>59927307.689663574</v>
      </c>
      <c r="BW14" s="59">
        <f t="shared" si="33"/>
        <v>29963653.844831787</v>
      </c>
      <c r="BX14" s="59">
        <f t="shared" si="33"/>
        <v>59927307.689663574</v>
      </c>
      <c r="BY14" s="59">
        <f t="shared" si="33"/>
        <v>9987884.6149439309</v>
      </c>
      <c r="BZ14" s="59">
        <f t="shared" si="33"/>
        <v>59927307.689663574</v>
      </c>
      <c r="CA14" s="59">
        <f t="shared" si="33"/>
        <v>59927307.689663574</v>
      </c>
      <c r="CB14" s="59">
        <f t="shared" si="33"/>
        <v>19975769.229887862</v>
      </c>
      <c r="CC14" s="59">
        <f t="shared" si="5"/>
        <v>489406346.13225251</v>
      </c>
      <c r="CD14" s="59">
        <f t="shared" ref="CD14:CO14" si="34">SUM(CD10:CD13)</f>
        <v>34937620.383073866</v>
      </c>
      <c r="CE14" s="59">
        <f t="shared" si="34"/>
        <v>11645873.461024629</v>
      </c>
      <c r="CF14" s="59">
        <f t="shared" si="34"/>
        <v>34937620.383073866</v>
      </c>
      <c r="CG14" s="59">
        <f t="shared" si="34"/>
        <v>69875240.766147733</v>
      </c>
      <c r="CH14" s="59">
        <f t="shared" si="34"/>
        <v>69875240.766147733</v>
      </c>
      <c r="CI14" s="59">
        <f t="shared" si="34"/>
        <v>69875240.766147733</v>
      </c>
      <c r="CJ14" s="59">
        <f t="shared" si="34"/>
        <v>34937620.383073866</v>
      </c>
      <c r="CK14" s="59">
        <f t="shared" si="34"/>
        <v>69875240.766147733</v>
      </c>
      <c r="CL14" s="59">
        <f t="shared" si="34"/>
        <v>11645873.461024629</v>
      </c>
      <c r="CM14" s="59">
        <f t="shared" si="34"/>
        <v>69875240.766147733</v>
      </c>
      <c r="CN14" s="59">
        <f t="shared" si="34"/>
        <v>69875240.766147733</v>
      </c>
      <c r="CO14" s="59">
        <f t="shared" si="34"/>
        <v>23291746.922049258</v>
      </c>
      <c r="CP14" s="59">
        <f t="shared" si="6"/>
        <v>570647799.59020662</v>
      </c>
    </row>
    <row r="15" spans="2:94" outlineLevel="1" x14ac:dyDescent="0.25">
      <c r="B15" s="67"/>
      <c r="D15" s="68"/>
      <c r="P15" s="69">
        <f>+P14/P7</f>
        <v>0.4086601034540297</v>
      </c>
      <c r="R15" s="59"/>
      <c r="AC15" s="69">
        <f>+AC14/AC7</f>
        <v>0.4086601034540297</v>
      </c>
      <c r="AP15" s="69">
        <f>+AP14/AP7</f>
        <v>0.40866010345402981</v>
      </c>
      <c r="BC15" s="69">
        <f>+BC14/BC7</f>
        <v>0.4085742606971749</v>
      </c>
      <c r="BP15" s="69">
        <f>+BP14/BP7</f>
        <v>0.40866010345402976</v>
      </c>
      <c r="CC15" s="69">
        <f>+CC14/CC7</f>
        <v>0.40866010345402976</v>
      </c>
      <c r="CP15" s="69">
        <f>+CP14/CP7</f>
        <v>0.40866010345402976</v>
      </c>
    </row>
    <row r="16" spans="2:94" outlineLevel="1" x14ac:dyDescent="0.25">
      <c r="B16" s="53" t="s">
        <v>45</v>
      </c>
      <c r="D16" s="58">
        <f>+D7*Parámetros!$C$20</f>
        <v>4746456</v>
      </c>
      <c r="E16" s="58">
        <f>+E7*Parámetros!$C$20</f>
        <v>1582152</v>
      </c>
      <c r="F16" s="58">
        <f>+F7*Parámetros!$C$20</f>
        <v>4746456</v>
      </c>
      <c r="G16" s="58">
        <f>+G7*Parámetros!$C$20</f>
        <v>9492912</v>
      </c>
      <c r="H16" s="58">
        <f>+H7*Parámetros!$C$20</f>
        <v>9492912</v>
      </c>
      <c r="I16" s="58">
        <f>+I7*Parámetros!$C$20</f>
        <v>9492912</v>
      </c>
      <c r="J16" s="58">
        <f>+J7*Parámetros!$C$20</f>
        <v>4746456</v>
      </c>
      <c r="K16" s="58">
        <f>+K7*Parámetros!$C$20</f>
        <v>9492912</v>
      </c>
      <c r="L16" s="58">
        <f>+L7*Parámetros!$C$20</f>
        <v>1582152</v>
      </c>
      <c r="M16" s="58">
        <f>+M7*Parámetros!$C$20</f>
        <v>9492912</v>
      </c>
      <c r="N16" s="58">
        <f>+N7*Parámetros!$C$20</f>
        <v>9492912</v>
      </c>
      <c r="O16" s="58">
        <f>+O7*Parámetros!$C$20</f>
        <v>3164304</v>
      </c>
      <c r="P16" s="59">
        <f t="shared" ref="P16:P20" si="35">SUM(D16:O16)</f>
        <v>77525448</v>
      </c>
      <c r="Q16" s="58">
        <f>+Q7*Parámetros!$D$20</f>
        <v>5333117.961600001</v>
      </c>
      <c r="R16" s="58">
        <f>+R7*Parámetros!$D$20</f>
        <v>1777705.9872000006</v>
      </c>
      <c r="S16" s="58">
        <f>+S7*Parámetros!$D$20</f>
        <v>5333117.961600001</v>
      </c>
      <c r="T16" s="58">
        <f>+T7*Parámetros!$D$20</f>
        <v>10666235.923200002</v>
      </c>
      <c r="U16" s="58">
        <f>+U7*Parámetros!$D$20</f>
        <v>10666235.923200002</v>
      </c>
      <c r="V16" s="58">
        <f>+V7*Parámetros!$D$20</f>
        <v>10666235.923200002</v>
      </c>
      <c r="W16" s="58">
        <f>+W7*Parámetros!$D$20</f>
        <v>5333117.961600001</v>
      </c>
      <c r="X16" s="58">
        <f>+X7*Parámetros!$D$20</f>
        <v>10666235.923200002</v>
      </c>
      <c r="Y16" s="58">
        <f>+Y7*Parámetros!$D$20</f>
        <v>1777705.9872000006</v>
      </c>
      <c r="Z16" s="58">
        <f>+Z7*Parámetros!$D$20</f>
        <v>10666235.923200002</v>
      </c>
      <c r="AA16" s="58">
        <f>+AA7*Parámetros!$D$20</f>
        <v>10666235.923200002</v>
      </c>
      <c r="AB16" s="58">
        <f>+AB7*Parámetros!$D$20</f>
        <v>3555411.9744000011</v>
      </c>
      <c r="AC16" s="59">
        <f t="shared" ref="AC16:AC23" si="36">SUM(Q16:AB16)</f>
        <v>87107593.372800007</v>
      </c>
      <c r="AD16" s="58">
        <f>+AD7*Parámetros!$E$20</f>
        <v>6105353.4424396828</v>
      </c>
      <c r="AE16" s="58">
        <f>+AE7*Parámetros!$E$20</f>
        <v>2035117.8141465611</v>
      </c>
      <c r="AF16" s="58">
        <f>+AF7*Parámetros!$E$20</f>
        <v>6105353.4424396828</v>
      </c>
      <c r="AG16" s="58">
        <f>+AG7*Parámetros!$E$20</f>
        <v>12210706.884879366</v>
      </c>
      <c r="AH16" s="58">
        <f>+AH7*Parámetros!$E$20</f>
        <v>12210706.884879366</v>
      </c>
      <c r="AI16" s="58">
        <f>+AI7*Parámetros!$E$20</f>
        <v>12210706.884879366</v>
      </c>
      <c r="AJ16" s="58">
        <f>+AJ7*Parámetros!$E$20</f>
        <v>6105353.4424396828</v>
      </c>
      <c r="AK16" s="58">
        <f>+AK7*Parámetros!$E$20</f>
        <v>12210706.884879366</v>
      </c>
      <c r="AL16" s="58">
        <f>+AL7*Parámetros!$E$20</f>
        <v>2035117.8141465611</v>
      </c>
      <c r="AM16" s="58">
        <f>+AM7*Parámetros!$E$20</f>
        <v>12210706.884879366</v>
      </c>
      <c r="AN16" s="58">
        <f>+AN7*Parámetros!$E$20</f>
        <v>12210706.884879366</v>
      </c>
      <c r="AO16" s="58">
        <f>+AO7*Parámetros!$E$20</f>
        <v>4070235.6282931222</v>
      </c>
      <c r="AP16" s="59">
        <f t="shared" ref="AP16:AP23" si="37">SUM(AD16:AO16)</f>
        <v>99720772.893181488</v>
      </c>
      <c r="AQ16" s="58">
        <f>+AQ7*Parámetros!$F$20</f>
        <v>7190113.6851900406</v>
      </c>
      <c r="AR16" s="58">
        <f>+AR7*Parámetros!$F$20</f>
        <v>2396704.5617300132</v>
      </c>
      <c r="AS16" s="58">
        <f>+AS7*Parámetros!$F$20</f>
        <v>7190113.6851900406</v>
      </c>
      <c r="AT16" s="58">
        <f>+AT7*Parámetros!$F$20</f>
        <v>14380227.370380081</v>
      </c>
      <c r="AU16" s="58">
        <f>+AU7*Parámetros!$F$20</f>
        <v>14380227.370380081</v>
      </c>
      <c r="AV16" s="58">
        <f>+AV7*Parámetros!$F$20</f>
        <v>14380227.370380081</v>
      </c>
      <c r="AW16" s="58">
        <f>+AW7*Parámetros!$F$20</f>
        <v>7190113.6851900406</v>
      </c>
      <c r="AX16" s="58">
        <f>+AX7*Parámetros!$F$20</f>
        <v>14380227.370380081</v>
      </c>
      <c r="AY16" s="58">
        <f>+AY7*Parámetros!$F$20</f>
        <v>2396704.5617300132</v>
      </c>
      <c r="AZ16" s="58">
        <f>+AZ7*Parámetros!$F$20</f>
        <v>14380227.370380081</v>
      </c>
      <c r="BA16" s="58">
        <f>+BA7*Parámetros!$F$20</f>
        <v>14380227.370380081</v>
      </c>
      <c r="BB16" s="58">
        <f>+BB7*Parámetros!$F$20</f>
        <v>4793409.1234600265</v>
      </c>
      <c r="BC16" s="59">
        <f t="shared" ref="BC16:BC23" si="38">SUM(AQ16:BB16)</f>
        <v>117438523.52477065</v>
      </c>
      <c r="BD16" s="58">
        <f>+BD7*Parámetros!$G$20</f>
        <v>8300569.9047895251</v>
      </c>
      <c r="BE16" s="58">
        <f>+BE7*Parámetros!$G$20</f>
        <v>2766856.6349298423</v>
      </c>
      <c r="BF16" s="58">
        <f>+BF7*Parámetros!$G$20</f>
        <v>8300569.9047895251</v>
      </c>
      <c r="BG16" s="58">
        <f>+BG7*Parámetros!$G$20</f>
        <v>16601139.80957905</v>
      </c>
      <c r="BH16" s="58">
        <f>+BH7*Parámetros!$G$20</f>
        <v>16601139.80957905</v>
      </c>
      <c r="BI16" s="58">
        <f>+BI7*Parámetros!$G$20</f>
        <v>16601139.80957905</v>
      </c>
      <c r="BJ16" s="58">
        <f>+BJ7*Parámetros!$G$20</f>
        <v>8300569.9047895251</v>
      </c>
      <c r="BK16" s="58">
        <f>+BK7*Parámetros!$G$20</f>
        <v>16601139.80957905</v>
      </c>
      <c r="BL16" s="58">
        <f>+BL7*Parámetros!$G$20</f>
        <v>2766856.6349298423</v>
      </c>
      <c r="BM16" s="58">
        <f>+BM7*Parámetros!$G$20</f>
        <v>16601139.80957905</v>
      </c>
      <c r="BN16" s="58">
        <f>+BN7*Parámetros!$G$20</f>
        <v>16601139.80957905</v>
      </c>
      <c r="BO16" s="58">
        <f>+BO7*Parámetros!$G$20</f>
        <v>5533713.2698596846</v>
      </c>
      <c r="BP16" s="59">
        <f t="shared" ref="BP16:BP23" si="39">SUM(BD16:BO16)</f>
        <v>135575975.11156222</v>
      </c>
      <c r="BQ16" s="58">
        <f>+BQ7*Parámetros!$G$20</f>
        <v>9678464.5089845862</v>
      </c>
      <c r="BR16" s="58">
        <f>+BR7*Parámetros!$G$20</f>
        <v>3226154.8363281959</v>
      </c>
      <c r="BS16" s="58">
        <f>+BS7*Parámetros!$G$20</f>
        <v>9678464.5089845862</v>
      </c>
      <c r="BT16" s="58">
        <f>+BT7*Parámetros!$G$20</f>
        <v>19356929.017969172</v>
      </c>
      <c r="BU16" s="58">
        <f>+BU7*Parámetros!$G$20</f>
        <v>19356929.017969172</v>
      </c>
      <c r="BV16" s="58">
        <f>+BV7*Parámetros!$G$20</f>
        <v>19356929.017969172</v>
      </c>
      <c r="BW16" s="58">
        <f>+BW7*Parámetros!$G$20</f>
        <v>9678464.5089845862</v>
      </c>
      <c r="BX16" s="58">
        <f>+BX7*Parámetros!$G$20</f>
        <v>19356929.017969172</v>
      </c>
      <c r="BY16" s="58">
        <f>+BY7*Parámetros!$G$20</f>
        <v>3226154.8363281959</v>
      </c>
      <c r="BZ16" s="58">
        <f>+BZ7*Parámetros!$G$20</f>
        <v>19356929.017969172</v>
      </c>
      <c r="CA16" s="58">
        <f>+CA7*Parámetros!$G$20</f>
        <v>19356929.017969172</v>
      </c>
      <c r="CB16" s="58">
        <f>+CB7*Parámetros!$G$20</f>
        <v>6452309.6726563917</v>
      </c>
      <c r="CC16" s="59">
        <f t="shared" ref="CC16:CC23" si="40">SUM(BQ16:CB16)</f>
        <v>158081586.98008159</v>
      </c>
      <c r="CD16" s="58">
        <f>+CD7*Parámetros!$G$20</f>
        <v>11285089.617476031</v>
      </c>
      <c r="CE16" s="58">
        <f>+CE7*Parámetros!$G$20</f>
        <v>3761696.5391586786</v>
      </c>
      <c r="CF16" s="58">
        <f>+CF7*Parámetros!$G$20</f>
        <v>11285089.617476031</v>
      </c>
      <c r="CG16" s="58">
        <f>+CG7*Parámetros!$G$20</f>
        <v>22570179.234952062</v>
      </c>
      <c r="CH16" s="58">
        <f>+CH7*Parámetros!$G$20</f>
        <v>22570179.234952062</v>
      </c>
      <c r="CI16" s="58">
        <f>+CI7*Parámetros!$G$20</f>
        <v>22570179.234952062</v>
      </c>
      <c r="CJ16" s="58">
        <f>+CJ7*Parámetros!$G$20</f>
        <v>11285089.617476031</v>
      </c>
      <c r="CK16" s="58">
        <f>+CK7*Parámetros!$G$20</f>
        <v>22570179.234952062</v>
      </c>
      <c r="CL16" s="58">
        <f>+CL7*Parámetros!$G$20</f>
        <v>3761696.5391586786</v>
      </c>
      <c r="CM16" s="58">
        <f>+CM7*Parámetros!$G$20</f>
        <v>22570179.234952062</v>
      </c>
      <c r="CN16" s="58">
        <f>+CN7*Parámetros!$G$20</f>
        <v>22570179.234952062</v>
      </c>
      <c r="CO16" s="58">
        <f>+CO7*Parámetros!$G$20</f>
        <v>7523393.0783173572</v>
      </c>
      <c r="CP16" s="59">
        <f t="shared" ref="CP16:CP23" si="41">SUM(CD16:CO16)</f>
        <v>184323130.41877517</v>
      </c>
    </row>
    <row r="17" spans="2:95" outlineLevel="1" x14ac:dyDescent="0.25">
      <c r="B17" s="53" t="s">
        <v>48</v>
      </c>
      <c r="D17" s="58">
        <f>+D7*Parámetros!$C$21</f>
        <v>65254.591105686537</v>
      </c>
      <c r="E17" s="58">
        <f>+E7*Parámetros!$C$21</f>
        <v>21751.53036856218</v>
      </c>
      <c r="F17" s="58">
        <f>+F7*Parámetros!$C$21</f>
        <v>65254.591105686537</v>
      </c>
      <c r="G17" s="58">
        <f>+G7*Parámetros!$C$21</f>
        <v>130509.18221137307</v>
      </c>
      <c r="H17" s="58">
        <f>+H7*Parámetros!$C$21</f>
        <v>130509.18221137307</v>
      </c>
      <c r="I17" s="58">
        <f>+I7*Parámetros!$C$21</f>
        <v>130509.18221137307</v>
      </c>
      <c r="J17" s="58">
        <f>+J7*Parámetros!$C$21</f>
        <v>65254.591105686537</v>
      </c>
      <c r="K17" s="58">
        <f>+K7*Parámetros!$C$21</f>
        <v>130509.18221137307</v>
      </c>
      <c r="L17" s="58">
        <f>+L7*Parámetros!$C$21</f>
        <v>21751.53036856218</v>
      </c>
      <c r="M17" s="58">
        <f>+M7*Parámetros!$C$21</f>
        <v>130509.18221137307</v>
      </c>
      <c r="N17" s="58">
        <f>+N7*Parámetros!$C$21</f>
        <v>130509.18221137307</v>
      </c>
      <c r="O17" s="58">
        <f>+O7*Parámetros!$C$21</f>
        <v>43503.06073712436</v>
      </c>
      <c r="P17" s="59">
        <f t="shared" si="35"/>
        <v>1065824.9880595468</v>
      </c>
      <c r="Q17" s="58">
        <f>+Q7*Parámetros!$D$21</f>
        <v>73320.058566349398</v>
      </c>
      <c r="R17" s="58">
        <f>+R7*Parámetros!$D$21</f>
        <v>24440.019522116472</v>
      </c>
      <c r="S17" s="58">
        <f>+S7*Parámetros!$D$21</f>
        <v>73320.058566349398</v>
      </c>
      <c r="T17" s="58">
        <f>+T7*Parámetros!$D$21</f>
        <v>146640.1171326988</v>
      </c>
      <c r="U17" s="58">
        <f>+U7*Parámetros!$D$21</f>
        <v>146640.1171326988</v>
      </c>
      <c r="V17" s="58">
        <f>+V7*Parámetros!$D$21</f>
        <v>146640.1171326988</v>
      </c>
      <c r="W17" s="58">
        <f>+W7*Parámetros!$D$21</f>
        <v>73320.058566349398</v>
      </c>
      <c r="X17" s="58">
        <f>+X7*Parámetros!$D$21</f>
        <v>146640.1171326988</v>
      </c>
      <c r="Y17" s="58">
        <f>+Y7*Parámetros!$D$21</f>
        <v>24440.019522116472</v>
      </c>
      <c r="Z17" s="58">
        <f>+Z7*Parámetros!$D$21</f>
        <v>146640.1171326988</v>
      </c>
      <c r="AA17" s="58">
        <f>+AA7*Parámetros!$D$21</f>
        <v>146640.1171326988</v>
      </c>
      <c r="AB17" s="58">
        <f>+AB7*Parámetros!$D$21</f>
        <v>48880.039044232944</v>
      </c>
      <c r="AC17" s="59">
        <f t="shared" si="36"/>
        <v>1197560.9565837069</v>
      </c>
      <c r="AD17" s="58">
        <f>+AD7*Parámetros!$E$21</f>
        <v>83936.803046756817</v>
      </c>
      <c r="AE17" s="58">
        <f>+AE7*Parámetros!$E$21</f>
        <v>27978.934348918941</v>
      </c>
      <c r="AF17" s="58">
        <f>+AF7*Parámetros!$E$21</f>
        <v>83936.803046756817</v>
      </c>
      <c r="AG17" s="58">
        <f>+AG7*Parámetros!$E$21</f>
        <v>167873.60609351363</v>
      </c>
      <c r="AH17" s="58">
        <f>+AH7*Parámetros!$E$21</f>
        <v>167873.60609351363</v>
      </c>
      <c r="AI17" s="58">
        <f>+AI7*Parámetros!$E$21</f>
        <v>167873.60609351363</v>
      </c>
      <c r="AJ17" s="58">
        <f>+AJ7*Parámetros!$E$21</f>
        <v>83936.803046756817</v>
      </c>
      <c r="AK17" s="58">
        <f>+AK7*Parámetros!$E$21</f>
        <v>167873.60609351363</v>
      </c>
      <c r="AL17" s="58">
        <f>+AL7*Parámetros!$E$21</f>
        <v>27978.934348918941</v>
      </c>
      <c r="AM17" s="58">
        <f>+AM7*Parámetros!$E$21</f>
        <v>167873.60609351363</v>
      </c>
      <c r="AN17" s="58">
        <f>+AN7*Parámetros!$E$21</f>
        <v>167873.60609351363</v>
      </c>
      <c r="AO17" s="58">
        <f>+AO7*Parámetros!$E$21</f>
        <v>55957.868697837883</v>
      </c>
      <c r="AP17" s="59">
        <f t="shared" si="37"/>
        <v>1370967.783097028</v>
      </c>
      <c r="AQ17" s="58">
        <f>+AQ7*Parámetros!$F$21</f>
        <v>98850.158630034086</v>
      </c>
      <c r="AR17" s="58">
        <f>+AR7*Parámetros!$F$21</f>
        <v>32950.052876678019</v>
      </c>
      <c r="AS17" s="58">
        <f>+AS7*Parámetros!$F$21</f>
        <v>98850.158630034086</v>
      </c>
      <c r="AT17" s="58">
        <f>+AT7*Parámetros!$F$21</f>
        <v>197700.31726006817</v>
      </c>
      <c r="AU17" s="58">
        <f>+AU7*Parámetros!$F$21</f>
        <v>197700.31726006817</v>
      </c>
      <c r="AV17" s="58">
        <f>+AV7*Parámetros!$F$21</f>
        <v>197700.31726006817</v>
      </c>
      <c r="AW17" s="58">
        <f>+AW7*Parámetros!$F$21</f>
        <v>98850.158630034086</v>
      </c>
      <c r="AX17" s="58">
        <f>+AX7*Parámetros!$F$21</f>
        <v>197700.31726006817</v>
      </c>
      <c r="AY17" s="58">
        <f>+AY7*Parámetros!$F$21</f>
        <v>32950.052876678019</v>
      </c>
      <c r="AZ17" s="58">
        <f>+AZ7*Parámetros!$F$21</f>
        <v>197700.31726006817</v>
      </c>
      <c r="BA17" s="58">
        <f>+BA7*Parámetros!$F$21</f>
        <v>197700.31726006817</v>
      </c>
      <c r="BB17" s="58">
        <f>+BB7*Parámetros!$F$21</f>
        <v>65900.105753356038</v>
      </c>
      <c r="BC17" s="59">
        <f t="shared" si="38"/>
        <v>1614552.5909572234</v>
      </c>
      <c r="BD17" s="58">
        <f>+BD7*Parámetros!$G$21</f>
        <v>114116.78420303651</v>
      </c>
      <c r="BE17" s="58">
        <f>+BE7*Parámetros!$G$21</f>
        <v>38038.928067678848</v>
      </c>
      <c r="BF17" s="58">
        <f>+BF7*Parámetros!$G$21</f>
        <v>114116.78420303651</v>
      </c>
      <c r="BG17" s="58">
        <f>+BG7*Parámetros!$G$21</f>
        <v>228233.56840607303</v>
      </c>
      <c r="BH17" s="58">
        <f>+BH7*Parámetros!$G$21</f>
        <v>228233.56840607303</v>
      </c>
      <c r="BI17" s="58">
        <f>+BI7*Parámetros!$G$21</f>
        <v>228233.56840607303</v>
      </c>
      <c r="BJ17" s="58">
        <f>+BJ7*Parámetros!$G$21</f>
        <v>114116.78420303651</v>
      </c>
      <c r="BK17" s="58">
        <f>+BK7*Parámetros!$G$21</f>
        <v>228233.56840607303</v>
      </c>
      <c r="BL17" s="58">
        <f>+BL7*Parámetros!$G$21</f>
        <v>38038.928067678848</v>
      </c>
      <c r="BM17" s="58">
        <f>+BM7*Parámetros!$G$21</f>
        <v>228233.56840607303</v>
      </c>
      <c r="BN17" s="58">
        <f>+BN7*Parámetros!$G$21</f>
        <v>228233.56840607303</v>
      </c>
      <c r="BO17" s="58">
        <f>+BO7*Parámetros!$G$21</f>
        <v>76077.856135357695</v>
      </c>
      <c r="BP17" s="59">
        <f t="shared" si="39"/>
        <v>1863907.4753162628</v>
      </c>
      <c r="BQ17" s="58">
        <f>+BQ7*Parámetros!$G$21</f>
        <v>133060.17038074057</v>
      </c>
      <c r="BR17" s="58">
        <f>+BR7*Parámetros!$G$21</f>
        <v>44353.390126913531</v>
      </c>
      <c r="BS17" s="58">
        <f>+BS7*Parámetros!$G$21</f>
        <v>133060.17038074057</v>
      </c>
      <c r="BT17" s="58">
        <f>+BT7*Parámetros!$G$21</f>
        <v>266120.34076148114</v>
      </c>
      <c r="BU17" s="58">
        <f>+BU7*Parámetros!$G$21</f>
        <v>266120.34076148114</v>
      </c>
      <c r="BV17" s="58">
        <f>+BV7*Parámetros!$G$21</f>
        <v>266120.34076148114</v>
      </c>
      <c r="BW17" s="58">
        <f>+BW7*Parámetros!$G$21</f>
        <v>133060.17038074057</v>
      </c>
      <c r="BX17" s="58">
        <f>+BX7*Parámetros!$G$21</f>
        <v>266120.34076148114</v>
      </c>
      <c r="BY17" s="58">
        <f>+BY7*Parámetros!$G$21</f>
        <v>44353.390126913531</v>
      </c>
      <c r="BZ17" s="58">
        <f>+BZ7*Parámetros!$G$21</f>
        <v>266120.34076148114</v>
      </c>
      <c r="CA17" s="58">
        <f>+CA7*Parámetros!$G$21</f>
        <v>266120.34076148114</v>
      </c>
      <c r="CB17" s="58">
        <f>+CB7*Parámetros!$G$21</f>
        <v>88706.780253827063</v>
      </c>
      <c r="CC17" s="59">
        <f t="shared" si="40"/>
        <v>2173316.1162187625</v>
      </c>
      <c r="CD17" s="58">
        <f>+CD7*Parámetros!$G$21</f>
        <v>155148.15866394356</v>
      </c>
      <c r="CE17" s="58">
        <f>+CE7*Parámetros!$G$21</f>
        <v>51716.052887981205</v>
      </c>
      <c r="CF17" s="58">
        <f>+CF7*Parámetros!$G$21</f>
        <v>155148.15866394356</v>
      </c>
      <c r="CG17" s="58">
        <f>+CG7*Parámetros!$G$21</f>
        <v>310296.31732788711</v>
      </c>
      <c r="CH17" s="58">
        <f>+CH7*Parámetros!$G$21</f>
        <v>310296.31732788711</v>
      </c>
      <c r="CI17" s="58">
        <f>+CI7*Parámetros!$G$21</f>
        <v>310296.31732788711</v>
      </c>
      <c r="CJ17" s="58">
        <f>+CJ7*Parámetros!$G$21</f>
        <v>155148.15866394356</v>
      </c>
      <c r="CK17" s="58">
        <f>+CK7*Parámetros!$G$21</f>
        <v>310296.31732788711</v>
      </c>
      <c r="CL17" s="58">
        <f>+CL7*Parámetros!$G$21</f>
        <v>51716.052887981205</v>
      </c>
      <c r="CM17" s="58">
        <f>+CM7*Parámetros!$G$21</f>
        <v>310296.31732788711</v>
      </c>
      <c r="CN17" s="58">
        <f>+CN7*Parámetros!$G$21</f>
        <v>310296.31732788711</v>
      </c>
      <c r="CO17" s="58">
        <f>+CO7*Parámetros!$G$21</f>
        <v>103432.10577596241</v>
      </c>
      <c r="CP17" s="59">
        <f t="shared" si="41"/>
        <v>2534086.5915110786</v>
      </c>
    </row>
    <row r="18" spans="2:95" outlineLevel="1" x14ac:dyDescent="0.25">
      <c r="B18" s="53" t="s">
        <v>49</v>
      </c>
      <c r="D18" s="58">
        <f>+D7*Parámetros!$C$22</f>
        <v>12235.235832316226</v>
      </c>
      <c r="E18" s="58">
        <f>+E7*Parámetros!$C$22</f>
        <v>4078.4119441054086</v>
      </c>
      <c r="F18" s="58">
        <f>+F7*Parámetros!$C$22</f>
        <v>12235.235832316226</v>
      </c>
      <c r="G18" s="58">
        <f>+G7*Parámetros!$C$22</f>
        <v>24470.471664632452</v>
      </c>
      <c r="H18" s="58">
        <f>+H7*Parámetros!$C$22</f>
        <v>24470.471664632452</v>
      </c>
      <c r="I18" s="58">
        <f>+I7*Parámetros!$C$22</f>
        <v>24470.471664632452</v>
      </c>
      <c r="J18" s="58">
        <f>+J7*Parámetros!$C$22</f>
        <v>12235.235832316226</v>
      </c>
      <c r="K18" s="58">
        <f>+K7*Parámetros!$C$22</f>
        <v>24470.471664632452</v>
      </c>
      <c r="L18" s="58">
        <f>+L7*Parámetros!$C$22</f>
        <v>4078.4119441054086</v>
      </c>
      <c r="M18" s="58">
        <f>+M7*Parámetros!$C$22</f>
        <v>24470.471664632452</v>
      </c>
      <c r="N18" s="58">
        <f>+N7*Parámetros!$C$22</f>
        <v>24470.471664632452</v>
      </c>
      <c r="O18" s="58">
        <f>+O7*Parámetros!$C$22</f>
        <v>8156.8238882108171</v>
      </c>
      <c r="P18" s="59">
        <f t="shared" si="35"/>
        <v>199842.18526116497</v>
      </c>
      <c r="Q18" s="58">
        <f>+Q7*Parámetros!$D$22</f>
        <v>13747.510981190513</v>
      </c>
      <c r="R18" s="58">
        <f>+R7*Parámetros!$D$22</f>
        <v>4582.5036603968383</v>
      </c>
      <c r="S18" s="58">
        <f>+S7*Parámetros!$D$22</f>
        <v>13747.510981190513</v>
      </c>
      <c r="T18" s="58">
        <f>+T7*Parámetros!$D$22</f>
        <v>27495.021962381026</v>
      </c>
      <c r="U18" s="58">
        <f>+U7*Parámetros!$D$22</f>
        <v>27495.021962381026</v>
      </c>
      <c r="V18" s="58">
        <f>+V7*Parámetros!$D$22</f>
        <v>27495.021962381026</v>
      </c>
      <c r="W18" s="58">
        <f>+W7*Parámetros!$D$22</f>
        <v>13747.510981190513</v>
      </c>
      <c r="X18" s="58">
        <f>+X7*Parámetros!$D$22</f>
        <v>27495.021962381026</v>
      </c>
      <c r="Y18" s="58">
        <f>+Y7*Parámetros!$D$22</f>
        <v>4582.5036603968383</v>
      </c>
      <c r="Z18" s="58">
        <f>+Z7*Parámetros!$D$22</f>
        <v>27495.021962381026</v>
      </c>
      <c r="AA18" s="58">
        <f>+AA7*Parámetros!$D$22</f>
        <v>27495.021962381026</v>
      </c>
      <c r="AB18" s="58">
        <f>+AB7*Parámetros!$D$22</f>
        <v>9165.0073207936766</v>
      </c>
      <c r="AC18" s="59">
        <f t="shared" si="36"/>
        <v>224542.67935944506</v>
      </c>
      <c r="AD18" s="58">
        <f>+AD7*Parámetros!$E$22</f>
        <v>15738.150571266902</v>
      </c>
      <c r="AE18" s="58">
        <f>+AE7*Parámetros!$E$22</f>
        <v>5246.0501904223011</v>
      </c>
      <c r="AF18" s="58">
        <f>+AF7*Parámetros!$E$22</f>
        <v>15738.150571266902</v>
      </c>
      <c r="AG18" s="58">
        <f>+AG7*Parámetros!$E$22</f>
        <v>31476.301142533805</v>
      </c>
      <c r="AH18" s="58">
        <f>+AH7*Parámetros!$E$22</f>
        <v>31476.301142533805</v>
      </c>
      <c r="AI18" s="58">
        <f>+AI7*Parámetros!$E$22</f>
        <v>31476.301142533805</v>
      </c>
      <c r="AJ18" s="58">
        <f>+AJ7*Parámetros!$E$22</f>
        <v>15738.150571266902</v>
      </c>
      <c r="AK18" s="58">
        <f>+AK7*Parámetros!$E$22</f>
        <v>31476.301142533805</v>
      </c>
      <c r="AL18" s="58">
        <f>+AL7*Parámetros!$E$22</f>
        <v>5246.0501904223011</v>
      </c>
      <c r="AM18" s="58">
        <f>+AM7*Parámetros!$E$22</f>
        <v>31476.301142533805</v>
      </c>
      <c r="AN18" s="58">
        <f>+AN7*Parámetros!$E$22</f>
        <v>31476.301142533805</v>
      </c>
      <c r="AO18" s="58">
        <f>+AO7*Parámetros!$E$22</f>
        <v>10492.100380844602</v>
      </c>
      <c r="AP18" s="59">
        <f t="shared" si="37"/>
        <v>257056.45933069277</v>
      </c>
      <c r="AQ18" s="58">
        <f>+AQ7*Parámetros!$F$22</f>
        <v>18534.404743131388</v>
      </c>
      <c r="AR18" s="58">
        <f>+AR7*Parámetros!$F$22</f>
        <v>6178.1349143771286</v>
      </c>
      <c r="AS18" s="58">
        <f>+AS7*Parámetros!$F$22</f>
        <v>18534.404743131388</v>
      </c>
      <c r="AT18" s="58">
        <f>+AT7*Parámetros!$F$22</f>
        <v>37068.809486262777</v>
      </c>
      <c r="AU18" s="58">
        <f>+AU7*Parámetros!$F$22</f>
        <v>37068.809486262777</v>
      </c>
      <c r="AV18" s="58">
        <f>+AV7*Parámetros!$F$22</f>
        <v>37068.809486262777</v>
      </c>
      <c r="AW18" s="58">
        <f>+AW7*Parámetros!$F$22</f>
        <v>18534.404743131388</v>
      </c>
      <c r="AX18" s="58">
        <f>+AX7*Parámetros!$F$22</f>
        <v>37068.809486262777</v>
      </c>
      <c r="AY18" s="58">
        <f>+AY7*Parámetros!$F$22</f>
        <v>6178.1349143771286</v>
      </c>
      <c r="AZ18" s="58">
        <f>+AZ7*Parámetros!$F$22</f>
        <v>37068.809486262777</v>
      </c>
      <c r="BA18" s="58">
        <f>+BA7*Parámetros!$F$22</f>
        <v>37068.809486262777</v>
      </c>
      <c r="BB18" s="58">
        <f>+BB7*Parámetros!$F$22</f>
        <v>12356.269828754257</v>
      </c>
      <c r="BC18" s="59">
        <f t="shared" si="38"/>
        <v>302728.61080447934</v>
      </c>
      <c r="BD18" s="58">
        <f>+BD7*Parámetros!$G$22</f>
        <v>21396.897038069346</v>
      </c>
      <c r="BE18" s="58">
        <f>+BE7*Parámetros!$G$22</f>
        <v>7132.299012689783</v>
      </c>
      <c r="BF18" s="58">
        <f>+BF7*Parámetros!$G$22</f>
        <v>21396.897038069346</v>
      </c>
      <c r="BG18" s="58">
        <f>+BG7*Parámetros!$G$22</f>
        <v>42793.794076138693</v>
      </c>
      <c r="BH18" s="58">
        <f>+BH7*Parámetros!$G$22</f>
        <v>42793.794076138693</v>
      </c>
      <c r="BI18" s="58">
        <f>+BI7*Parámetros!$G$22</f>
        <v>42793.794076138693</v>
      </c>
      <c r="BJ18" s="58">
        <f>+BJ7*Parámetros!$G$22</f>
        <v>21396.897038069346</v>
      </c>
      <c r="BK18" s="58">
        <f>+BK7*Parámetros!$G$22</f>
        <v>42793.794076138693</v>
      </c>
      <c r="BL18" s="58">
        <f>+BL7*Parámetros!$G$22</f>
        <v>7132.299012689783</v>
      </c>
      <c r="BM18" s="58">
        <f>+BM7*Parámetros!$G$22</f>
        <v>42793.794076138693</v>
      </c>
      <c r="BN18" s="58">
        <f>+BN7*Parámetros!$G$22</f>
        <v>42793.794076138693</v>
      </c>
      <c r="BO18" s="58">
        <f>+BO7*Parámetros!$G$22</f>
        <v>14264.598025379566</v>
      </c>
      <c r="BP18" s="59">
        <f t="shared" si="39"/>
        <v>349482.65162179939</v>
      </c>
      <c r="BQ18" s="58">
        <f>+BQ7*Parámetros!$G$22</f>
        <v>24948.781946388855</v>
      </c>
      <c r="BR18" s="58">
        <f>+BR7*Parámetros!$G$22</f>
        <v>8316.2606487962876</v>
      </c>
      <c r="BS18" s="58">
        <f>+BS7*Parámetros!$G$22</f>
        <v>24948.781946388855</v>
      </c>
      <c r="BT18" s="58">
        <f>+BT7*Parámetros!$G$22</f>
        <v>49897.563892777711</v>
      </c>
      <c r="BU18" s="58">
        <f>+BU7*Parámetros!$G$22</f>
        <v>49897.563892777711</v>
      </c>
      <c r="BV18" s="58">
        <f>+BV7*Parámetros!$G$22</f>
        <v>49897.563892777711</v>
      </c>
      <c r="BW18" s="58">
        <f>+BW7*Parámetros!$G$22</f>
        <v>24948.781946388855</v>
      </c>
      <c r="BX18" s="58">
        <f>+BX7*Parámetros!$G$22</f>
        <v>49897.563892777711</v>
      </c>
      <c r="BY18" s="58">
        <f>+BY7*Parámetros!$G$22</f>
        <v>8316.2606487962876</v>
      </c>
      <c r="BZ18" s="58">
        <f>+BZ7*Parámetros!$G$22</f>
        <v>49897.563892777711</v>
      </c>
      <c r="CA18" s="58">
        <f>+CA7*Parámetros!$G$22</f>
        <v>49897.563892777711</v>
      </c>
      <c r="CB18" s="58">
        <f>+CB7*Parámetros!$G$22</f>
        <v>16632.521297592575</v>
      </c>
      <c r="CC18" s="59">
        <f t="shared" si="40"/>
        <v>407496.77179101796</v>
      </c>
      <c r="CD18" s="58">
        <f>+CD7*Parámetros!$G$22</f>
        <v>29090.279749489415</v>
      </c>
      <c r="CE18" s="58">
        <f>+CE7*Parámetros!$G$22</f>
        <v>9696.7599164964759</v>
      </c>
      <c r="CF18" s="58">
        <f>+CF7*Parámetros!$G$22</f>
        <v>29090.279749489415</v>
      </c>
      <c r="CG18" s="58">
        <f>+CG7*Parámetros!$G$22</f>
        <v>58180.55949897883</v>
      </c>
      <c r="CH18" s="58">
        <f>+CH7*Parámetros!$G$22</f>
        <v>58180.55949897883</v>
      </c>
      <c r="CI18" s="58">
        <f>+CI7*Parámetros!$G$22</f>
        <v>58180.55949897883</v>
      </c>
      <c r="CJ18" s="58">
        <f>+CJ7*Parámetros!$G$22</f>
        <v>29090.279749489415</v>
      </c>
      <c r="CK18" s="58">
        <f>+CK7*Parámetros!$G$22</f>
        <v>58180.55949897883</v>
      </c>
      <c r="CL18" s="58">
        <f>+CL7*Parámetros!$G$22</f>
        <v>9696.7599164964759</v>
      </c>
      <c r="CM18" s="58">
        <f>+CM7*Parámetros!$G$22</f>
        <v>58180.55949897883</v>
      </c>
      <c r="CN18" s="58">
        <f>+CN7*Parámetros!$G$22</f>
        <v>58180.55949897883</v>
      </c>
      <c r="CO18" s="58">
        <f>+CO7*Parámetros!$G$22</f>
        <v>19393.519832992952</v>
      </c>
      <c r="CP18" s="59">
        <f t="shared" si="41"/>
        <v>475141.2359083271</v>
      </c>
    </row>
    <row r="19" spans="2:95" outlineLevel="1" x14ac:dyDescent="0.25">
      <c r="B19" s="53" t="s">
        <v>50</v>
      </c>
      <c r="D19" s="58">
        <f>+D7*Parámetros!$C$23</f>
        <v>203920.5972052704</v>
      </c>
      <c r="E19" s="58">
        <f>+E7*Parámetros!$C$23</f>
        <v>67973.532401756805</v>
      </c>
      <c r="F19" s="58">
        <f>+F7*Parámetros!$C$23</f>
        <v>203920.5972052704</v>
      </c>
      <c r="G19" s="58">
        <f>+G7*Parámetros!$C$23</f>
        <v>407841.1944105408</v>
      </c>
      <c r="H19" s="58">
        <f>+H7*Parámetros!$C$23</f>
        <v>407841.1944105408</v>
      </c>
      <c r="I19" s="58">
        <f>+I7*Parámetros!$C$23</f>
        <v>407841.1944105408</v>
      </c>
      <c r="J19" s="58">
        <f>+J7*Parámetros!$C$23</f>
        <v>203920.5972052704</v>
      </c>
      <c r="K19" s="58">
        <f>+K7*Parámetros!$C$23</f>
        <v>407841.1944105408</v>
      </c>
      <c r="L19" s="58">
        <f>+L7*Parámetros!$C$23</f>
        <v>67973.532401756805</v>
      </c>
      <c r="M19" s="58">
        <f>+M7*Parámetros!$C$23</f>
        <v>407841.1944105408</v>
      </c>
      <c r="N19" s="58">
        <f>+N7*Parámetros!$C$23</f>
        <v>407841.1944105408</v>
      </c>
      <c r="O19" s="58">
        <f>+O7*Parámetros!$C$23</f>
        <v>135947.06480351361</v>
      </c>
      <c r="P19" s="59">
        <f t="shared" si="35"/>
        <v>3330703.0876860828</v>
      </c>
      <c r="Q19" s="58">
        <f>+Q7*Parámetros!$D$23</f>
        <v>229125.18301984188</v>
      </c>
      <c r="R19" s="58">
        <f>+R7*Parámetros!$D$23</f>
        <v>76375.061006613963</v>
      </c>
      <c r="S19" s="58">
        <f>+S7*Parámetros!$D$23</f>
        <v>229125.18301984188</v>
      </c>
      <c r="T19" s="58">
        <f>+T7*Parámetros!$D$23</f>
        <v>458250.36603968375</v>
      </c>
      <c r="U19" s="58">
        <f>+U7*Parámetros!$D$23</f>
        <v>458250.36603968375</v>
      </c>
      <c r="V19" s="58">
        <f>+V7*Parámetros!$D$23</f>
        <v>458250.36603968375</v>
      </c>
      <c r="W19" s="58">
        <f>+W7*Parámetros!$D$23</f>
        <v>229125.18301984188</v>
      </c>
      <c r="X19" s="58">
        <f>+X7*Parámetros!$D$23</f>
        <v>458250.36603968375</v>
      </c>
      <c r="Y19" s="58">
        <f>+Y7*Parámetros!$D$23</f>
        <v>76375.061006613963</v>
      </c>
      <c r="Z19" s="58">
        <f>+Z7*Parámetros!$D$23</f>
        <v>458250.36603968375</v>
      </c>
      <c r="AA19" s="58">
        <f>+AA7*Parámetros!$D$23</f>
        <v>458250.36603968375</v>
      </c>
      <c r="AB19" s="58">
        <f>+AB7*Parámetros!$D$23</f>
        <v>152750.12201322793</v>
      </c>
      <c r="AC19" s="59">
        <f t="shared" si="36"/>
        <v>3742377.9893240836</v>
      </c>
      <c r="AD19" s="58">
        <f>+AD7*Parámetros!$E$23</f>
        <v>262302.50952111505</v>
      </c>
      <c r="AE19" s="58">
        <f>+AE7*Parámetros!$E$23</f>
        <v>87434.169840371687</v>
      </c>
      <c r="AF19" s="58">
        <f>+AF7*Parámetros!$E$23</f>
        <v>262302.50952111505</v>
      </c>
      <c r="AG19" s="58">
        <f>+AG7*Parámetros!$E$23</f>
        <v>524605.01904223009</v>
      </c>
      <c r="AH19" s="58">
        <f>+AH7*Parámetros!$E$23</f>
        <v>524605.01904223009</v>
      </c>
      <c r="AI19" s="58">
        <f>+AI7*Parámetros!$E$23</f>
        <v>524605.01904223009</v>
      </c>
      <c r="AJ19" s="58">
        <f>+AJ7*Parámetros!$E$23</f>
        <v>262302.50952111505</v>
      </c>
      <c r="AK19" s="58">
        <f>+AK7*Parámetros!$E$23</f>
        <v>524605.01904223009</v>
      </c>
      <c r="AL19" s="58">
        <f>+AL7*Parámetros!$E$23</f>
        <v>87434.169840371687</v>
      </c>
      <c r="AM19" s="58">
        <f>+AM7*Parámetros!$E$23</f>
        <v>524605.01904223009</v>
      </c>
      <c r="AN19" s="58">
        <f>+AN7*Parámetros!$E$23</f>
        <v>524605.01904223009</v>
      </c>
      <c r="AO19" s="58">
        <f>+AO7*Parámetros!$E$23</f>
        <v>174868.33968074337</v>
      </c>
      <c r="AP19" s="59">
        <f t="shared" si="37"/>
        <v>4284274.3221782129</v>
      </c>
      <c r="AQ19" s="58">
        <f>+AQ7*Parámetros!$F$23</f>
        <v>308906.74571885646</v>
      </c>
      <c r="AR19" s="58">
        <f>+AR7*Parámetros!$F$23</f>
        <v>102968.91523961881</v>
      </c>
      <c r="AS19" s="58">
        <f>+AS7*Parámetros!$F$23</f>
        <v>308906.74571885646</v>
      </c>
      <c r="AT19" s="58">
        <f>+AT7*Parámetros!$F$23</f>
        <v>617813.49143771292</v>
      </c>
      <c r="AU19" s="58">
        <f>+AU7*Parámetros!$F$23</f>
        <v>617813.49143771292</v>
      </c>
      <c r="AV19" s="58">
        <f>+AV7*Parámetros!$F$23</f>
        <v>617813.49143771292</v>
      </c>
      <c r="AW19" s="58">
        <f>+AW7*Parámetros!$F$23</f>
        <v>308906.74571885646</v>
      </c>
      <c r="AX19" s="58">
        <f>+AX7*Parámetros!$F$23</f>
        <v>617813.49143771292</v>
      </c>
      <c r="AY19" s="58">
        <f>+AY7*Parámetros!$F$23</f>
        <v>102968.91523961881</v>
      </c>
      <c r="AZ19" s="58">
        <f>+AZ7*Parámetros!$F$23</f>
        <v>617813.49143771292</v>
      </c>
      <c r="BA19" s="58">
        <f>+BA7*Parámetros!$F$23</f>
        <v>617813.49143771292</v>
      </c>
      <c r="BB19" s="58">
        <f>+BB7*Parámetros!$F$23</f>
        <v>205937.83047923763</v>
      </c>
      <c r="BC19" s="59">
        <f t="shared" si="38"/>
        <v>5045476.8467413215</v>
      </c>
      <c r="BD19" s="58">
        <f>+BD7*Parámetros!$G$23</f>
        <v>356614.95063448907</v>
      </c>
      <c r="BE19" s="58">
        <f>+BE7*Parámetros!$G$23</f>
        <v>118871.65021149638</v>
      </c>
      <c r="BF19" s="58">
        <f>+BF7*Parámetros!$G$23</f>
        <v>356614.95063448907</v>
      </c>
      <c r="BG19" s="58">
        <f>+BG7*Parámetros!$G$23</f>
        <v>713229.90126897814</v>
      </c>
      <c r="BH19" s="58">
        <f>+BH7*Parámetros!$G$23</f>
        <v>713229.90126897814</v>
      </c>
      <c r="BI19" s="58">
        <f>+BI7*Parámetros!$G$23</f>
        <v>713229.90126897814</v>
      </c>
      <c r="BJ19" s="58">
        <f>+BJ7*Parámetros!$G$23</f>
        <v>356614.95063448907</v>
      </c>
      <c r="BK19" s="58">
        <f>+BK7*Parámetros!$G$23</f>
        <v>713229.90126897814</v>
      </c>
      <c r="BL19" s="58">
        <f>+BL7*Parámetros!$G$23</f>
        <v>118871.65021149638</v>
      </c>
      <c r="BM19" s="58">
        <f>+BM7*Parámetros!$G$23</f>
        <v>713229.90126897814</v>
      </c>
      <c r="BN19" s="58">
        <f>+BN7*Parámetros!$G$23</f>
        <v>713229.90126897814</v>
      </c>
      <c r="BO19" s="58">
        <f>+BO7*Parámetros!$G$23</f>
        <v>237743.30042299276</v>
      </c>
      <c r="BP19" s="59">
        <f t="shared" si="39"/>
        <v>5824710.8603633214</v>
      </c>
      <c r="BQ19" s="58">
        <f>+BQ7*Parámetros!$G$23</f>
        <v>415813.03243981424</v>
      </c>
      <c r="BR19" s="58">
        <f>+BR7*Parámetros!$G$23</f>
        <v>138604.34414660477</v>
      </c>
      <c r="BS19" s="58">
        <f>+BS7*Parámetros!$G$23</f>
        <v>415813.03243981424</v>
      </c>
      <c r="BT19" s="58">
        <f>+BT7*Parámetros!$G$23</f>
        <v>831626.06487962848</v>
      </c>
      <c r="BU19" s="58">
        <f>+BU7*Parámetros!$G$23</f>
        <v>831626.06487962848</v>
      </c>
      <c r="BV19" s="58">
        <f>+BV7*Parámetros!$G$23</f>
        <v>831626.06487962848</v>
      </c>
      <c r="BW19" s="58">
        <f>+BW7*Parámetros!$G$23</f>
        <v>415813.03243981424</v>
      </c>
      <c r="BX19" s="58">
        <f>+BX7*Parámetros!$G$23</f>
        <v>831626.06487962848</v>
      </c>
      <c r="BY19" s="58">
        <f>+BY7*Parámetros!$G$23</f>
        <v>138604.34414660477</v>
      </c>
      <c r="BZ19" s="58">
        <f>+BZ7*Parámetros!$G$23</f>
        <v>831626.06487962848</v>
      </c>
      <c r="CA19" s="58">
        <f>+CA7*Parámetros!$G$23</f>
        <v>831626.06487962848</v>
      </c>
      <c r="CB19" s="58">
        <f>+CB7*Parámetros!$G$23</f>
        <v>277208.68829320953</v>
      </c>
      <c r="CC19" s="59">
        <f t="shared" si="40"/>
        <v>6791612.8631836334</v>
      </c>
      <c r="CD19" s="58">
        <f>+CD7*Parámetros!$G$23</f>
        <v>484837.99582482356</v>
      </c>
      <c r="CE19" s="58">
        <f>+CE7*Parámetros!$G$23</f>
        <v>161612.66527494125</v>
      </c>
      <c r="CF19" s="58">
        <f>+CF7*Parámetros!$G$23</f>
        <v>484837.99582482356</v>
      </c>
      <c r="CG19" s="58">
        <f>+CG7*Parámetros!$G$23</f>
        <v>969675.99164964713</v>
      </c>
      <c r="CH19" s="58">
        <f>+CH7*Parámetros!$G$23</f>
        <v>969675.99164964713</v>
      </c>
      <c r="CI19" s="58">
        <f>+CI7*Parámetros!$G$23</f>
        <v>969675.99164964713</v>
      </c>
      <c r="CJ19" s="58">
        <f>+CJ7*Parámetros!$G$23</f>
        <v>484837.99582482356</v>
      </c>
      <c r="CK19" s="58">
        <f>+CK7*Parámetros!$G$23</f>
        <v>969675.99164964713</v>
      </c>
      <c r="CL19" s="58">
        <f>+CL7*Parámetros!$G$23</f>
        <v>161612.66527494125</v>
      </c>
      <c r="CM19" s="58">
        <f>+CM7*Parámetros!$G$23</f>
        <v>969675.99164964713</v>
      </c>
      <c r="CN19" s="58">
        <f>+CN7*Parámetros!$G$23</f>
        <v>969675.99164964713</v>
      </c>
      <c r="CO19" s="58">
        <f>+CO7*Parámetros!$G$23</f>
        <v>323225.33054988249</v>
      </c>
      <c r="CP19" s="59">
        <f t="shared" si="41"/>
        <v>7919020.5984721193</v>
      </c>
    </row>
    <row r="20" spans="2:95" outlineLevel="1" x14ac:dyDescent="0.25">
      <c r="B20" s="53" t="s">
        <v>89</v>
      </c>
      <c r="D20" s="58">
        <f>+D7*Parámetros!$C$25*Parámetros!$C$26</f>
        <v>1132677</v>
      </c>
      <c r="E20" s="58">
        <f>+E7*Parámetros!$C$25*Parámetros!$C$26</f>
        <v>377559.00000000006</v>
      </c>
      <c r="F20" s="58">
        <f>+F7*Parámetros!$C$25*Parámetros!$C$26</f>
        <v>1132677</v>
      </c>
      <c r="G20" s="58">
        <f>+G7*Parámetros!$C$25*Parámetros!$C$26</f>
        <v>2265354</v>
      </c>
      <c r="H20" s="58">
        <f>+H7*Parámetros!$C$25*Parámetros!$C$26</f>
        <v>2265354</v>
      </c>
      <c r="I20" s="58">
        <f>+I7*Parámetros!$C$25*Parámetros!$C$26</f>
        <v>2265354</v>
      </c>
      <c r="J20" s="58">
        <f>+J7*Parámetros!$C$25*Parámetros!$C$26</f>
        <v>1132677</v>
      </c>
      <c r="K20" s="58">
        <f>+K7*Parámetros!$C$25*Parámetros!$C$26</f>
        <v>2265354</v>
      </c>
      <c r="L20" s="58">
        <f>+L7*Parámetros!$C$25*Parámetros!$C$26</f>
        <v>377559.00000000006</v>
      </c>
      <c r="M20" s="58">
        <f>+M7*Parámetros!$C$25*Parámetros!$C$26</f>
        <v>2265354</v>
      </c>
      <c r="N20" s="58">
        <f>+N7*Parámetros!$C$25*Parámetros!$C$26</f>
        <v>2265354</v>
      </c>
      <c r="O20" s="58">
        <f>+O7*Parámetros!$C$25*Parámetros!$C$26</f>
        <v>755118.00000000012</v>
      </c>
      <c r="P20" s="59">
        <f t="shared" si="35"/>
        <v>18500391</v>
      </c>
      <c r="Q20" s="58">
        <f>+Q7*Parámetros!$D$25*Parámetros!$D$26</f>
        <v>1308027.9849000005</v>
      </c>
      <c r="R20" s="58">
        <f>+R7*Parámetros!$D$25*Parámetros!$D$26</f>
        <v>436009.32830000023</v>
      </c>
      <c r="S20" s="58">
        <f>+S7*Parámetros!$D$25*Parámetros!$D$26</f>
        <v>1308027.9849000005</v>
      </c>
      <c r="T20" s="58">
        <f>+T7*Parámetros!$D$25*Parámetros!$D$26</f>
        <v>2616055.969800001</v>
      </c>
      <c r="U20" s="58">
        <f>+U7*Parámetros!$D$25*Parámetros!$D$26</f>
        <v>2616055.969800001</v>
      </c>
      <c r="V20" s="58">
        <f>+V7*Parámetros!$D$25*Parámetros!$D$26</f>
        <v>2616055.969800001</v>
      </c>
      <c r="W20" s="58">
        <f>+W7*Parámetros!$D$25*Parámetros!$D$26</f>
        <v>1308027.9849000005</v>
      </c>
      <c r="X20" s="58">
        <f>+X7*Parámetros!$D$25*Parámetros!$D$26</f>
        <v>2616055.969800001</v>
      </c>
      <c r="Y20" s="58">
        <f>+Y7*Parámetros!$D$25*Parámetros!$D$26</f>
        <v>436009.32830000023</v>
      </c>
      <c r="Z20" s="58">
        <f>+Z7*Parámetros!$D$25*Parámetros!$D$26</f>
        <v>2616055.969800001</v>
      </c>
      <c r="AA20" s="58">
        <f>+AA7*Parámetros!$D$25*Parámetros!$D$26</f>
        <v>2616055.969800001</v>
      </c>
      <c r="AB20" s="58">
        <f>+AB7*Parámetros!$D$25*Parámetros!$D$26</f>
        <v>872018.65660000045</v>
      </c>
      <c r="AC20" s="59">
        <f t="shared" si="36"/>
        <v>21364457.086700011</v>
      </c>
      <c r="AD20" s="58">
        <f>+AD7*Parámetros!$E$25*Parámetros!$E$26</f>
        <v>1537901.5300084807</v>
      </c>
      <c r="AE20" s="58">
        <f>+AE7*Parámetros!$E$25*Parámetros!$E$26</f>
        <v>512633.84333616029</v>
      </c>
      <c r="AF20" s="58">
        <f>+AF7*Parámetros!$E$25*Parámetros!$E$26</f>
        <v>1537901.5300084807</v>
      </c>
      <c r="AG20" s="58">
        <f>+AG7*Parámetros!$E$25*Parámetros!$E$26</f>
        <v>3075803.0600169613</v>
      </c>
      <c r="AH20" s="58">
        <f>+AH7*Parámetros!$E$25*Parámetros!$E$26</f>
        <v>3075803.0600169613</v>
      </c>
      <c r="AI20" s="58">
        <f>+AI7*Parámetros!$E$25*Parámetros!$E$26</f>
        <v>3075803.0600169613</v>
      </c>
      <c r="AJ20" s="58">
        <f>+AJ7*Parámetros!$E$25*Parámetros!$E$26</f>
        <v>1537901.5300084807</v>
      </c>
      <c r="AK20" s="58">
        <f>+AK7*Parámetros!$E$25*Parámetros!$E$26</f>
        <v>3075803.0600169613</v>
      </c>
      <c r="AL20" s="58">
        <f>+AL7*Parámetros!$E$25*Parámetros!$E$26</f>
        <v>512633.84333616029</v>
      </c>
      <c r="AM20" s="58">
        <f>+AM7*Parámetros!$E$25*Parámetros!$E$26</f>
        <v>3075803.0600169613</v>
      </c>
      <c r="AN20" s="58">
        <f>+AN7*Parámetros!$E$25*Parámetros!$E$26</f>
        <v>3075803.0600169613</v>
      </c>
      <c r="AO20" s="58">
        <f>+AO7*Parámetros!$E$25*Parámetros!$E$26</f>
        <v>1025267.6866723206</v>
      </c>
      <c r="AP20" s="59">
        <f t="shared" si="37"/>
        <v>25119058.323471852</v>
      </c>
      <c r="AQ20" s="58">
        <f>+AQ7*Parámetros!$F$25*Parámetros!$F$26</f>
        <v>1811146.0608527942</v>
      </c>
      <c r="AR20" s="58">
        <f>+AR7*Parámetros!$F$25*Parámetros!$F$26</f>
        <v>603715.35361759795</v>
      </c>
      <c r="AS20" s="58">
        <f>+AS7*Parámetros!$F$25*Parámetros!$F$26</f>
        <v>1811146.0608527942</v>
      </c>
      <c r="AT20" s="58">
        <f>+AT7*Parámetros!$F$25*Parámetros!$F$26</f>
        <v>3622292.1217055884</v>
      </c>
      <c r="AU20" s="58">
        <f>+AU7*Parámetros!$F$25*Parámetros!$F$26</f>
        <v>3622292.1217055884</v>
      </c>
      <c r="AV20" s="58">
        <f>+AV7*Parámetros!$F$25*Parámetros!$F$26</f>
        <v>3622292.1217055884</v>
      </c>
      <c r="AW20" s="58">
        <f>+AW7*Parámetros!$F$25*Parámetros!$F$26</f>
        <v>1811146.0608527942</v>
      </c>
      <c r="AX20" s="58">
        <f>+AX7*Parámetros!$F$25*Parámetros!$F$26</f>
        <v>3622292.1217055884</v>
      </c>
      <c r="AY20" s="58">
        <f>+AY7*Parámetros!$F$25*Parámetros!$F$26</f>
        <v>603715.35361759795</v>
      </c>
      <c r="AZ20" s="58">
        <f>+AZ7*Parámetros!$F$25*Parámetros!$F$26</f>
        <v>3622292.1217055884</v>
      </c>
      <c r="BA20" s="58">
        <f>+BA7*Parámetros!$F$25*Parámetros!$F$26</f>
        <v>3622292.1217055884</v>
      </c>
      <c r="BB20" s="58">
        <f>+BB7*Parámetros!$F$25*Parámetros!$F$26</f>
        <v>1207430.7072351959</v>
      </c>
      <c r="BC20" s="59">
        <f t="shared" si="38"/>
        <v>29582052.327262301</v>
      </c>
      <c r="BD20" s="58">
        <f>+BD7*Parámetros!$G$25*Parámetros!$G$26</f>
        <v>2090863.25253221</v>
      </c>
      <c r="BE20" s="58">
        <f>+BE7*Parámetros!$G$25*Parámetros!$G$26</f>
        <v>696954.41751073685</v>
      </c>
      <c r="BF20" s="58">
        <f>+BF7*Parámetros!$G$25*Parámetros!$G$26</f>
        <v>2090863.25253221</v>
      </c>
      <c r="BG20" s="58">
        <f>+BG7*Parámetros!$G$25*Parámetros!$G$26</f>
        <v>4181726.5050644199</v>
      </c>
      <c r="BH20" s="58">
        <f>+BH7*Parámetros!$G$25*Parámetros!$G$26</f>
        <v>4181726.5050644199</v>
      </c>
      <c r="BI20" s="58">
        <f>+BI7*Parámetros!$G$25*Parámetros!$G$26</f>
        <v>4181726.5050644199</v>
      </c>
      <c r="BJ20" s="58">
        <f>+BJ7*Parámetros!$G$25*Parámetros!$G$26</f>
        <v>2090863.25253221</v>
      </c>
      <c r="BK20" s="58">
        <f>+BK7*Parámetros!$G$25*Parámetros!$G$26</f>
        <v>4181726.5050644199</v>
      </c>
      <c r="BL20" s="58">
        <f>+BL7*Parámetros!$G$25*Parámetros!$G$26</f>
        <v>696954.41751073685</v>
      </c>
      <c r="BM20" s="58">
        <f>+BM7*Parámetros!$G$25*Parámetros!$G$26</f>
        <v>4181726.5050644199</v>
      </c>
      <c r="BN20" s="58">
        <f>+BN7*Parámetros!$G$25*Parámetros!$G$26</f>
        <v>4181726.5050644199</v>
      </c>
      <c r="BO20" s="58">
        <f>+BO7*Parámetros!$G$25*Parámetros!$G$26</f>
        <v>1393908.8350214737</v>
      </c>
      <c r="BP20" s="59">
        <f t="shared" si="39"/>
        <v>34150766.458026104</v>
      </c>
      <c r="BQ20" s="58">
        <f>+BQ7*Parámetros!$G$25*Parámetros!$G$26</f>
        <v>2437946.5524525568</v>
      </c>
      <c r="BR20" s="58">
        <f>+BR7*Parámetros!$G$25*Parámetros!$G$26</f>
        <v>812648.85081751901</v>
      </c>
      <c r="BS20" s="58">
        <f>+BS7*Parámetros!$G$25*Parámetros!$G$26</f>
        <v>2437946.5524525568</v>
      </c>
      <c r="BT20" s="58">
        <f>+BT7*Parámetros!$G$25*Parámetros!$G$26</f>
        <v>4875893.1049051136</v>
      </c>
      <c r="BU20" s="58">
        <f>+BU7*Parámetros!$G$25*Parámetros!$G$26</f>
        <v>4875893.1049051136</v>
      </c>
      <c r="BV20" s="58">
        <f>+BV7*Parámetros!$G$25*Parámetros!$G$26</f>
        <v>4875893.1049051136</v>
      </c>
      <c r="BW20" s="58">
        <f>+BW7*Parámetros!$G$25*Parámetros!$G$26</f>
        <v>2437946.5524525568</v>
      </c>
      <c r="BX20" s="58">
        <f>+BX7*Parámetros!$G$25*Parámetros!$G$26</f>
        <v>4875893.1049051136</v>
      </c>
      <c r="BY20" s="58">
        <f>+BY7*Parámetros!$G$25*Parámetros!$G$26</f>
        <v>812648.85081751901</v>
      </c>
      <c r="BZ20" s="58">
        <f>+BZ7*Parámetros!$G$25*Parámetros!$G$26</f>
        <v>4875893.1049051136</v>
      </c>
      <c r="CA20" s="58">
        <f>+CA7*Parámetros!$G$25*Parámetros!$G$26</f>
        <v>4875893.1049051136</v>
      </c>
      <c r="CB20" s="58">
        <f>+CB7*Parámetros!$G$25*Parámetros!$G$26</f>
        <v>1625297.701635038</v>
      </c>
      <c r="CC20" s="59">
        <f t="shared" si="40"/>
        <v>39819793.690058433</v>
      </c>
      <c r="CD20" s="58">
        <f>+CD7*Parámetros!$G$25*Parámetros!$G$26</f>
        <v>2842645.6801596819</v>
      </c>
      <c r="CE20" s="58">
        <f>+CE7*Parámetros!$G$25*Parámetros!$G$26</f>
        <v>947548.5600532277</v>
      </c>
      <c r="CF20" s="58">
        <f>+CF7*Parámetros!$G$25*Parámetros!$G$26</f>
        <v>2842645.6801596819</v>
      </c>
      <c r="CG20" s="58">
        <f>+CG7*Parámetros!$G$25*Parámetros!$G$26</f>
        <v>5685291.3603193639</v>
      </c>
      <c r="CH20" s="58">
        <f>+CH7*Parámetros!$G$25*Parámetros!$G$26</f>
        <v>5685291.3603193639</v>
      </c>
      <c r="CI20" s="58">
        <f>+CI7*Parámetros!$G$25*Parámetros!$G$26</f>
        <v>5685291.3603193639</v>
      </c>
      <c r="CJ20" s="58">
        <f>+CJ7*Parámetros!$G$25*Parámetros!$G$26</f>
        <v>2842645.6801596819</v>
      </c>
      <c r="CK20" s="58">
        <f>+CK7*Parámetros!$G$25*Parámetros!$G$26</f>
        <v>5685291.3603193639</v>
      </c>
      <c r="CL20" s="58">
        <f>+CL7*Parámetros!$G$25*Parámetros!$G$26</f>
        <v>947548.5600532277</v>
      </c>
      <c r="CM20" s="58">
        <f>+CM7*Parámetros!$G$25*Parámetros!$G$26</f>
        <v>5685291.3603193639</v>
      </c>
      <c r="CN20" s="58">
        <f>+CN7*Parámetros!$G$25*Parámetros!$G$26</f>
        <v>5685291.3603193639</v>
      </c>
      <c r="CO20" s="58">
        <f>+CO7*Parámetros!$G$25*Parámetros!$G$26</f>
        <v>1895097.1201064554</v>
      </c>
      <c r="CP20" s="59">
        <f t="shared" si="41"/>
        <v>46429879.44260814</v>
      </c>
    </row>
    <row r="21" spans="2:95" outlineLevel="1" x14ac:dyDescent="0.25">
      <c r="B21" s="67" t="s">
        <v>935</v>
      </c>
      <c r="P21" s="59">
        <f>SUM(P16:P20)</f>
        <v>100622209.26100679</v>
      </c>
      <c r="AC21" s="59">
        <f>SUM(AC16:AC20)</f>
        <v>113636532.08476725</v>
      </c>
      <c r="AP21" s="59">
        <f>SUM(AP16:AP20)</f>
        <v>130752129.78125927</v>
      </c>
      <c r="BC21" s="59">
        <f>SUM(BC16:BC20)</f>
        <v>153983333.90053597</v>
      </c>
      <c r="BP21" s="59">
        <f>SUM(BP16:BP20)</f>
        <v>177764842.55688971</v>
      </c>
      <c r="CC21" s="59">
        <f>SUM(CC16:CC20)</f>
        <v>207273806.42133346</v>
      </c>
      <c r="CP21" s="59">
        <f>SUM(CP16:CP20)</f>
        <v>241681258.28727484</v>
      </c>
    </row>
    <row r="22" spans="2:95" outlineLevel="1" x14ac:dyDescent="0.25">
      <c r="B22" s="67"/>
      <c r="P22" s="69">
        <f>+P21/P7</f>
        <v>0.17132608666063942</v>
      </c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69">
        <f>+AC21/AC7</f>
        <v>0.17220108666063941</v>
      </c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69">
        <f>+AP21/AP7</f>
        <v>0.17307608666063948</v>
      </c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69">
        <f>+BC21/BC7</f>
        <v>0.17307608666063942</v>
      </c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69">
        <f>+BP21/BP7</f>
        <v>0.17307608666063942</v>
      </c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69">
        <f>+CC21/CC7</f>
        <v>0.17307608666063951</v>
      </c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69">
        <f>+CP21/CP7</f>
        <v>0.17307608666063948</v>
      </c>
    </row>
    <row r="23" spans="2:95" ht="15.6" x14ac:dyDescent="0.3">
      <c r="B23" s="65" t="s">
        <v>7</v>
      </c>
      <c r="D23" s="59">
        <f>SUM(D14:D20)</f>
        <v>20855143.424143273</v>
      </c>
      <c r="E23" s="59">
        <f t="shared" ref="E23:O23" si="42">SUM(E14:E20)</f>
        <v>6951714.4747144235</v>
      </c>
      <c r="F23" s="59">
        <f t="shared" si="42"/>
        <v>20855143.424143273</v>
      </c>
      <c r="G23" s="59">
        <f t="shared" si="42"/>
        <v>41710286.848286547</v>
      </c>
      <c r="H23" s="59">
        <f t="shared" si="42"/>
        <v>41710286.848286547</v>
      </c>
      <c r="I23" s="59">
        <f t="shared" si="42"/>
        <v>41710286.848286547</v>
      </c>
      <c r="J23" s="59">
        <f t="shared" si="42"/>
        <v>20855143.424143273</v>
      </c>
      <c r="K23" s="59">
        <f t="shared" si="42"/>
        <v>41710286.848286547</v>
      </c>
      <c r="L23" s="59">
        <f t="shared" si="42"/>
        <v>6951714.4747144235</v>
      </c>
      <c r="M23" s="59">
        <f t="shared" si="42"/>
        <v>41710286.848286547</v>
      </c>
      <c r="N23" s="59">
        <f t="shared" si="42"/>
        <v>41710286.848286547</v>
      </c>
      <c r="O23" s="59">
        <f t="shared" si="42"/>
        <v>13903428.949428847</v>
      </c>
      <c r="P23" s="59">
        <f>SUM(D23:O23)</f>
        <v>340634009.26100683</v>
      </c>
      <c r="Q23" s="59">
        <f t="shared" ref="Q23:AA23" si="43">SUM(Q14:Q20)</f>
        <v>23468191.25906739</v>
      </c>
      <c r="R23" s="59">
        <f t="shared" si="43"/>
        <v>7822730.41968913</v>
      </c>
      <c r="S23" s="59">
        <f t="shared" si="43"/>
        <v>23468191.25906739</v>
      </c>
      <c r="T23" s="59">
        <f t="shared" si="43"/>
        <v>46936382.51813478</v>
      </c>
      <c r="U23" s="59">
        <f t="shared" si="43"/>
        <v>46936382.51813478</v>
      </c>
      <c r="V23" s="59">
        <f t="shared" si="43"/>
        <v>46936382.51813478</v>
      </c>
      <c r="W23" s="59">
        <f t="shared" si="43"/>
        <v>23468191.25906739</v>
      </c>
      <c r="X23" s="59">
        <f t="shared" si="43"/>
        <v>46936382.51813478</v>
      </c>
      <c r="Y23" s="59">
        <f t="shared" si="43"/>
        <v>7822730.41968913</v>
      </c>
      <c r="Z23" s="59">
        <f t="shared" si="43"/>
        <v>46936382.51813478</v>
      </c>
      <c r="AA23" s="59">
        <f t="shared" si="43"/>
        <v>46936382.51813478</v>
      </c>
      <c r="AB23" s="59">
        <f>SUM(AB14:AB20)</f>
        <v>15645460.83937826</v>
      </c>
      <c r="AC23" s="59">
        <f t="shared" si="36"/>
        <v>383313790.5647673</v>
      </c>
      <c r="AD23" s="59">
        <f t="shared" ref="AD23:AO23" si="44">SUM(AD14:AD20)</f>
        <v>26906856.446275312</v>
      </c>
      <c r="AE23" s="59">
        <f t="shared" si="44"/>
        <v>8968952.1487584375</v>
      </c>
      <c r="AF23" s="59">
        <f t="shared" si="44"/>
        <v>26906856.446275312</v>
      </c>
      <c r="AG23" s="59">
        <f t="shared" si="44"/>
        <v>53813712.892550625</v>
      </c>
      <c r="AH23" s="59">
        <f t="shared" si="44"/>
        <v>53813712.892550625</v>
      </c>
      <c r="AI23" s="59">
        <f t="shared" si="44"/>
        <v>53813712.892550625</v>
      </c>
      <c r="AJ23" s="59">
        <f t="shared" si="44"/>
        <v>26906856.446275312</v>
      </c>
      <c r="AK23" s="59">
        <f t="shared" si="44"/>
        <v>53813712.892550625</v>
      </c>
      <c r="AL23" s="59">
        <f t="shared" si="44"/>
        <v>8968952.1487584375</v>
      </c>
      <c r="AM23" s="59">
        <f t="shared" si="44"/>
        <v>53813712.892550625</v>
      </c>
      <c r="AN23" s="59">
        <f t="shared" si="44"/>
        <v>53813712.892550625</v>
      </c>
      <c r="AO23" s="59">
        <f t="shared" si="44"/>
        <v>17937904.297516875</v>
      </c>
      <c r="AP23" s="59">
        <f t="shared" si="37"/>
        <v>439478655.28916347</v>
      </c>
      <c r="AQ23" s="59">
        <f t="shared" ref="AQ23" si="45">SUM(AQ14:AQ20)</f>
        <v>31682819.110098198</v>
      </c>
      <c r="AR23" s="59">
        <f t="shared" ref="AR23" si="46">SUM(AR14:AR20)</f>
        <v>10560939.703366064</v>
      </c>
      <c r="AS23" s="59">
        <f t="shared" ref="AS23" si="47">SUM(AS14:AS20)</f>
        <v>31682819.110098198</v>
      </c>
      <c r="AT23" s="59">
        <f t="shared" ref="AT23" si="48">SUM(AT14:AT20)</f>
        <v>63365638.220196396</v>
      </c>
      <c r="AU23" s="59">
        <f t="shared" ref="AU23" si="49">SUM(AU14:AU20)</f>
        <v>63365638.220196396</v>
      </c>
      <c r="AV23" s="59">
        <f t="shared" ref="AV23" si="50">SUM(AV14:AV20)</f>
        <v>63365638.220196396</v>
      </c>
      <c r="AW23" s="59">
        <f t="shared" ref="AW23" si="51">SUM(AW14:AW20)</f>
        <v>31682819.110098198</v>
      </c>
      <c r="AX23" s="59">
        <f t="shared" ref="AX23" si="52">SUM(AX14:AX20)</f>
        <v>63365638.220196396</v>
      </c>
      <c r="AY23" s="59">
        <f t="shared" ref="AY23" si="53">SUM(AY14:AY20)</f>
        <v>10560939.703366064</v>
      </c>
      <c r="AZ23" s="59">
        <f t="shared" ref="AZ23" si="54">SUM(AZ14:AZ20)</f>
        <v>63365638.220196396</v>
      </c>
      <c r="BA23" s="59">
        <f t="shared" ref="BA23" si="55">SUM(BA14:BA20)</f>
        <v>63365638.220196396</v>
      </c>
      <c r="BB23" s="59">
        <f t="shared" ref="BB23" si="56">SUM(BB14:BB20)</f>
        <v>21121879.406732127</v>
      </c>
      <c r="BC23" s="59">
        <f t="shared" si="38"/>
        <v>517486045.46493715</v>
      </c>
      <c r="BD23" s="59">
        <f t="shared" ref="BD23" si="57">SUM(BD14:BD20)</f>
        <v>36581378.122672275</v>
      </c>
      <c r="BE23" s="59">
        <f t="shared" ref="BE23" si="58">SUM(BE14:BE20)</f>
        <v>12193792.707557427</v>
      </c>
      <c r="BF23" s="59">
        <f t="shared" ref="BF23" si="59">SUM(BF14:BF20)</f>
        <v>36581378.122672275</v>
      </c>
      <c r="BG23" s="59">
        <f t="shared" ref="BG23" si="60">SUM(BG14:BG20)</f>
        <v>73162756.245344549</v>
      </c>
      <c r="BH23" s="59">
        <f t="shared" ref="BH23" si="61">SUM(BH14:BH20)</f>
        <v>73162756.245344549</v>
      </c>
      <c r="BI23" s="59">
        <f t="shared" ref="BI23" si="62">SUM(BI14:BI20)</f>
        <v>73162756.245344549</v>
      </c>
      <c r="BJ23" s="59">
        <f t="shared" ref="BJ23" si="63">SUM(BJ14:BJ20)</f>
        <v>36581378.122672275</v>
      </c>
      <c r="BK23" s="59">
        <f t="shared" ref="BK23" si="64">SUM(BK14:BK20)</f>
        <v>73162756.245344549</v>
      </c>
      <c r="BL23" s="59">
        <f t="shared" ref="BL23" si="65">SUM(BL14:BL20)</f>
        <v>12193792.707557427</v>
      </c>
      <c r="BM23" s="59">
        <f t="shared" ref="BM23" si="66">SUM(BM14:BM20)</f>
        <v>73162756.245344549</v>
      </c>
      <c r="BN23" s="59">
        <f t="shared" ref="BN23" si="67">SUM(BN14:BN20)</f>
        <v>73162756.245344549</v>
      </c>
      <c r="BO23" s="59">
        <f t="shared" ref="BO23" si="68">SUM(BO14:BO20)</f>
        <v>24387585.415114854</v>
      </c>
      <c r="BP23" s="59">
        <f t="shared" si="39"/>
        <v>597495842.67031384</v>
      </c>
      <c r="BQ23" s="59">
        <f t="shared" ref="BQ23:CB23" si="69">SUM(BQ14:BQ20)</f>
        <v>42653886.891035877</v>
      </c>
      <c r="BR23" s="59">
        <f t="shared" si="69"/>
        <v>14217962.29701196</v>
      </c>
      <c r="BS23" s="59">
        <f t="shared" si="69"/>
        <v>42653886.891035877</v>
      </c>
      <c r="BT23" s="59">
        <f t="shared" si="69"/>
        <v>85307773.782071754</v>
      </c>
      <c r="BU23" s="59">
        <f t="shared" si="69"/>
        <v>85307773.782071754</v>
      </c>
      <c r="BV23" s="59">
        <f t="shared" si="69"/>
        <v>85307773.782071754</v>
      </c>
      <c r="BW23" s="59">
        <f t="shared" si="69"/>
        <v>42653886.891035877</v>
      </c>
      <c r="BX23" s="59">
        <f t="shared" si="69"/>
        <v>85307773.782071754</v>
      </c>
      <c r="BY23" s="59">
        <f t="shared" si="69"/>
        <v>14217962.29701196</v>
      </c>
      <c r="BZ23" s="59">
        <f t="shared" si="69"/>
        <v>85307773.782071754</v>
      </c>
      <c r="CA23" s="59">
        <f t="shared" si="69"/>
        <v>85307773.782071754</v>
      </c>
      <c r="CB23" s="59">
        <f t="shared" si="69"/>
        <v>28435924.594023921</v>
      </c>
      <c r="CC23" s="59">
        <f t="shared" si="40"/>
        <v>696680152.55358601</v>
      </c>
      <c r="CD23" s="59">
        <f t="shared" ref="CD23:CO23" si="70">SUM(CD14:CD20)</f>
        <v>49734432.114947833</v>
      </c>
      <c r="CE23" s="59">
        <f t="shared" si="70"/>
        <v>16578144.038315954</v>
      </c>
      <c r="CF23" s="59">
        <f t="shared" si="70"/>
        <v>49734432.114947833</v>
      </c>
      <c r="CG23" s="59">
        <f t="shared" si="70"/>
        <v>99468864.229895666</v>
      </c>
      <c r="CH23" s="59">
        <f t="shared" si="70"/>
        <v>99468864.229895666</v>
      </c>
      <c r="CI23" s="59">
        <f t="shared" si="70"/>
        <v>99468864.229895666</v>
      </c>
      <c r="CJ23" s="59">
        <f t="shared" si="70"/>
        <v>49734432.114947833</v>
      </c>
      <c r="CK23" s="59">
        <f t="shared" si="70"/>
        <v>99468864.229895666</v>
      </c>
      <c r="CL23" s="59">
        <f t="shared" si="70"/>
        <v>16578144.038315954</v>
      </c>
      <c r="CM23" s="59">
        <f t="shared" si="70"/>
        <v>99468864.229895666</v>
      </c>
      <c r="CN23" s="59">
        <f t="shared" si="70"/>
        <v>99468864.229895666</v>
      </c>
      <c r="CO23" s="59">
        <f t="shared" si="70"/>
        <v>33156288.076631907</v>
      </c>
      <c r="CP23" s="59">
        <f t="shared" si="41"/>
        <v>812329057.87748146</v>
      </c>
    </row>
    <row r="24" spans="2:95" x14ac:dyDescent="0.25">
      <c r="B24" s="67" t="s">
        <v>885</v>
      </c>
      <c r="D24" s="31">
        <f>+D23/D7</f>
        <v>0.57998619011466912</v>
      </c>
      <c r="P24" s="69">
        <f>+P23/P7</f>
        <v>0.57998619011466923</v>
      </c>
      <c r="R24" s="69"/>
      <c r="S24" s="69"/>
      <c r="T24" s="69"/>
      <c r="U24" s="69"/>
      <c r="V24" s="69"/>
      <c r="W24" s="69"/>
      <c r="AC24" s="69">
        <f>+AC23/AC7</f>
        <v>0.58086119011466908</v>
      </c>
      <c r="AP24" s="69">
        <f>+AP23/AP7</f>
        <v>0.58173619011466937</v>
      </c>
      <c r="AQ24" s="50"/>
      <c r="BC24" s="69">
        <f>+BC23/BC7</f>
        <v>0.58165034735781429</v>
      </c>
      <c r="BP24" s="69">
        <f>+BP23/BP7</f>
        <v>0.58173619011466915</v>
      </c>
      <c r="CC24" s="69">
        <f>+CC23/CC7</f>
        <v>0.58173619011466926</v>
      </c>
      <c r="CP24" s="69">
        <f>+CP23/CP7</f>
        <v>0.58173619011466926</v>
      </c>
    </row>
    <row r="25" spans="2:95" x14ac:dyDescent="0.25">
      <c r="B25" s="67"/>
      <c r="D25" s="31"/>
      <c r="P25" s="69"/>
      <c r="R25" s="69"/>
      <c r="S25" s="69"/>
      <c r="T25" s="69"/>
      <c r="U25" s="69"/>
      <c r="V25" s="69"/>
      <c r="W25" s="69"/>
      <c r="AC25" s="69"/>
      <c r="AP25" s="69"/>
      <c r="AQ25" s="50"/>
      <c r="BC25" s="69"/>
      <c r="BP25" s="69"/>
      <c r="CC25" s="69"/>
      <c r="CP25" s="69"/>
    </row>
    <row r="26" spans="2:95" outlineLevel="1" x14ac:dyDescent="0.25">
      <c r="B26" s="102" t="s">
        <v>936</v>
      </c>
      <c r="D26" s="58">
        <f>+Sueldos!D9</f>
        <v>2835000</v>
      </c>
      <c r="E26" s="58">
        <f>+Sueldos!E9</f>
        <v>2835000</v>
      </c>
      <c r="F26" s="58">
        <f>+Sueldos!F9</f>
        <v>2835000</v>
      </c>
      <c r="G26" s="58">
        <f>+Sueldos!G9</f>
        <v>2835000</v>
      </c>
      <c r="H26" s="58">
        <f>+Sueldos!H9</f>
        <v>2835000</v>
      </c>
      <c r="I26" s="58">
        <f>+Sueldos!I9</f>
        <v>2835000</v>
      </c>
      <c r="J26" s="58">
        <f>+Sueldos!J9</f>
        <v>2835000</v>
      </c>
      <c r="K26" s="58">
        <f>+Sueldos!K9</f>
        <v>2835000</v>
      </c>
      <c r="L26" s="58">
        <f>+Sueldos!L9</f>
        <v>2835000</v>
      </c>
      <c r="M26" s="58">
        <f>+Sueldos!M9</f>
        <v>2835000</v>
      </c>
      <c r="N26" s="58">
        <f>+Sueldos!N9</f>
        <v>2835000</v>
      </c>
      <c r="O26" s="58">
        <f>+Sueldos!O9</f>
        <v>2835000</v>
      </c>
      <c r="P26" s="59">
        <f>SUM(D26:O26)</f>
        <v>34020000</v>
      </c>
      <c r="Q26" s="58">
        <f>+Sueldos!D19</f>
        <v>3937500</v>
      </c>
      <c r="R26" s="58">
        <f>+Sueldos!E19</f>
        <v>3937500</v>
      </c>
      <c r="S26" s="58">
        <f>+Sueldos!F19</f>
        <v>3937500</v>
      </c>
      <c r="T26" s="58">
        <f>+Sueldos!G19</f>
        <v>3937500</v>
      </c>
      <c r="U26" s="58">
        <f>+Sueldos!H19</f>
        <v>3937500</v>
      </c>
      <c r="V26" s="58">
        <f>+Sueldos!I19</f>
        <v>3937500</v>
      </c>
      <c r="W26" s="58">
        <f>+Sueldos!J19</f>
        <v>3937500</v>
      </c>
      <c r="X26" s="58">
        <f>+Sueldos!K19</f>
        <v>3937500</v>
      </c>
      <c r="Y26" s="58">
        <f>+Sueldos!L19</f>
        <v>3937500</v>
      </c>
      <c r="Z26" s="58">
        <f>+Sueldos!M19</f>
        <v>3937500</v>
      </c>
      <c r="AA26" s="58">
        <f>+Sueldos!N19</f>
        <v>3937500</v>
      </c>
      <c r="AB26" s="58">
        <f>+Sueldos!O19</f>
        <v>3937500</v>
      </c>
      <c r="AC26" s="59">
        <f>SUM(Q26:AB26)</f>
        <v>47250000</v>
      </c>
      <c r="AD26" s="58">
        <f>+Sueldos!D19*(1+Parámetros!$E$28)</f>
        <v>4252500</v>
      </c>
      <c r="AE26" s="58">
        <f>+Sueldos!E19*(1+Parámetros!$E$28)</f>
        <v>4252500</v>
      </c>
      <c r="AF26" s="58">
        <f>+Sueldos!F19*(1+Parámetros!$E$28)</f>
        <v>4252500</v>
      </c>
      <c r="AG26" s="58">
        <f>+Sueldos!G19*(1+Parámetros!$E$28)</f>
        <v>4252500</v>
      </c>
      <c r="AH26" s="58">
        <f>+Sueldos!H19*(1+Parámetros!$E$28)</f>
        <v>4252500</v>
      </c>
      <c r="AI26" s="58">
        <f>+Sueldos!I19*(1+Parámetros!$E$28)</f>
        <v>4252500</v>
      </c>
      <c r="AJ26" s="58">
        <f>+Sueldos!J19*(1+Parámetros!$E$28)</f>
        <v>4252500</v>
      </c>
      <c r="AK26" s="58">
        <f>+Sueldos!K19*(1+Parámetros!$E$28)</f>
        <v>4252500</v>
      </c>
      <c r="AL26" s="58">
        <f>+Sueldos!L19*(1+Parámetros!$E$28)</f>
        <v>4252500</v>
      </c>
      <c r="AM26" s="58">
        <f>+Sueldos!M19*(1+Parámetros!$E$28)</f>
        <v>4252500</v>
      </c>
      <c r="AN26" s="58">
        <f>+Sueldos!N19*(1+Parámetros!$E$28)</f>
        <v>4252500</v>
      </c>
      <c r="AO26" s="58">
        <f>+Sueldos!O19*(1+Parámetros!$E$28)</f>
        <v>4252500</v>
      </c>
      <c r="AP26" s="59">
        <f t="shared" ref="AP26:AP40" si="71">SUM(AD26:AO26)</f>
        <v>51030000</v>
      </c>
      <c r="AQ26" s="58">
        <f>+Sueldos!D19*(1+Parámetros!$F$28)</f>
        <v>4331250</v>
      </c>
      <c r="AR26" s="58">
        <f>+Sueldos!E19*(1+Parámetros!$F$28)</f>
        <v>4331250</v>
      </c>
      <c r="AS26" s="58">
        <f>+Sueldos!F19*(1+Parámetros!$F$28)</f>
        <v>4331250</v>
      </c>
      <c r="AT26" s="58">
        <f>+Sueldos!G19*(1+Parámetros!$F$28)</f>
        <v>4331250</v>
      </c>
      <c r="AU26" s="58">
        <f>+Sueldos!H19*(1+Parámetros!$F$28)</f>
        <v>4331250</v>
      </c>
      <c r="AV26" s="58">
        <f>+Sueldos!I19*(1+Parámetros!$F$28)</f>
        <v>4331250</v>
      </c>
      <c r="AW26" s="58">
        <f>+Sueldos!J19*(1+Parámetros!$F$28)</f>
        <v>4331250</v>
      </c>
      <c r="AX26" s="58">
        <f>+Sueldos!K19*(1+Parámetros!$F$28)</f>
        <v>4331250</v>
      </c>
      <c r="AY26" s="58">
        <f>+Sueldos!L19*(1+Parámetros!$F$28)</f>
        <v>4331250</v>
      </c>
      <c r="AZ26" s="58">
        <f>+Sueldos!M19*(1+Parámetros!$F$28)</f>
        <v>4331250</v>
      </c>
      <c r="BA26" s="58">
        <f>+Sueldos!N19*(1+Parámetros!$F$28)</f>
        <v>4331250</v>
      </c>
      <c r="BB26" s="58">
        <f>+Sueldos!O19*(1+Parámetros!$F$28)</f>
        <v>4331250</v>
      </c>
      <c r="BC26" s="59">
        <f>SUM(AQ26:BB26)</f>
        <v>51975000</v>
      </c>
      <c r="BD26" s="58">
        <f>+Sueldos!D19*(1+Parámetros!$G$28)</f>
        <v>4331250</v>
      </c>
      <c r="BE26" s="58">
        <f>+Sueldos!E19*(1+Parámetros!$G$28)</f>
        <v>4331250</v>
      </c>
      <c r="BF26" s="58">
        <f>+Sueldos!F19*(1+Parámetros!$G$28)</f>
        <v>4331250</v>
      </c>
      <c r="BG26" s="58">
        <f>+Sueldos!G19*(1+Parámetros!$G$28)</f>
        <v>4331250</v>
      </c>
      <c r="BH26" s="58">
        <f>+Sueldos!H19*(1+Parámetros!$G$28)</f>
        <v>4331250</v>
      </c>
      <c r="BI26" s="58">
        <f>+Sueldos!I19*(1+Parámetros!$G$28)</f>
        <v>4331250</v>
      </c>
      <c r="BJ26" s="58">
        <f>+Sueldos!J19*(1+Parámetros!$G$28)</f>
        <v>4331250</v>
      </c>
      <c r="BK26" s="58">
        <f>+Sueldos!K19*(1+Parámetros!$G$28)</f>
        <v>4331250</v>
      </c>
      <c r="BL26" s="58">
        <f>+Sueldos!L19*(1+Parámetros!$G$28)</f>
        <v>4331250</v>
      </c>
      <c r="BM26" s="58">
        <f>+Sueldos!M19*(1+Parámetros!$G$28)</f>
        <v>4331250</v>
      </c>
      <c r="BN26" s="58">
        <f>+Sueldos!N19*(1+Parámetros!$G$28)</f>
        <v>4331250</v>
      </c>
      <c r="BO26" s="58">
        <f>+Sueldos!O19*(1+Parámetros!$G$28)</f>
        <v>4331250</v>
      </c>
      <c r="BP26" s="59">
        <f t="shared" ref="BP26:BP40" si="72">SUM(BD26:BO26)</f>
        <v>51975000</v>
      </c>
      <c r="BQ26" s="58">
        <f>+Sueldos!D19*(1+Parámetros!$H$28)</f>
        <v>4331250</v>
      </c>
      <c r="BR26" s="58">
        <f>+Sueldos!E19*(1+Parámetros!$H$28)</f>
        <v>4331250</v>
      </c>
      <c r="BS26" s="58">
        <f>+Sueldos!F19*(1+Parámetros!$H$28)</f>
        <v>4331250</v>
      </c>
      <c r="BT26" s="58">
        <f>+Sueldos!G19*(1+Parámetros!$H$28)</f>
        <v>4331250</v>
      </c>
      <c r="BU26" s="58">
        <f>+Sueldos!H19*(1+Parámetros!$H$28)</f>
        <v>4331250</v>
      </c>
      <c r="BV26" s="58">
        <f>+Sueldos!I19*(1+Parámetros!$H$28)</f>
        <v>4331250</v>
      </c>
      <c r="BW26" s="58">
        <f>+Sueldos!J19*(1+Parámetros!$H$28)</f>
        <v>4331250</v>
      </c>
      <c r="BX26" s="58">
        <f>+Sueldos!K19*(1+Parámetros!$H$28)</f>
        <v>4331250</v>
      </c>
      <c r="BY26" s="58">
        <f>+Sueldos!L19*(1+Parámetros!$H$28)</f>
        <v>4331250</v>
      </c>
      <c r="BZ26" s="58">
        <f>+Sueldos!M19*(1+Parámetros!$H$28)</f>
        <v>4331250</v>
      </c>
      <c r="CA26" s="58">
        <f>+Sueldos!N19*(1+Parámetros!$H$28)</f>
        <v>4331250</v>
      </c>
      <c r="CB26" s="58">
        <f>+Sueldos!O19*(1+Parámetros!$H$28)</f>
        <v>4331250</v>
      </c>
      <c r="CC26" s="59">
        <f>SUM(BQ26:CB26)</f>
        <v>51975000</v>
      </c>
      <c r="CD26" s="58">
        <f>+Sueldos!D19*(1+Parámetros!$I$28)</f>
        <v>4331250</v>
      </c>
      <c r="CE26" s="58">
        <f>+Sueldos!E19*(1+Parámetros!$I$28)</f>
        <v>4331250</v>
      </c>
      <c r="CF26" s="58">
        <f>+Sueldos!F19*(1+Parámetros!$I$28)</f>
        <v>4331250</v>
      </c>
      <c r="CG26" s="58">
        <f>+Sueldos!G19*(1+Parámetros!$I$28)</f>
        <v>4331250</v>
      </c>
      <c r="CH26" s="58">
        <f>+Sueldos!H19*(1+Parámetros!$I$28)</f>
        <v>4331250</v>
      </c>
      <c r="CI26" s="58">
        <f>+Sueldos!I19*(1+Parámetros!$I$28)</f>
        <v>4331250</v>
      </c>
      <c r="CJ26" s="58">
        <f>+Sueldos!J19*(1+Parámetros!$I$28)</f>
        <v>4331250</v>
      </c>
      <c r="CK26" s="58">
        <f>+Sueldos!K19*(1+Parámetros!$I$28)</f>
        <v>4331250</v>
      </c>
      <c r="CL26" s="58">
        <f>+Sueldos!L19*(1+Parámetros!$I$28)</f>
        <v>4331250</v>
      </c>
      <c r="CM26" s="58">
        <f>+Sueldos!M19*(1+Parámetros!$I$28)</f>
        <v>4331250</v>
      </c>
      <c r="CN26" s="58">
        <f>+Sueldos!N19*(1+Parámetros!$I$28)</f>
        <v>4331250</v>
      </c>
      <c r="CO26" s="58">
        <f>+Sueldos!O19*(1+Parámetros!$I$28)</f>
        <v>4331250</v>
      </c>
      <c r="CP26" s="59">
        <f>SUM(CD26:CO26)</f>
        <v>51975000</v>
      </c>
      <c r="CQ26" s="70"/>
    </row>
    <row r="27" spans="2:95" outlineLevel="1" x14ac:dyDescent="0.25">
      <c r="B27" s="53" t="s">
        <v>14</v>
      </c>
      <c r="D27" s="58">
        <v>1349092.8</v>
      </c>
      <c r="E27" s="58">
        <f t="shared" ref="E27" si="73">+D27*1.002</f>
        <v>1351790.9856</v>
      </c>
      <c r="F27" s="58">
        <f t="shared" ref="F27" si="74">+E27*1.002</f>
        <v>1354494.5675712</v>
      </c>
      <c r="G27" s="58">
        <f t="shared" ref="G27" si="75">+F27*1.002</f>
        <v>1357203.5567063424</v>
      </c>
      <c r="H27" s="58">
        <f t="shared" ref="H27" si="76">+G27*1.002</f>
        <v>1359917.963819755</v>
      </c>
      <c r="I27" s="58">
        <f t="shared" ref="I27" si="77">+H27*1.002</f>
        <v>1362637.7997473946</v>
      </c>
      <c r="J27" s="58">
        <f t="shared" ref="J27" si="78">+I27*1.002</f>
        <v>1365363.0753468894</v>
      </c>
      <c r="K27" s="58">
        <f t="shared" ref="K27" si="79">+J27*1.002</f>
        <v>1368093.8014975833</v>
      </c>
      <c r="L27" s="58">
        <f t="shared" ref="L27" si="80">+K27*1.002</f>
        <v>1370829.9891005785</v>
      </c>
      <c r="M27" s="58">
        <f t="shared" ref="M27" si="81">+L27*1.002</f>
        <v>1373571.6490787796</v>
      </c>
      <c r="N27" s="58">
        <f t="shared" ref="N27" si="82">+M27*1.002</f>
        <v>1376318.7923769371</v>
      </c>
      <c r="O27" s="58">
        <f t="shared" ref="O27" si="83">+N27*1.002</f>
        <v>1379071.4299616909</v>
      </c>
      <c r="P27" s="59">
        <f t="shared" ref="P27:P39" si="84">SUM(D27:O27)</f>
        <v>16368386.410807151</v>
      </c>
      <c r="Q27" s="58">
        <f>+O27*(1+Parámetros!$D$28/12)</f>
        <v>1385966.7871114991</v>
      </c>
      <c r="R27" s="58">
        <f>+Q27*(1+Parámetros!$D$28/12)</f>
        <v>1392896.6210470565</v>
      </c>
      <c r="S27" s="58">
        <f>+R27*(1+Parámetros!$D$28/12)</f>
        <v>1399861.1041522915</v>
      </c>
      <c r="T27" s="58">
        <f>+S27*(1+Parámetros!$D$28/12)</f>
        <v>1406860.4096730528</v>
      </c>
      <c r="U27" s="58">
        <f>+T27*(1+Parámetros!$D$28/12)</f>
        <v>1413894.711721418</v>
      </c>
      <c r="V27" s="58">
        <f>+U27*(1+Parámetros!$D$28/12)</f>
        <v>1420964.185280025</v>
      </c>
      <c r="W27" s="58">
        <f>+V27*(1+Parámetros!$D$28/12)</f>
        <v>1428069.0062064249</v>
      </c>
      <c r="X27" s="58">
        <f>+W27*(1+Parámetros!$D$28/12)</f>
        <v>1435209.3512374568</v>
      </c>
      <c r="Y27" s="58">
        <f>+X27*(1+Parámetros!$D$28/12)</f>
        <v>1442385.397993644</v>
      </c>
      <c r="Z27" s="58">
        <f>+Y27*(1+Parámetros!$D$28/12)</f>
        <v>1449597.3249836122</v>
      </c>
      <c r="AA27" s="58">
        <f>+Z27*(1+Parámetros!$D$28/12)</f>
        <v>1456845.3116085301</v>
      </c>
      <c r="AB27" s="58">
        <f>+AA27*(1+Parámetros!$D$28/12)</f>
        <v>1464129.5381665726</v>
      </c>
      <c r="AC27" s="59">
        <f t="shared" ref="AC27:AC39" si="85">SUM(Q27:AB27)</f>
        <v>17096679.749181584</v>
      </c>
      <c r="AD27" s="58">
        <f>+AB27*(1+Parámetros!$E$28/12)</f>
        <v>1473890.4017543497</v>
      </c>
      <c r="AE27" s="58">
        <f>+AD27*(1+Parámetros!$E$28/12)</f>
        <v>1483716.3377660452</v>
      </c>
      <c r="AF27" s="58">
        <f>+AE27*(1+Parámetros!$E$28/12)</f>
        <v>1493607.7800178188</v>
      </c>
      <c r="AG27" s="58">
        <f>+AF27*(1+Parámetros!$E$28/12)</f>
        <v>1503565.1652179374</v>
      </c>
      <c r="AH27" s="58">
        <f>+AG27*(1+Parámetros!$E$28/12)</f>
        <v>1513588.9329860569</v>
      </c>
      <c r="AI27" s="58">
        <f>+AH27*(1+Parámetros!$E$28/12)</f>
        <v>1523679.5258726305</v>
      </c>
      <c r="AJ27" s="58">
        <f>+AI27*(1+Parámetros!$E$28/12)</f>
        <v>1533837.389378448</v>
      </c>
      <c r="AK27" s="58">
        <f>+AJ27*(1+Parámetros!$E$28/12)</f>
        <v>1544062.9719743042</v>
      </c>
      <c r="AL27" s="58">
        <f>+AK27*(1+Parámetros!$E$28/12)</f>
        <v>1554356.7251207994</v>
      </c>
      <c r="AM27" s="58">
        <f>+AL27*(1+Parámetros!$E$28/12)</f>
        <v>1564719.1032882712</v>
      </c>
      <c r="AN27" s="58">
        <f>+AM27*(1+Parámetros!$E$28/12)</f>
        <v>1575150.5639768597</v>
      </c>
      <c r="AO27" s="58">
        <f>+AN27*(1+Parámetros!$E$28/12)</f>
        <v>1585651.5677367053</v>
      </c>
      <c r="AP27" s="59">
        <f t="shared" si="71"/>
        <v>18349826.465090226</v>
      </c>
      <c r="AQ27" s="58">
        <f>+AO27*(1+Parámetros!$F$28/12)</f>
        <v>1598865.3308011778</v>
      </c>
      <c r="AR27" s="58">
        <f>+AQ27*(1+Parámetros!$F$28/12)</f>
        <v>1612189.2085578542</v>
      </c>
      <c r="AS27" s="58">
        <f>+AR27*(1+Parámetros!$F$28/12)</f>
        <v>1625624.1186291697</v>
      </c>
      <c r="AT27" s="58">
        <f>+AS27*(1+Parámetros!$F$28/12)</f>
        <v>1639170.9862844127</v>
      </c>
      <c r="AU27" s="58">
        <f>+AT27*(1+Parámetros!$F$28/12)</f>
        <v>1652830.7445034494</v>
      </c>
      <c r="AV27" s="58">
        <f>+AU27*(1+Parámetros!$F$28/12)</f>
        <v>1666604.3340409782</v>
      </c>
      <c r="AW27" s="58">
        <f>+AV27*(1+Parámetros!$F$28/12)</f>
        <v>1680492.7034913197</v>
      </c>
      <c r="AX27" s="58">
        <f>+AW27*(1+Parámetros!$F$28/12)</f>
        <v>1694496.8093537472</v>
      </c>
      <c r="AY27" s="58">
        <f>+AX27*(1+Parámetros!$F$28/12)</f>
        <v>1708617.6160983618</v>
      </c>
      <c r="AZ27" s="58">
        <f>+AY27*(1+Parámetros!$F$28/12)</f>
        <v>1722856.0962325148</v>
      </c>
      <c r="BA27" s="58">
        <f>+AZ27*(1+Parámetros!$F$28/12)</f>
        <v>1737213.2303677858</v>
      </c>
      <c r="BB27" s="58">
        <f>+BA27*(1+Parámetros!$F$28/12)</f>
        <v>1751690.0072875172</v>
      </c>
      <c r="BC27" s="59">
        <f t="shared" ref="BC27:BC39" si="86">SUM(AQ27:BB27)</f>
        <v>20090651.185648289</v>
      </c>
      <c r="BD27" s="58">
        <f>+BB27*(1+Parámetros!$G$28/12)</f>
        <v>1766287.4240149132</v>
      </c>
      <c r="BE27" s="58">
        <f>+BD27*(1+Parámetros!$G$28/12)</f>
        <v>1781006.4858817041</v>
      </c>
      <c r="BF27" s="58">
        <f>+BE27*(1+Parámetros!$G$28/12)</f>
        <v>1795848.206597385</v>
      </c>
      <c r="BG27" s="58">
        <f>+BF27*(1+Parámetros!$G$28/12)</f>
        <v>1810813.6083190299</v>
      </c>
      <c r="BH27" s="58">
        <f>+BG27*(1+Parámetros!$G$28/12)</f>
        <v>1825903.7217216885</v>
      </c>
      <c r="BI27" s="58">
        <f>+BH27*(1+Parámetros!$G$28/12)</f>
        <v>1841119.5860693692</v>
      </c>
      <c r="BJ27" s="58">
        <f>+BI27*(1+Parámetros!$G$28/12)</f>
        <v>1856462.2492866139</v>
      </c>
      <c r="BK27" s="58">
        <f>+BJ27*(1+Parámetros!$G$28/12)</f>
        <v>1871932.7680306688</v>
      </c>
      <c r="BL27" s="58">
        <f>+BK27*(1+Parámetros!$G$28/12)</f>
        <v>1887532.2077642577</v>
      </c>
      <c r="BM27" s="58">
        <f>+BL27*(1+Parámetros!$G$28/12)</f>
        <v>1903261.6428289597</v>
      </c>
      <c r="BN27" s="58">
        <f>+BM27*(1+Parámetros!$G$28/12)</f>
        <v>1919122.1565192011</v>
      </c>
      <c r="BO27" s="58">
        <f>+BN27*(1+Parámetros!$G$28/12)</f>
        <v>1935114.841156861</v>
      </c>
      <c r="BP27" s="59">
        <f t="shared" si="72"/>
        <v>22194404.898190655</v>
      </c>
      <c r="BQ27" s="58">
        <f>+BO27*(1+Parámetros!$G$28/12)</f>
        <v>1951240.7981665016</v>
      </c>
      <c r="BR27" s="58">
        <f>+BQ27*(1+Parámetros!$G$28/12)</f>
        <v>1967501.1381512224</v>
      </c>
      <c r="BS27" s="58">
        <f>+BR27*(1+Parámetros!$G$28/12)</f>
        <v>1983896.9809691492</v>
      </c>
      <c r="BT27" s="58">
        <f>+BS27*(1+Parámetros!$G$28/12)</f>
        <v>2000429.4558105587</v>
      </c>
      <c r="BU27" s="58">
        <f>+BT27*(1+Parámetros!$G$28/12)</f>
        <v>2017099.7012756467</v>
      </c>
      <c r="BV27" s="58">
        <f>+BU27*(1+Parámetros!$G$28/12)</f>
        <v>2033908.8654529436</v>
      </c>
      <c r="BW27" s="58">
        <f>+BV27*(1+Parámetros!$G$28/12)</f>
        <v>2050858.1059983848</v>
      </c>
      <c r="BX27" s="58">
        <f>+BW27*(1+Parámetros!$G$28/12)</f>
        <v>2067948.5902150378</v>
      </c>
      <c r="BY27" s="58">
        <f>+BX27*(1+Parámetros!$G$28/12)</f>
        <v>2085181.4951334964</v>
      </c>
      <c r="BZ27" s="58">
        <f>+BY27*(1+Parámetros!$G$28/12)</f>
        <v>2102558.0075929421</v>
      </c>
      <c r="CA27" s="58">
        <f>+BZ27*(1+Parámetros!$G$28/12)</f>
        <v>2120079.324322883</v>
      </c>
      <c r="CB27" s="58">
        <f>+CA27*(1+Parámetros!$G$28/12)</f>
        <v>2137746.6520255739</v>
      </c>
      <c r="CC27" s="59">
        <f t="shared" ref="CC27:CC39" si="87">SUM(BQ27:CB27)</f>
        <v>24518449.115114339</v>
      </c>
      <c r="CD27" s="58">
        <f>+CB27*(1+Parámetros!$G$28/12)</f>
        <v>2155561.2074591201</v>
      </c>
      <c r="CE27" s="58">
        <f>+CD27*(1+Parámetros!$G$28/12)</f>
        <v>2173524.2175212791</v>
      </c>
      <c r="CF27" s="58">
        <f>+CE27*(1+Parámetros!$G$28/12)</f>
        <v>2191636.9193339562</v>
      </c>
      <c r="CG27" s="58">
        <f>+CF27*(1+Parámetros!$G$28/12)</f>
        <v>2209900.5603284058</v>
      </c>
      <c r="CH27" s="58">
        <f>+CG27*(1+Parámetros!$G$28/12)</f>
        <v>2228316.3983311425</v>
      </c>
      <c r="CI27" s="58">
        <f>+CH27*(1+Parámetros!$G$28/12)</f>
        <v>2246885.7016505687</v>
      </c>
      <c r="CJ27" s="58">
        <f>+CI27*(1+Parámetros!$G$28/12)</f>
        <v>2265609.7491643233</v>
      </c>
      <c r="CK27" s="58">
        <f>+CJ27*(1+Parámetros!$G$28/12)</f>
        <v>2284489.8304073592</v>
      </c>
      <c r="CL27" s="58">
        <f>+CK27*(1+Parámetros!$G$28/12)</f>
        <v>2303527.2456607539</v>
      </c>
      <c r="CM27" s="58">
        <f>+CL27*(1+Parámetros!$G$28/12)</f>
        <v>2322723.3060412602</v>
      </c>
      <c r="CN27" s="58">
        <f>+CM27*(1+Parámetros!$G$28/12)</f>
        <v>2342079.3335916041</v>
      </c>
      <c r="CO27" s="58">
        <f>+CN27*(1+Parámetros!$G$28/12)</f>
        <v>2361596.6613715342</v>
      </c>
      <c r="CP27" s="59">
        <f t="shared" ref="CP27:CP39" si="88">SUM(CD27:CO27)</f>
        <v>27085851.130861305</v>
      </c>
    </row>
    <row r="28" spans="2:95" outlineLevel="1" x14ac:dyDescent="0.25">
      <c r="B28" s="53" t="s">
        <v>15</v>
      </c>
      <c r="D28" s="58">
        <v>521040</v>
      </c>
      <c r="E28" s="58">
        <f t="shared" ref="E28" si="89">+D28*(1.002)</f>
        <v>522082.08</v>
      </c>
      <c r="F28" s="58">
        <f t="shared" ref="F28" si="90">+E28*(1.002)</f>
        <v>523126.24416</v>
      </c>
      <c r="G28" s="58">
        <f t="shared" ref="G28" si="91">+F28*(1.002)</f>
        <v>524172.49664832</v>
      </c>
      <c r="H28" s="58">
        <f t="shared" ref="H28" si="92">+G28*(1.002)</f>
        <v>525220.84164161666</v>
      </c>
      <c r="I28" s="58">
        <f t="shared" ref="I28" si="93">+H28*(1.002)</f>
        <v>526271.28332489985</v>
      </c>
      <c r="J28" s="58">
        <f t="shared" ref="J28" si="94">+I28*(1.002)</f>
        <v>527323.8258915497</v>
      </c>
      <c r="K28" s="58">
        <f t="shared" ref="K28" si="95">+J28*(1.002)</f>
        <v>528378.47354333277</v>
      </c>
      <c r="L28" s="58">
        <f t="shared" ref="L28" si="96">+K28*(1.002)</f>
        <v>529435.23049041943</v>
      </c>
      <c r="M28" s="58">
        <f t="shared" ref="M28" si="97">+L28*(1.002)</f>
        <v>530494.10095140024</v>
      </c>
      <c r="N28" s="58">
        <f t="shared" ref="N28" si="98">+M28*(1.002)</f>
        <v>531555.08915330307</v>
      </c>
      <c r="O28" s="58">
        <f t="shared" ref="O28" si="99">+N28*(1.002)</f>
        <v>532618.19933160965</v>
      </c>
      <c r="P28" s="59">
        <f t="shared" si="84"/>
        <v>6321717.8651364511</v>
      </c>
      <c r="Q28" s="58">
        <f>+O28*(1+Parámetros!$D$28/12)</f>
        <v>535281.29032826761</v>
      </c>
      <c r="R28" s="58">
        <f>+Q28*(1+Parámetros!$D$28/12)</f>
        <v>537957.69677990885</v>
      </c>
      <c r="S28" s="58">
        <f>+R28*(1+Parámetros!$D$28/12)</f>
        <v>540647.48526380828</v>
      </c>
      <c r="T28" s="58">
        <f>+S28*(1+Parámetros!$D$28/12)</f>
        <v>543350.72269012721</v>
      </c>
      <c r="U28" s="58">
        <f>+T28*(1+Parámetros!$D$28/12)</f>
        <v>546067.47630357777</v>
      </c>
      <c r="V28" s="58">
        <f>+U28*(1+Parámetros!$D$28/12)</f>
        <v>548797.81368509564</v>
      </c>
      <c r="W28" s="58">
        <f>+V28*(1+Parámetros!$D$28/12)</f>
        <v>551541.80275352101</v>
      </c>
      <c r="X28" s="58">
        <f>+W28*(1+Parámetros!$D$28/12)</f>
        <v>554299.51176728855</v>
      </c>
      <c r="Y28" s="58">
        <f>+X28*(1+Parámetros!$D$28/12)</f>
        <v>557071.00932612491</v>
      </c>
      <c r="Z28" s="58">
        <f>+Y28*(1+Parámetros!$D$28/12)</f>
        <v>559856.36437275552</v>
      </c>
      <c r="AA28" s="58">
        <f>+Z28*(1+Parámetros!$D$28/12)</f>
        <v>562655.64619461924</v>
      </c>
      <c r="AB28" s="58">
        <f>+AA28*(1+Parámetros!$D$28/12)</f>
        <v>565468.9244255923</v>
      </c>
      <c r="AC28" s="59">
        <f t="shared" si="85"/>
        <v>6602995.7438906869</v>
      </c>
      <c r="AD28" s="58">
        <f>+AB28*(1+Parámetros!$E$28/12)</f>
        <v>569238.71725509618</v>
      </c>
      <c r="AE28" s="58">
        <f>+AD28*(1+Parámetros!$E$28/12)</f>
        <v>573033.64203679678</v>
      </c>
      <c r="AF28" s="58">
        <f>+AE28*(1+Parámetros!$E$28/12)</f>
        <v>576853.86631704203</v>
      </c>
      <c r="AG28" s="58">
        <f>+AF28*(1+Parámetros!$E$28/12)</f>
        <v>580699.55875915557</v>
      </c>
      <c r="AH28" s="58">
        <f>+AG28*(1+Parámetros!$E$28/12)</f>
        <v>584570.88915088319</v>
      </c>
      <c r="AI28" s="58">
        <f>+AH28*(1+Parámetros!$E$28/12)</f>
        <v>588468.02841188898</v>
      </c>
      <c r="AJ28" s="58">
        <f>+AI28*(1+Parámetros!$E$28/12)</f>
        <v>592391.14860130148</v>
      </c>
      <c r="AK28" s="58">
        <f>+AJ28*(1+Parámetros!$E$28/12)</f>
        <v>596340.42292531009</v>
      </c>
      <c r="AL28" s="58">
        <f>+AK28*(1+Parámetros!$E$28/12)</f>
        <v>600316.0257448121</v>
      </c>
      <c r="AM28" s="58">
        <f>+AL28*(1+Parámetros!$E$28/12)</f>
        <v>604318.13258311083</v>
      </c>
      <c r="AN28" s="58">
        <f>+AM28*(1+Parámetros!$E$28/12)</f>
        <v>608346.92013366485</v>
      </c>
      <c r="AO28" s="58">
        <f>+AN28*(1+Parámetros!$E$28/12)</f>
        <v>612402.56626788923</v>
      </c>
      <c r="AP28" s="59">
        <f t="shared" si="71"/>
        <v>7086979.9181869505</v>
      </c>
      <c r="AQ28" s="58">
        <f>+AO28*(1+Parámetros!$F$28/12)</f>
        <v>617505.92098678823</v>
      </c>
      <c r="AR28" s="58">
        <f>+AQ28*(1+Parámetros!$F$28/12)</f>
        <v>622651.8036616781</v>
      </c>
      <c r="AS28" s="58">
        <f>+AR28*(1+Parámetros!$F$28/12)</f>
        <v>627840.56869219209</v>
      </c>
      <c r="AT28" s="58">
        <f>+AS28*(1+Parámetros!$F$28/12)</f>
        <v>633072.57343129371</v>
      </c>
      <c r="AU28" s="58">
        <f>+AT28*(1+Parámetros!$F$28/12)</f>
        <v>638348.17820988782</v>
      </c>
      <c r="AV28" s="58">
        <f>+AU28*(1+Parámetros!$F$28/12)</f>
        <v>643667.74636163691</v>
      </c>
      <c r="AW28" s="58">
        <f>+AV28*(1+Parámetros!$F$28/12)</f>
        <v>649031.64424798382</v>
      </c>
      <c r="AX28" s="58">
        <f>+AW28*(1+Parámetros!$F$28/12)</f>
        <v>654440.24128338369</v>
      </c>
      <c r="AY28" s="58">
        <f>+AX28*(1+Parámetros!$F$28/12)</f>
        <v>659893.90996074525</v>
      </c>
      <c r="AZ28" s="58">
        <f>+AY28*(1+Parámetros!$F$28/12)</f>
        <v>665393.02587708482</v>
      </c>
      <c r="BA28" s="58">
        <f>+AZ28*(1+Parámetros!$F$28/12)</f>
        <v>670937.96775939385</v>
      </c>
      <c r="BB28" s="58">
        <f>+BA28*(1+Parámetros!$F$28/12)</f>
        <v>676529.1174907221</v>
      </c>
      <c r="BC28" s="59">
        <f t="shared" si="86"/>
        <v>7759312.6979627898</v>
      </c>
      <c r="BD28" s="58">
        <f>+BB28*(1+Parámetros!$G$28/12)</f>
        <v>682166.86013647809</v>
      </c>
      <c r="BE28" s="58">
        <f>+BD28*(1+Parámetros!$G$28/12)</f>
        <v>687851.5839709487</v>
      </c>
      <c r="BF28" s="58">
        <f>+BE28*(1+Parámetros!$G$28/12)</f>
        <v>693583.68050403998</v>
      </c>
      <c r="BG28" s="58">
        <f>+BF28*(1+Parámetros!$G$28/12)</f>
        <v>699363.5445082403</v>
      </c>
      <c r="BH28" s="58">
        <f>+BG28*(1+Parámetros!$G$28/12)</f>
        <v>705191.57404580899</v>
      </c>
      <c r="BI28" s="58">
        <f>+BH28*(1+Parámetros!$G$28/12)</f>
        <v>711068.17049619067</v>
      </c>
      <c r="BJ28" s="58">
        <f>+BI28*(1+Parámetros!$G$28/12)</f>
        <v>716993.73858365894</v>
      </c>
      <c r="BK28" s="58">
        <f>+BJ28*(1+Parámetros!$G$28/12)</f>
        <v>722968.68640518945</v>
      </c>
      <c r="BL28" s="58">
        <f>+BK28*(1+Parámetros!$G$28/12)</f>
        <v>728993.42545856605</v>
      </c>
      <c r="BM28" s="58">
        <f>+BL28*(1+Parámetros!$G$28/12)</f>
        <v>735068.3706707207</v>
      </c>
      <c r="BN28" s="58">
        <f>+BM28*(1+Parámetros!$G$28/12)</f>
        <v>741193.94042631006</v>
      </c>
      <c r="BO28" s="58">
        <f>+BN28*(1+Parámetros!$G$28/12)</f>
        <v>747370.55659652932</v>
      </c>
      <c r="BP28" s="59">
        <f t="shared" si="72"/>
        <v>8571814.13180268</v>
      </c>
      <c r="BQ28" s="58">
        <f>+BO28*(1+Parámetros!$G$28/12)</f>
        <v>753598.64456816704</v>
      </c>
      <c r="BR28" s="58">
        <f>+BQ28*(1+Parámetros!$G$28/12)</f>
        <v>759878.63327290176</v>
      </c>
      <c r="BS28" s="58">
        <f>+BR28*(1+Parámetros!$G$28/12)</f>
        <v>766210.95521684259</v>
      </c>
      <c r="BT28" s="58">
        <f>+BS28*(1+Parámetros!$G$28/12)</f>
        <v>772596.0465103162</v>
      </c>
      <c r="BU28" s="58">
        <f>+BT28*(1+Parámetros!$G$28/12)</f>
        <v>779034.3468979022</v>
      </c>
      <c r="BV28" s="58">
        <f>+BU28*(1+Parámetros!$G$28/12)</f>
        <v>785526.299788718</v>
      </c>
      <c r="BW28" s="58">
        <f>+BV28*(1+Parámetros!$G$28/12)</f>
        <v>792072.35228695732</v>
      </c>
      <c r="BX28" s="58">
        <f>+BW28*(1+Parámetros!$G$28/12)</f>
        <v>798672.95522268198</v>
      </c>
      <c r="BY28" s="58">
        <f>+BX28*(1+Parámetros!$G$28/12)</f>
        <v>805328.56318287097</v>
      </c>
      <c r="BZ28" s="58">
        <f>+BY28*(1+Parámetros!$G$28/12)</f>
        <v>812039.63454272819</v>
      </c>
      <c r="CA28" s="58">
        <f>+BZ28*(1+Parámetros!$G$28/12)</f>
        <v>818806.63149725087</v>
      </c>
      <c r="CB28" s="58">
        <f>+CA28*(1+Parámetros!$G$28/12)</f>
        <v>825630.02009306126</v>
      </c>
      <c r="CC28" s="59">
        <f t="shared" si="87"/>
        <v>9469395.0830803979</v>
      </c>
      <c r="CD28" s="58">
        <f>+CB28*(1+Parámetros!$G$28/12)</f>
        <v>832510.2702605034</v>
      </c>
      <c r="CE28" s="58">
        <f>+CD28*(1+Parámetros!$G$28/12)</f>
        <v>839447.85584600759</v>
      </c>
      <c r="CF28" s="58">
        <f>+CE28*(1+Parámetros!$G$28/12)</f>
        <v>846443.25464472431</v>
      </c>
      <c r="CG28" s="58">
        <f>+CF28*(1+Parámetros!$G$28/12)</f>
        <v>853496.94843343028</v>
      </c>
      <c r="CH28" s="58">
        <f>+CG28*(1+Parámetros!$G$28/12)</f>
        <v>860609.42300370883</v>
      </c>
      <c r="CI28" s="58">
        <f>+CH28*(1+Parámetros!$G$28/12)</f>
        <v>867781.16819540632</v>
      </c>
      <c r="CJ28" s="58">
        <f>+CI28*(1+Parámetros!$G$28/12)</f>
        <v>875012.67793036799</v>
      </c>
      <c r="CK28" s="58">
        <f>+CJ28*(1+Parámetros!$G$28/12)</f>
        <v>882304.45024645433</v>
      </c>
      <c r="CL28" s="58">
        <f>+CK28*(1+Parámetros!$G$28/12)</f>
        <v>889656.98733184137</v>
      </c>
      <c r="CM28" s="58">
        <f>+CL28*(1+Parámetros!$G$28/12)</f>
        <v>897070.79555960675</v>
      </c>
      <c r="CN28" s="58">
        <f>+CM28*(1+Parámetros!$G$28/12)</f>
        <v>904546.38552260341</v>
      </c>
      <c r="CO28" s="58">
        <f>+CN28*(1+Parámetros!$G$28/12)</f>
        <v>912084.27206862508</v>
      </c>
      <c r="CP28" s="59">
        <f t="shared" si="88"/>
        <v>10460964.48904328</v>
      </c>
    </row>
    <row r="29" spans="2:95" outlineLevel="1" x14ac:dyDescent="0.25">
      <c r="B29" s="53" t="s">
        <v>21</v>
      </c>
      <c r="D29" s="58">
        <v>43000</v>
      </c>
      <c r="E29" s="58">
        <v>43000</v>
      </c>
      <c r="F29" s="58">
        <v>43000</v>
      </c>
      <c r="G29" s="58">
        <v>43000</v>
      </c>
      <c r="H29" s="58">
        <v>43000</v>
      </c>
      <c r="I29" s="58">
        <v>43000</v>
      </c>
      <c r="J29" s="58">
        <v>43000</v>
      </c>
      <c r="K29" s="58">
        <v>43000</v>
      </c>
      <c r="L29" s="58">
        <v>43000</v>
      </c>
      <c r="M29" s="58">
        <v>43000</v>
      </c>
      <c r="N29" s="58">
        <v>43000</v>
      </c>
      <c r="O29" s="58">
        <v>43000</v>
      </c>
      <c r="P29" s="59">
        <f t="shared" si="84"/>
        <v>516000</v>
      </c>
      <c r="Q29" s="58">
        <f>+O29*(1+Parámetros!$D$28/12)</f>
        <v>43214.999999999993</v>
      </c>
      <c r="R29" s="58">
        <f>+Q29*(1+Parámetros!$D$28/12)</f>
        <v>43431.07499999999</v>
      </c>
      <c r="S29" s="58">
        <f>+R29*(1+Parámetros!$D$28/12)</f>
        <v>43648.230374999985</v>
      </c>
      <c r="T29" s="58">
        <f>+S29*(1+Parámetros!$D$28/12)</f>
        <v>43866.471526874979</v>
      </c>
      <c r="U29" s="58">
        <f>+T29*(1+Parámetros!$D$28/12)</f>
        <v>44085.803884509347</v>
      </c>
      <c r="V29" s="58">
        <f>+U29*(1+Parámetros!$D$28/12)</f>
        <v>44306.232903931887</v>
      </c>
      <c r="W29" s="58">
        <f>+V29*(1+Parámetros!$D$28/12)</f>
        <v>44527.764068451543</v>
      </c>
      <c r="X29" s="58">
        <f>+W29*(1+Parámetros!$D$28/12)</f>
        <v>44750.402888793797</v>
      </c>
      <c r="Y29" s="58">
        <f>+X29*(1+Parámetros!$D$28/12)</f>
        <v>44974.154903237759</v>
      </c>
      <c r="Z29" s="58">
        <f>+Y29*(1+Parámetros!$D$28/12)</f>
        <v>45199.02567775394</v>
      </c>
      <c r="AA29" s="58">
        <f>+Z29*(1+Parámetros!$D$28/12)</f>
        <v>45425.020806142704</v>
      </c>
      <c r="AB29" s="58">
        <f>+AA29*(1+Parámetros!$D$28/12)</f>
        <v>45652.145910173414</v>
      </c>
      <c r="AC29" s="59">
        <f t="shared" si="85"/>
        <v>533081.32794486929</v>
      </c>
      <c r="AD29" s="58">
        <f>+AB29*(1+Parámetros!$E$28/12)</f>
        <v>45956.493549574567</v>
      </c>
      <c r="AE29" s="58">
        <f>+AD29*(1+Parámetros!$E$28/12)</f>
        <v>46262.870173238392</v>
      </c>
      <c r="AF29" s="58">
        <f>+AE29*(1+Parámetros!$E$28/12)</f>
        <v>46571.289307726642</v>
      </c>
      <c r="AG29" s="58">
        <f>+AF29*(1+Parámetros!$E$28/12)</f>
        <v>46881.764569778148</v>
      </c>
      <c r="AH29" s="58">
        <f>+AG29*(1+Parámetros!$E$28/12)</f>
        <v>47194.309666909998</v>
      </c>
      <c r="AI29" s="58">
        <f>+AH29*(1+Parámetros!$E$28/12)</f>
        <v>47508.938398022729</v>
      </c>
      <c r="AJ29" s="58">
        <f>+AI29*(1+Parámetros!$E$28/12)</f>
        <v>47825.664654009546</v>
      </c>
      <c r="AK29" s="58">
        <f>+AJ29*(1+Parámetros!$E$28/12)</f>
        <v>48144.502418369608</v>
      </c>
      <c r="AL29" s="58">
        <f>+AK29*(1+Parámetros!$E$28/12)</f>
        <v>48465.465767825401</v>
      </c>
      <c r="AM29" s="58">
        <f>+AL29*(1+Parámetros!$E$28/12)</f>
        <v>48788.568872944234</v>
      </c>
      <c r="AN29" s="58">
        <f>+AM29*(1+Parámetros!$E$28/12)</f>
        <v>49113.825998763859</v>
      </c>
      <c r="AO29" s="58">
        <f>+AN29*(1+Parámetros!$E$28/12)</f>
        <v>49441.251505422282</v>
      </c>
      <c r="AP29" s="59">
        <f t="shared" si="71"/>
        <v>572154.94488258532</v>
      </c>
      <c r="AQ29" s="58">
        <f>+AO29*(1+Parámetros!$F$28/12)</f>
        <v>49853.261934634131</v>
      </c>
      <c r="AR29" s="58">
        <f>+AQ29*(1+Parámetros!$F$28/12)</f>
        <v>50268.705784089412</v>
      </c>
      <c r="AS29" s="58">
        <f>+AR29*(1+Parámetros!$F$28/12)</f>
        <v>50687.611665623488</v>
      </c>
      <c r="AT29" s="58">
        <f>+AS29*(1+Parámetros!$F$28/12)</f>
        <v>51110.00842950368</v>
      </c>
      <c r="AU29" s="58">
        <f>+AT29*(1+Parámetros!$F$28/12)</f>
        <v>51535.925166416208</v>
      </c>
      <c r="AV29" s="58">
        <f>+AU29*(1+Parámetros!$F$28/12)</f>
        <v>51965.391209469672</v>
      </c>
      <c r="AW29" s="58">
        <f>+AV29*(1+Parámetros!$F$28/12)</f>
        <v>52398.436136215249</v>
      </c>
      <c r="AX29" s="58">
        <f>+AW29*(1+Parámetros!$F$28/12)</f>
        <v>52835.089770683706</v>
      </c>
      <c r="AY29" s="58">
        <f>+AX29*(1+Parámetros!$F$28/12)</f>
        <v>53275.382185439405</v>
      </c>
      <c r="AZ29" s="58">
        <f>+AY29*(1+Parámetros!$F$28/12)</f>
        <v>53719.343703651401</v>
      </c>
      <c r="BA29" s="58">
        <f>+AZ29*(1+Parámetros!$F$28/12)</f>
        <v>54167.004901181826</v>
      </c>
      <c r="BB29" s="58">
        <f>+BA29*(1+Parámetros!$F$28/12)</f>
        <v>54618.39660869167</v>
      </c>
      <c r="BC29" s="59">
        <f t="shared" si="86"/>
        <v>626434.55749559985</v>
      </c>
      <c r="BD29" s="58">
        <f>+BB29*(1+Parámetros!$G$28/12)</f>
        <v>55073.549913764102</v>
      </c>
      <c r="BE29" s="58">
        <f>+BD29*(1+Parámetros!$G$28/12)</f>
        <v>55532.496163045471</v>
      </c>
      <c r="BF29" s="58">
        <f>+BE29*(1+Parámetros!$G$28/12)</f>
        <v>55995.266964404182</v>
      </c>
      <c r="BG29" s="58">
        <f>+BF29*(1+Parámetros!$G$28/12)</f>
        <v>56461.894189107545</v>
      </c>
      <c r="BH29" s="58">
        <f>+BG29*(1+Parámetros!$G$28/12)</f>
        <v>56932.409974016773</v>
      </c>
      <c r="BI29" s="58">
        <f>+BH29*(1+Parámetros!$G$28/12)</f>
        <v>57406.846723800241</v>
      </c>
      <c r="BJ29" s="58">
        <f>+BI29*(1+Parámetros!$G$28/12)</f>
        <v>57885.23711316524</v>
      </c>
      <c r="BK29" s="58">
        <f>+BJ29*(1+Parámetros!$G$28/12)</f>
        <v>58367.614089108283</v>
      </c>
      <c r="BL29" s="58">
        <f>+BK29*(1+Parámetros!$G$28/12)</f>
        <v>58854.010873184183</v>
      </c>
      <c r="BM29" s="58">
        <f>+BL29*(1+Parámetros!$G$28/12)</f>
        <v>59344.460963794052</v>
      </c>
      <c r="BN29" s="58">
        <f>+BM29*(1+Parámetros!$G$28/12)</f>
        <v>59838.998138492338</v>
      </c>
      <c r="BO29" s="58">
        <f>+BN29*(1+Parámetros!$G$28/12)</f>
        <v>60337.656456313103</v>
      </c>
      <c r="BP29" s="59">
        <f t="shared" si="72"/>
        <v>692030.44156219554</v>
      </c>
      <c r="BQ29" s="58">
        <f>+BO29*(1+Parámetros!$G$28/12)</f>
        <v>60840.470260115711</v>
      </c>
      <c r="BR29" s="58">
        <f>+BQ29*(1+Parámetros!$G$28/12)</f>
        <v>61347.474178950004</v>
      </c>
      <c r="BS29" s="58">
        <f>+BR29*(1+Parámetros!$G$28/12)</f>
        <v>61858.703130441252</v>
      </c>
      <c r="BT29" s="58">
        <f>+BS29*(1+Parámetros!$G$28/12)</f>
        <v>62374.192323194926</v>
      </c>
      <c r="BU29" s="58">
        <f>+BT29*(1+Parámetros!$G$28/12)</f>
        <v>62893.977259221545</v>
      </c>
      <c r="BV29" s="58">
        <f>+BU29*(1+Parámetros!$G$28/12)</f>
        <v>63418.093736381721</v>
      </c>
      <c r="BW29" s="58">
        <f>+BV29*(1+Parámetros!$G$28/12)</f>
        <v>63946.577850851565</v>
      </c>
      <c r="BX29" s="58">
        <f>+BW29*(1+Parámetros!$G$28/12)</f>
        <v>64479.465999608663</v>
      </c>
      <c r="BY29" s="58">
        <f>+BX29*(1+Parámetros!$G$28/12)</f>
        <v>65016.794882938731</v>
      </c>
      <c r="BZ29" s="58">
        <f>+BY29*(1+Parámetros!$G$28/12)</f>
        <v>65558.601506963212</v>
      </c>
      <c r="CA29" s="58">
        <f>+BZ29*(1+Parámetros!$G$28/12)</f>
        <v>66104.923186187909</v>
      </c>
      <c r="CB29" s="58">
        <f>+CA29*(1+Parámetros!$G$28/12)</f>
        <v>66655.797546072805</v>
      </c>
      <c r="CC29" s="59">
        <f t="shared" si="87"/>
        <v>764495.07186092809</v>
      </c>
      <c r="CD29" s="58">
        <f>+CB29*(1+Parámetros!$G$28/12)</f>
        <v>67211.262525623402</v>
      </c>
      <c r="CE29" s="58">
        <f>+CD29*(1+Parámetros!$G$28/12)</f>
        <v>67771.356380003592</v>
      </c>
      <c r="CF29" s="58">
        <f>+CE29*(1+Parámetros!$G$28/12)</f>
        <v>68336.117683170291</v>
      </c>
      <c r="CG29" s="58">
        <f>+CF29*(1+Parámetros!$G$28/12)</f>
        <v>68905.585330530041</v>
      </c>
      <c r="CH29" s="58">
        <f>+CG29*(1+Parámetros!$G$28/12)</f>
        <v>69479.798541617783</v>
      </c>
      <c r="CI29" s="58">
        <f>+CH29*(1+Parámetros!$G$28/12)</f>
        <v>70058.796862797928</v>
      </c>
      <c r="CJ29" s="58">
        <f>+CI29*(1+Parámetros!$G$28/12)</f>
        <v>70642.620169987902</v>
      </c>
      <c r="CK29" s="58">
        <f>+CJ29*(1+Parámetros!$G$28/12)</f>
        <v>71231.308671404462</v>
      </c>
      <c r="CL29" s="58">
        <f>+CK29*(1+Parámetros!$G$28/12)</f>
        <v>71824.902910332836</v>
      </c>
      <c r="CM29" s="58">
        <f>+CL29*(1+Parámetros!$G$28/12)</f>
        <v>72423.443767918943</v>
      </c>
      <c r="CN29" s="58">
        <f>+CM29*(1+Parámetros!$G$28/12)</f>
        <v>73026.972465984931</v>
      </c>
      <c r="CO29" s="58">
        <f>+CN29*(1+Parámetros!$G$28/12)</f>
        <v>73635.530569868133</v>
      </c>
      <c r="CP29" s="59">
        <f t="shared" si="88"/>
        <v>844547.69587924052</v>
      </c>
    </row>
    <row r="30" spans="2:95" outlineLevel="1" x14ac:dyDescent="0.25">
      <c r="B30" s="53" t="s">
        <v>23</v>
      </c>
      <c r="D30" s="58">
        <v>35000</v>
      </c>
      <c r="E30" s="58">
        <v>35000</v>
      </c>
      <c r="F30" s="58">
        <v>35000</v>
      </c>
      <c r="G30" s="58">
        <v>35000</v>
      </c>
      <c r="H30" s="58">
        <v>35000</v>
      </c>
      <c r="I30" s="58">
        <v>35000</v>
      </c>
      <c r="J30" s="58">
        <v>35000</v>
      </c>
      <c r="K30" s="58">
        <v>35000</v>
      </c>
      <c r="L30" s="58">
        <v>35000</v>
      </c>
      <c r="M30" s="58">
        <v>35000</v>
      </c>
      <c r="N30" s="58">
        <v>35000</v>
      </c>
      <c r="O30" s="58">
        <v>35000</v>
      </c>
      <c r="P30" s="59">
        <f t="shared" si="84"/>
        <v>420000</v>
      </c>
      <c r="Q30" s="58">
        <f>+O30*(1+Parámetros!$D$28/12)</f>
        <v>35174.999999999993</v>
      </c>
      <c r="R30" s="58">
        <f>+Q30*(1+Parámetros!$D$28/12)</f>
        <v>35350.874999999985</v>
      </c>
      <c r="S30" s="58">
        <f>+R30*(1+Parámetros!$D$28/12)</f>
        <v>35527.629374999982</v>
      </c>
      <c r="T30" s="58">
        <f>+S30*(1+Parámetros!$D$28/12)</f>
        <v>35705.267521874979</v>
      </c>
      <c r="U30" s="58">
        <f>+T30*(1+Parámetros!$D$28/12)</f>
        <v>35883.793859484351</v>
      </c>
      <c r="V30" s="58">
        <f>+U30*(1+Parámetros!$D$28/12)</f>
        <v>36063.212828781769</v>
      </c>
      <c r="W30" s="58">
        <f>+V30*(1+Parámetros!$D$28/12)</f>
        <v>36243.528892925671</v>
      </c>
      <c r="X30" s="58">
        <f>+W30*(1+Parámetros!$D$28/12)</f>
        <v>36424.746537390296</v>
      </c>
      <c r="Y30" s="58">
        <f>+X30*(1+Parámetros!$D$28/12)</f>
        <v>36606.870270077241</v>
      </c>
      <c r="Z30" s="58">
        <f>+Y30*(1+Parámetros!$D$28/12)</f>
        <v>36789.904621427624</v>
      </c>
      <c r="AA30" s="58">
        <f>+Z30*(1+Parámetros!$D$28/12)</f>
        <v>36973.854144534758</v>
      </c>
      <c r="AB30" s="58">
        <f>+AA30*(1+Parámetros!$D$28/12)</f>
        <v>37158.723415257431</v>
      </c>
      <c r="AC30" s="59">
        <f t="shared" si="85"/>
        <v>433903.4064667541</v>
      </c>
      <c r="AD30" s="58">
        <f>+AB30*(1+Parámetros!$E$28/12)</f>
        <v>37406.448238025812</v>
      </c>
      <c r="AE30" s="58">
        <f>+AD30*(1+Parámetros!$E$28/12)</f>
        <v>37655.824559612651</v>
      </c>
      <c r="AF30" s="58">
        <f>+AE30*(1+Parámetros!$E$28/12)</f>
        <v>37906.863390010069</v>
      </c>
      <c r="AG30" s="58">
        <f>+AF30*(1+Parámetros!$E$28/12)</f>
        <v>38159.575812610135</v>
      </c>
      <c r="AH30" s="58">
        <f>+AG30*(1+Parámetros!$E$28/12)</f>
        <v>38413.972984694199</v>
      </c>
      <c r="AI30" s="58">
        <f>+AH30*(1+Parámetros!$E$28/12)</f>
        <v>38670.066137925489</v>
      </c>
      <c r="AJ30" s="58">
        <f>+AI30*(1+Parámetros!$E$28/12)</f>
        <v>38927.866578844987</v>
      </c>
      <c r="AK30" s="58">
        <f>+AJ30*(1+Parámetros!$E$28/12)</f>
        <v>39187.385689370618</v>
      </c>
      <c r="AL30" s="58">
        <f>+AK30*(1+Parámetros!$E$28/12)</f>
        <v>39448.634927299754</v>
      </c>
      <c r="AM30" s="58">
        <f>+AL30*(1+Parámetros!$E$28/12)</f>
        <v>39711.625826815085</v>
      </c>
      <c r="AN30" s="58">
        <f>+AM30*(1+Parámetros!$E$28/12)</f>
        <v>39976.369998993847</v>
      </c>
      <c r="AO30" s="58">
        <f>+AN30*(1+Parámetros!$E$28/12)</f>
        <v>40242.879132320471</v>
      </c>
      <c r="AP30" s="59">
        <f t="shared" si="71"/>
        <v>465707.51327652315</v>
      </c>
      <c r="AQ30" s="58">
        <f>+AO30*(1+Parámetros!$F$28/12)</f>
        <v>40578.23645842314</v>
      </c>
      <c r="AR30" s="58">
        <f>+AQ30*(1+Parámetros!$F$28/12)</f>
        <v>40916.388428909995</v>
      </c>
      <c r="AS30" s="58">
        <f>+AR30*(1+Parámetros!$F$28/12)</f>
        <v>41257.358332484248</v>
      </c>
      <c r="AT30" s="58">
        <f>+AS30*(1+Parámetros!$F$28/12)</f>
        <v>41601.169651921613</v>
      </c>
      <c r="AU30" s="58">
        <f>+AT30*(1+Parámetros!$F$28/12)</f>
        <v>41947.846065687627</v>
      </c>
      <c r="AV30" s="58">
        <f>+AU30*(1+Parámetros!$F$28/12)</f>
        <v>42297.411449568353</v>
      </c>
      <c r="AW30" s="58">
        <f>+AV30*(1+Parámetros!$F$28/12)</f>
        <v>42649.889878314752</v>
      </c>
      <c r="AX30" s="58">
        <f>+AW30*(1+Parámetros!$F$28/12)</f>
        <v>43005.30562730071</v>
      </c>
      <c r="AY30" s="58">
        <f>+AX30*(1+Parámetros!$F$28/12)</f>
        <v>43363.683174194884</v>
      </c>
      <c r="AZ30" s="58">
        <f>+AY30*(1+Parámetros!$F$28/12)</f>
        <v>43725.047200646506</v>
      </c>
      <c r="BA30" s="58">
        <f>+AZ30*(1+Parámetros!$F$28/12)</f>
        <v>44089.422593985226</v>
      </c>
      <c r="BB30" s="58">
        <f>+BA30*(1+Parámetros!$F$28/12)</f>
        <v>44456.8344489351</v>
      </c>
      <c r="BC30" s="59">
        <f t="shared" si="86"/>
        <v>509888.59331037215</v>
      </c>
      <c r="BD30" s="58">
        <f>+BB30*(1+Parámetros!$G$28/12)</f>
        <v>44827.308069342893</v>
      </c>
      <c r="BE30" s="58">
        <f>+BD30*(1+Parámetros!$G$28/12)</f>
        <v>45200.868969920746</v>
      </c>
      <c r="BF30" s="58">
        <f>+BE30*(1+Parámetros!$G$28/12)</f>
        <v>45577.54287800342</v>
      </c>
      <c r="BG30" s="58">
        <f>+BF30*(1+Parámetros!$G$28/12)</f>
        <v>45957.35573532011</v>
      </c>
      <c r="BH30" s="58">
        <f>+BG30*(1+Parámetros!$G$28/12)</f>
        <v>46340.333699781113</v>
      </c>
      <c r="BI30" s="58">
        <f>+BH30*(1+Parámetros!$G$28/12)</f>
        <v>46726.503147279291</v>
      </c>
      <c r="BJ30" s="58">
        <f>+BI30*(1+Parámetros!$G$28/12)</f>
        <v>47115.890673506619</v>
      </c>
      <c r="BK30" s="58">
        <f>+BJ30*(1+Parámetros!$G$28/12)</f>
        <v>47508.523095785837</v>
      </c>
      <c r="BL30" s="58">
        <f>+BK30*(1+Parámetros!$G$28/12)</f>
        <v>47904.427454917386</v>
      </c>
      <c r="BM30" s="58">
        <f>+BL30*(1+Parámetros!$G$28/12)</f>
        <v>48303.631017041698</v>
      </c>
      <c r="BN30" s="58">
        <f>+BM30*(1+Parámetros!$G$28/12)</f>
        <v>48706.161275517043</v>
      </c>
      <c r="BO30" s="58">
        <f>+BN30*(1+Parámetros!$G$28/12)</f>
        <v>49112.045952813016</v>
      </c>
      <c r="BP30" s="59">
        <f t="shared" si="72"/>
        <v>563280.59196922916</v>
      </c>
      <c r="BQ30" s="58">
        <f>+BO30*(1+Parámetros!$G$28/12)</f>
        <v>49521.313002419789</v>
      </c>
      <c r="BR30" s="58">
        <f>+BQ30*(1+Parámetros!$G$28/12)</f>
        <v>49933.990610773282</v>
      </c>
      <c r="BS30" s="58">
        <f>+BR30*(1+Parámetros!$G$28/12)</f>
        <v>50350.107199196391</v>
      </c>
      <c r="BT30" s="58">
        <f>+BS30*(1+Parámetros!$G$28/12)</f>
        <v>50769.691425856363</v>
      </c>
      <c r="BU30" s="58">
        <f>+BT30*(1+Parámetros!$G$28/12)</f>
        <v>51192.772187738497</v>
      </c>
      <c r="BV30" s="58">
        <f>+BU30*(1+Parámetros!$G$28/12)</f>
        <v>51619.378622636315</v>
      </c>
      <c r="BW30" s="58">
        <f>+BV30*(1+Parámetros!$G$28/12)</f>
        <v>52049.540111158283</v>
      </c>
      <c r="BX30" s="58">
        <f>+BW30*(1+Parámetros!$G$28/12)</f>
        <v>52483.286278751264</v>
      </c>
      <c r="BY30" s="58">
        <f>+BX30*(1+Parámetros!$G$28/12)</f>
        <v>52920.646997740856</v>
      </c>
      <c r="BZ30" s="58">
        <f>+BY30*(1+Parámetros!$G$28/12)</f>
        <v>53361.652389388692</v>
      </c>
      <c r="CA30" s="58">
        <f>+BZ30*(1+Parámetros!$G$28/12)</f>
        <v>53806.332825966929</v>
      </c>
      <c r="CB30" s="58">
        <f>+CA30*(1+Parámetros!$G$28/12)</f>
        <v>54254.718932849988</v>
      </c>
      <c r="CC30" s="59">
        <f t="shared" si="87"/>
        <v>622263.43058447656</v>
      </c>
      <c r="CD30" s="58">
        <f>+CB30*(1+Parámetros!$G$28/12)</f>
        <v>54706.841590623735</v>
      </c>
      <c r="CE30" s="58">
        <f>+CD30*(1+Parámetros!$G$28/12)</f>
        <v>55162.731937212266</v>
      </c>
      <c r="CF30" s="58">
        <f>+CE30*(1+Parámetros!$G$28/12)</f>
        <v>55622.421370022363</v>
      </c>
      <c r="CG30" s="58">
        <f>+CF30*(1+Parámetros!$G$28/12)</f>
        <v>56085.941548105882</v>
      </c>
      <c r="CH30" s="58">
        <f>+CG30*(1+Parámetros!$G$28/12)</f>
        <v>56553.324394340096</v>
      </c>
      <c r="CI30" s="58">
        <f>+CH30*(1+Parámetros!$G$28/12)</f>
        <v>57024.602097626259</v>
      </c>
      <c r="CJ30" s="58">
        <f>+CI30*(1+Parámetros!$G$28/12)</f>
        <v>57499.80711510648</v>
      </c>
      <c r="CK30" s="58">
        <f>+CJ30*(1+Parámetros!$G$28/12)</f>
        <v>57978.97217439903</v>
      </c>
      <c r="CL30" s="58">
        <f>+CK30*(1+Parámetros!$G$28/12)</f>
        <v>58462.130275852352</v>
      </c>
      <c r="CM30" s="58">
        <f>+CL30*(1+Parámetros!$G$28/12)</f>
        <v>58949.314694817789</v>
      </c>
      <c r="CN30" s="58">
        <f>+CM30*(1+Parámetros!$G$28/12)</f>
        <v>59440.558983941271</v>
      </c>
      <c r="CO30" s="58">
        <f>+CN30*(1+Parámetros!$G$28/12)</f>
        <v>59935.896975474112</v>
      </c>
      <c r="CP30" s="59">
        <f t="shared" si="88"/>
        <v>687422.54315752152</v>
      </c>
    </row>
    <row r="31" spans="2:95" outlineLevel="1" x14ac:dyDescent="0.25">
      <c r="B31" s="53" t="s">
        <v>16</v>
      </c>
      <c r="D31" s="58">
        <v>50000</v>
      </c>
      <c r="E31" s="58">
        <v>50000</v>
      </c>
      <c r="F31" s="58">
        <v>50000</v>
      </c>
      <c r="G31" s="58">
        <v>50000</v>
      </c>
      <c r="H31" s="58">
        <v>50000</v>
      </c>
      <c r="I31" s="58">
        <v>50000</v>
      </c>
      <c r="J31" s="58">
        <v>50000</v>
      </c>
      <c r="K31" s="58">
        <v>50000</v>
      </c>
      <c r="L31" s="58">
        <v>50000</v>
      </c>
      <c r="M31" s="58">
        <v>50000</v>
      </c>
      <c r="N31" s="58">
        <v>50000</v>
      </c>
      <c r="O31" s="58">
        <v>50000</v>
      </c>
      <c r="P31" s="59">
        <f t="shared" si="84"/>
        <v>600000</v>
      </c>
      <c r="Q31" s="58">
        <f>+O31*(1+Parámetros!$D$28/12)</f>
        <v>50249.999999999993</v>
      </c>
      <c r="R31" s="58">
        <f>+Q31*(1+Parámetros!$D$28/12)</f>
        <v>50501.249999999985</v>
      </c>
      <c r="S31" s="58">
        <f>+R31*(1+Parámetros!$D$28/12)</f>
        <v>50753.756249999977</v>
      </c>
      <c r="T31" s="58">
        <f>+S31*(1+Parámetros!$D$28/12)</f>
        <v>51007.52503124997</v>
      </c>
      <c r="U31" s="58">
        <f>+T31*(1+Parámetros!$D$28/12)</f>
        <v>51262.562656406211</v>
      </c>
      <c r="V31" s="58">
        <f>+U31*(1+Parámetros!$D$28/12)</f>
        <v>51518.875469688239</v>
      </c>
      <c r="W31" s="58">
        <f>+V31*(1+Parámetros!$D$28/12)</f>
        <v>51776.469847036671</v>
      </c>
      <c r="X31" s="58">
        <f>+W31*(1+Parámetros!$D$28/12)</f>
        <v>52035.352196271851</v>
      </c>
      <c r="Y31" s="58">
        <f>+X31*(1+Parámetros!$D$28/12)</f>
        <v>52295.528957253206</v>
      </c>
      <c r="Z31" s="58">
        <f>+Y31*(1+Parámetros!$D$28/12)</f>
        <v>52557.006602039466</v>
      </c>
      <c r="AA31" s="58">
        <f>+Z31*(1+Parámetros!$D$28/12)</f>
        <v>52819.79163504966</v>
      </c>
      <c r="AB31" s="58">
        <f>+AA31*(1+Parámetros!$D$28/12)</f>
        <v>53083.890593224904</v>
      </c>
      <c r="AC31" s="59">
        <f t="shared" si="85"/>
        <v>619862.00923822005</v>
      </c>
      <c r="AD31" s="58">
        <f>+AB31*(1+Parámetros!$E$28/12)</f>
        <v>53437.783197179735</v>
      </c>
      <c r="AE31" s="58">
        <f>+AD31*(1+Parámetros!$E$28/12)</f>
        <v>53794.035085160933</v>
      </c>
      <c r="AF31" s="58">
        <f>+AE31*(1+Parámetros!$E$28/12)</f>
        <v>54152.661985728671</v>
      </c>
      <c r="AG31" s="58">
        <f>+AF31*(1+Parámetros!$E$28/12)</f>
        <v>54513.679732300196</v>
      </c>
      <c r="AH31" s="58">
        <f>+AG31*(1+Parámetros!$E$28/12)</f>
        <v>54877.104263848858</v>
      </c>
      <c r="AI31" s="58">
        <f>+AH31*(1+Parámetros!$E$28/12)</f>
        <v>55242.95162560785</v>
      </c>
      <c r="AJ31" s="58">
        <f>+AI31*(1+Parámetros!$E$28/12)</f>
        <v>55611.237969778565</v>
      </c>
      <c r="AK31" s="58">
        <f>+AJ31*(1+Parámetros!$E$28/12)</f>
        <v>55981.97955624375</v>
      </c>
      <c r="AL31" s="58">
        <f>+AK31*(1+Parámetros!$E$28/12)</f>
        <v>56355.192753285373</v>
      </c>
      <c r="AM31" s="58">
        <f>+AL31*(1+Parámetros!$E$28/12)</f>
        <v>56730.89403830727</v>
      </c>
      <c r="AN31" s="58">
        <f>+AM31*(1+Parámetros!$E$28/12)</f>
        <v>57109.099998562648</v>
      </c>
      <c r="AO31" s="58">
        <f>+AN31*(1+Parámetros!$E$28/12)</f>
        <v>57489.827331886394</v>
      </c>
      <c r="AP31" s="59">
        <f t="shared" si="71"/>
        <v>665296.44753789017</v>
      </c>
      <c r="AQ31" s="58">
        <f>+AO31*(1+Parámetros!$F$28/12)</f>
        <v>57968.909226318778</v>
      </c>
      <c r="AR31" s="58">
        <f>+AQ31*(1+Parámetros!$F$28/12)</f>
        <v>58451.983469871433</v>
      </c>
      <c r="AS31" s="58">
        <f>+AR31*(1+Parámetros!$F$28/12)</f>
        <v>58939.083332120361</v>
      </c>
      <c r="AT31" s="58">
        <f>+AS31*(1+Parámetros!$F$28/12)</f>
        <v>59430.242359888027</v>
      </c>
      <c r="AU31" s="58">
        <f>+AT31*(1+Parámetros!$F$28/12)</f>
        <v>59925.494379553762</v>
      </c>
      <c r="AV31" s="58">
        <f>+AU31*(1+Parámetros!$F$28/12)</f>
        <v>60424.873499383371</v>
      </c>
      <c r="AW31" s="58">
        <f>+AV31*(1+Parámetros!$F$28/12)</f>
        <v>60928.414111878228</v>
      </c>
      <c r="AX31" s="58">
        <f>+AW31*(1+Parámetros!$F$28/12)</f>
        <v>61436.150896143881</v>
      </c>
      <c r="AY31" s="58">
        <f>+AX31*(1+Parámetros!$F$28/12)</f>
        <v>61948.118820278411</v>
      </c>
      <c r="AZ31" s="58">
        <f>+AY31*(1+Parámetros!$F$28/12)</f>
        <v>62464.353143780732</v>
      </c>
      <c r="BA31" s="58">
        <f>+AZ31*(1+Parámetros!$F$28/12)</f>
        <v>62984.889419978907</v>
      </c>
      <c r="BB31" s="58">
        <f>+BA31*(1+Parámetros!$F$28/12)</f>
        <v>63509.763498478729</v>
      </c>
      <c r="BC31" s="59">
        <f t="shared" si="86"/>
        <v>728412.27615767461</v>
      </c>
      <c r="BD31" s="58">
        <f>+BB31*(1+Parámetros!$G$28/12)</f>
        <v>64039.01152763272</v>
      </c>
      <c r="BE31" s="58">
        <f>+BD31*(1+Parámetros!$G$28/12)</f>
        <v>64572.669957029655</v>
      </c>
      <c r="BF31" s="58">
        <f>+BE31*(1+Parámetros!$G$28/12)</f>
        <v>65110.775540004899</v>
      </c>
      <c r="BG31" s="58">
        <f>+BF31*(1+Parámetros!$G$28/12)</f>
        <v>65653.365336171599</v>
      </c>
      <c r="BH31" s="58">
        <f>+BG31*(1+Parámetros!$G$28/12)</f>
        <v>66200.476713973025</v>
      </c>
      <c r="BI31" s="58">
        <f>+BH31*(1+Parámetros!$G$28/12)</f>
        <v>66752.147353256136</v>
      </c>
      <c r="BJ31" s="58">
        <f>+BI31*(1+Parámetros!$G$28/12)</f>
        <v>67308.415247866607</v>
      </c>
      <c r="BK31" s="58">
        <f>+BJ31*(1+Parámetros!$G$28/12)</f>
        <v>67869.318708265491</v>
      </c>
      <c r="BL31" s="58">
        <f>+BK31*(1+Parámetros!$G$28/12)</f>
        <v>68434.896364167696</v>
      </c>
      <c r="BM31" s="58">
        <f>+BL31*(1+Parámetros!$G$28/12)</f>
        <v>69005.187167202428</v>
      </c>
      <c r="BN31" s="58">
        <f>+BM31*(1+Parámetros!$G$28/12)</f>
        <v>69580.230393595775</v>
      </c>
      <c r="BO31" s="58">
        <f>+BN31*(1+Parámetros!$G$28/12)</f>
        <v>70160.065646875737</v>
      </c>
      <c r="BP31" s="59">
        <f t="shared" si="72"/>
        <v>804686.55995604175</v>
      </c>
      <c r="BQ31" s="58">
        <f>+BO31*(1+Parámetros!$G$28/12)</f>
        <v>70744.732860599703</v>
      </c>
      <c r="BR31" s="58">
        <f>+BQ31*(1+Parámetros!$G$28/12)</f>
        <v>71334.272301104691</v>
      </c>
      <c r="BS31" s="58">
        <f>+BR31*(1+Parámetros!$G$28/12)</f>
        <v>71928.724570280567</v>
      </c>
      <c r="BT31" s="58">
        <f>+BS31*(1+Parámetros!$G$28/12)</f>
        <v>72528.130608366235</v>
      </c>
      <c r="BU31" s="58">
        <f>+BT31*(1+Parámetros!$G$28/12)</f>
        <v>73132.531696769278</v>
      </c>
      <c r="BV31" s="58">
        <f>+BU31*(1+Parámetros!$G$28/12)</f>
        <v>73741.969460909022</v>
      </c>
      <c r="BW31" s="58">
        <f>+BV31*(1+Parámetros!$G$28/12)</f>
        <v>74356.485873083264</v>
      </c>
      <c r="BX31" s="58">
        <f>+BW31*(1+Parámetros!$G$28/12)</f>
        <v>74976.123255358951</v>
      </c>
      <c r="BY31" s="58">
        <f>+BX31*(1+Parámetros!$G$28/12)</f>
        <v>75600.924282486943</v>
      </c>
      <c r="BZ31" s="58">
        <f>+BY31*(1+Parámetros!$G$28/12)</f>
        <v>76230.931984840994</v>
      </c>
      <c r="CA31" s="58">
        <f>+BZ31*(1+Parámetros!$G$28/12)</f>
        <v>76866.189751381331</v>
      </c>
      <c r="CB31" s="58">
        <f>+CA31*(1+Parámetros!$G$28/12)</f>
        <v>77506.741332642836</v>
      </c>
      <c r="CC31" s="59">
        <f t="shared" si="87"/>
        <v>888947.75797782384</v>
      </c>
      <c r="CD31" s="58">
        <f>+CB31*(1+Parámetros!$G$28/12)</f>
        <v>78152.630843748193</v>
      </c>
      <c r="CE31" s="58">
        <f>+CD31*(1+Parámetros!$G$28/12)</f>
        <v>78803.902767446096</v>
      </c>
      <c r="CF31" s="58">
        <f>+CE31*(1+Parámetros!$G$28/12)</f>
        <v>79460.601957174804</v>
      </c>
      <c r="CG31" s="58">
        <f>+CF31*(1+Parámetros!$G$28/12)</f>
        <v>80122.773640151252</v>
      </c>
      <c r="CH31" s="58">
        <f>+CG31*(1+Parámetros!$G$28/12)</f>
        <v>80790.463420485845</v>
      </c>
      <c r="CI31" s="58">
        <f>+CH31*(1+Parámetros!$G$28/12)</f>
        <v>81463.717282323225</v>
      </c>
      <c r="CJ31" s="58">
        <f>+CI31*(1+Parámetros!$G$28/12)</f>
        <v>82142.58159300925</v>
      </c>
      <c r="CK31" s="58">
        <f>+CJ31*(1+Parámetros!$G$28/12)</f>
        <v>82827.103106284325</v>
      </c>
      <c r="CL31" s="58">
        <f>+CK31*(1+Parámetros!$G$28/12)</f>
        <v>83517.328965503359</v>
      </c>
      <c r="CM31" s="58">
        <f>+CL31*(1+Parámetros!$G$28/12)</f>
        <v>84213.306706882548</v>
      </c>
      <c r="CN31" s="58">
        <f>+CM31*(1+Parámetros!$G$28/12)</f>
        <v>84915.084262773235</v>
      </c>
      <c r="CO31" s="58">
        <f>+CN31*(1+Parámetros!$G$28/12)</f>
        <v>85622.709964963011</v>
      </c>
      <c r="CP31" s="59">
        <f t="shared" si="88"/>
        <v>982032.20451074513</v>
      </c>
    </row>
    <row r="32" spans="2:95" outlineLevel="1" x14ac:dyDescent="0.25">
      <c r="B32" s="53" t="s">
        <v>17</v>
      </c>
      <c r="D32" s="58">
        <v>100000</v>
      </c>
      <c r="H32" s="58">
        <v>100000</v>
      </c>
      <c r="M32" s="58">
        <v>100000</v>
      </c>
      <c r="P32" s="59">
        <f t="shared" si="84"/>
        <v>300000</v>
      </c>
      <c r="S32" s="58">
        <v>100000</v>
      </c>
      <c r="W32" s="58">
        <v>100000</v>
      </c>
      <c r="AA32" s="58">
        <v>100000</v>
      </c>
      <c r="AC32" s="59">
        <f t="shared" si="85"/>
        <v>300000</v>
      </c>
      <c r="AD32" s="58">
        <f>+AB32*(1+Parámetros!$E$28/12)</f>
        <v>0</v>
      </c>
      <c r="AE32" s="58">
        <f>+AD32*(1+Parámetros!$E$28/12)</f>
        <v>0</v>
      </c>
      <c r="AF32" s="58">
        <f>+AE32*(1+Parámetros!$E$28/12)</f>
        <v>0</v>
      </c>
      <c r="AG32" s="58">
        <v>150000</v>
      </c>
      <c r="AH32" s="58">
        <f>+AG32*(1+Parámetros!$E$28/12)</f>
        <v>151000</v>
      </c>
      <c r="AI32" s="58">
        <f>+AH32*(1+Parámetros!$E$28/12)</f>
        <v>152006.66666666666</v>
      </c>
      <c r="AJ32" s="58">
        <f>+AI32*(1+Parámetros!$E$28/12)</f>
        <v>153020.04444444441</v>
      </c>
      <c r="AK32" s="58">
        <f>+AJ32*(1+Parámetros!$E$28/12)</f>
        <v>154040.17807407404</v>
      </c>
      <c r="AL32" s="58">
        <f>+AK32*(1+Parámetros!$E$28/12)</f>
        <v>155067.11259456785</v>
      </c>
      <c r="AM32" s="58">
        <f>+AL32*(1+Parámetros!$E$28/12)</f>
        <v>156100.8933451983</v>
      </c>
      <c r="AN32" s="58">
        <f>+AM32*(1+Parámetros!$E$28/12)</f>
        <v>157141.56596749963</v>
      </c>
      <c r="AO32" s="58">
        <f>+AN32*(1+Parámetros!$E$28/12)</f>
        <v>158189.17640728294</v>
      </c>
      <c r="AP32" s="59">
        <f t="shared" si="71"/>
        <v>1386565.6374997336</v>
      </c>
      <c r="AQ32" s="58">
        <f>+AO32*(1+Parámetros!$F$28/12)</f>
        <v>159507.41954401031</v>
      </c>
      <c r="AU32" s="58">
        <f>+AT32*(1+Parámetros!$F$28/12)</f>
        <v>0</v>
      </c>
      <c r="AX32" s="58">
        <f>+AQ32</f>
        <v>159507.41954401031</v>
      </c>
      <c r="BB32" s="58">
        <f>+AX32</f>
        <v>159507.41954401031</v>
      </c>
      <c r="BC32" s="59">
        <f t="shared" si="86"/>
        <v>478522.25863203092</v>
      </c>
      <c r="BD32" s="58">
        <f>+BB32*(1+Parámetros!$G$28/12)</f>
        <v>160836.64804021039</v>
      </c>
      <c r="BE32" s="58">
        <f>+BD32*(1+Parámetros!$G$28/12)</f>
        <v>162176.95344054548</v>
      </c>
      <c r="BF32" s="58">
        <f>+BE32*(1+Parámetros!$G$28/12)</f>
        <v>163528.42805255001</v>
      </c>
      <c r="BG32" s="58">
        <f>+BF32*(1+Parámetros!$G$28/12)</f>
        <v>164891.16495298792</v>
      </c>
      <c r="BH32" s="58">
        <f>+BG32*(1+Parámetros!$G$28/12)</f>
        <v>166265.25799426282</v>
      </c>
      <c r="BI32" s="58">
        <f>+BH32*(1+Parámetros!$G$28/12)</f>
        <v>167650.80181088168</v>
      </c>
      <c r="BJ32" s="58">
        <f>+BI32*(1+Parámetros!$G$28/12)</f>
        <v>169047.89182597236</v>
      </c>
      <c r="BK32" s="58">
        <f>+BJ32*(1+Parámetros!$G$28/12)</f>
        <v>170456.62425785547</v>
      </c>
      <c r="BL32" s="58">
        <f>+BK32*(1+Parámetros!$G$28/12)</f>
        <v>171877.09612667092</v>
      </c>
      <c r="BM32" s="58">
        <f>+BL32*(1+Parámetros!$G$28/12)</f>
        <v>173309.40526105984</v>
      </c>
      <c r="BN32" s="58">
        <f>+BM32*(1+Parámetros!$G$28/12)</f>
        <v>174753.650304902</v>
      </c>
      <c r="BO32" s="58">
        <f>+BN32*(1+Parámetros!$G$28/12)</f>
        <v>176209.93072410949</v>
      </c>
      <c r="BP32" s="59">
        <f t="shared" si="72"/>
        <v>2021003.8527920083</v>
      </c>
      <c r="BQ32" s="58">
        <f>+BO32*(1+Parámetros!$G$28/12)</f>
        <v>177678.34681347708</v>
      </c>
      <c r="BR32" s="58">
        <f>+BQ32*(1+Parámetros!$G$28/12)</f>
        <v>179158.99970358939</v>
      </c>
      <c r="BS32" s="58">
        <f>+BR32*(1+Parámetros!$G$28/12)</f>
        <v>180651.99136778596</v>
      </c>
      <c r="BT32" s="58">
        <f>+BS32*(1+Parámetros!$G$28/12)</f>
        <v>182157.42462918416</v>
      </c>
      <c r="BU32" s="58">
        <f>+BT32*(1+Parámetros!$G$28/12)</f>
        <v>183675.4031677607</v>
      </c>
      <c r="BV32" s="58">
        <f>+BU32*(1+Parámetros!$G$28/12)</f>
        <v>185206.03152749204</v>
      </c>
      <c r="BW32" s="58">
        <f>+BV32*(1+Parámetros!$G$28/12)</f>
        <v>186749.41512355447</v>
      </c>
      <c r="BX32" s="58">
        <f>+BW32*(1+Parámetros!$G$28/12)</f>
        <v>188305.66024958409</v>
      </c>
      <c r="BY32" s="58">
        <f>+BX32*(1+Parámetros!$G$28/12)</f>
        <v>189874.87408499728</v>
      </c>
      <c r="BZ32" s="58">
        <f>+BY32*(1+Parámetros!$G$28/12)</f>
        <v>191457.16470237225</v>
      </c>
      <c r="CA32" s="58">
        <f>+BZ32*(1+Parámetros!$G$28/12)</f>
        <v>193052.64107489202</v>
      </c>
      <c r="CB32" s="58">
        <f>+CA32*(1+Parámetros!$G$28/12)</f>
        <v>194661.41308384945</v>
      </c>
      <c r="CC32" s="59">
        <f t="shared" si="87"/>
        <v>2232629.3655285388</v>
      </c>
      <c r="CD32" s="58">
        <f>+CB32*(1+Parámetros!$G$28/12)</f>
        <v>196283.59152621485</v>
      </c>
      <c r="CE32" s="58">
        <f>+CD32*(1+Parámetros!$G$28/12)</f>
        <v>197919.28812226665</v>
      </c>
      <c r="CF32" s="58">
        <f>+CE32*(1+Parámetros!$G$28/12)</f>
        <v>199568.61552328552</v>
      </c>
      <c r="CG32" s="58">
        <f>+CF32*(1+Parámetros!$G$28/12)</f>
        <v>201231.68731931288</v>
      </c>
      <c r="CH32" s="58">
        <f>+CG32*(1+Parámetros!$G$28/12)</f>
        <v>202908.61804697383</v>
      </c>
      <c r="CI32" s="58">
        <f>+CH32*(1+Parámetros!$G$28/12)</f>
        <v>204599.52319736528</v>
      </c>
      <c r="CJ32" s="58">
        <f>+CI32*(1+Parámetros!$G$28/12)</f>
        <v>206304.51922401</v>
      </c>
      <c r="CK32" s="58">
        <f>+CJ32*(1+Parámetros!$G$28/12)</f>
        <v>208023.72355087675</v>
      </c>
      <c r="CL32" s="58">
        <f>+CK32*(1+Parámetros!$G$28/12)</f>
        <v>209757.25458046739</v>
      </c>
      <c r="CM32" s="58">
        <f>+CL32*(1+Parámetros!$G$28/12)</f>
        <v>211505.23170197126</v>
      </c>
      <c r="CN32" s="58">
        <f>+CM32*(1+Parámetros!$G$28/12)</f>
        <v>213267.77529948769</v>
      </c>
      <c r="CO32" s="58">
        <f>+CN32*(1+Parámetros!$G$28/12)</f>
        <v>215045.00676031676</v>
      </c>
      <c r="CP32" s="59">
        <f t="shared" si="88"/>
        <v>2466414.8348525492</v>
      </c>
    </row>
    <row r="33" spans="2:94" outlineLevel="1" x14ac:dyDescent="0.25">
      <c r="B33" s="53" t="s">
        <v>47</v>
      </c>
      <c r="D33" s="58">
        <v>200000</v>
      </c>
      <c r="E33" s="58">
        <v>200000</v>
      </c>
      <c r="F33" s="58">
        <v>200000</v>
      </c>
      <c r="G33" s="58">
        <v>200000</v>
      </c>
      <c r="H33" s="58">
        <v>200000</v>
      </c>
      <c r="I33" s="58">
        <v>200000</v>
      </c>
      <c r="J33" s="58">
        <v>200000</v>
      </c>
      <c r="K33" s="58">
        <v>200000</v>
      </c>
      <c r="L33" s="58">
        <v>200000</v>
      </c>
      <c r="M33" s="58">
        <v>200000</v>
      </c>
      <c r="N33" s="58">
        <v>200000</v>
      </c>
      <c r="O33" s="58">
        <v>200000</v>
      </c>
      <c r="P33" s="59">
        <f t="shared" si="84"/>
        <v>2400000</v>
      </c>
      <c r="Q33" s="58">
        <f>+O33*(1+Parámetros!$D$28/12)</f>
        <v>200999.99999999997</v>
      </c>
      <c r="R33" s="58">
        <f>+Q33*(1+Parámetros!$D$28/12)</f>
        <v>202004.99999999994</v>
      </c>
      <c r="S33" s="58">
        <f>+R33*(1+Parámetros!$D$28/12)</f>
        <v>203015.02499999991</v>
      </c>
      <c r="T33" s="58">
        <f>+S33*(1+Parámetros!$D$28/12)</f>
        <v>204030.10012499988</v>
      </c>
      <c r="U33" s="58">
        <f>+T33*(1+Parámetros!$D$28/12)</f>
        <v>205050.25062562485</v>
      </c>
      <c r="V33" s="58">
        <f>+U33*(1+Parámetros!$D$28/12)</f>
        <v>206075.50187875296</v>
      </c>
      <c r="W33" s="58">
        <f>+V33*(1+Parámetros!$D$28/12)</f>
        <v>207105.87938814668</v>
      </c>
      <c r="X33" s="58">
        <f>+W33*(1+Parámetros!$D$28/12)</f>
        <v>208141.40878508741</v>
      </c>
      <c r="Y33" s="58">
        <f>+X33*(1+Parámetros!$D$28/12)</f>
        <v>209182.11582901282</v>
      </c>
      <c r="Z33" s="58">
        <f>+Y33*(1+Parámetros!$D$28/12)</f>
        <v>210228.02640815786</v>
      </c>
      <c r="AA33" s="58">
        <f>+Z33*(1+Parámetros!$D$28/12)</f>
        <v>211279.16654019864</v>
      </c>
      <c r="AB33" s="58">
        <f>+AA33*(1+Parámetros!$D$28/12)</f>
        <v>212335.56237289961</v>
      </c>
      <c r="AC33" s="59">
        <f t="shared" si="85"/>
        <v>2479448.0369528802</v>
      </c>
      <c r="AD33" s="58">
        <f>+AB33*(1+Parámetros!$E$28/12)</f>
        <v>213751.13278871894</v>
      </c>
      <c r="AE33" s="58">
        <f>+AD33*(1+Parámetros!$E$28/12)</f>
        <v>215176.14034064373</v>
      </c>
      <c r="AF33" s="58">
        <f>+AE33*(1+Parámetros!$E$28/12)</f>
        <v>216610.64794291469</v>
      </c>
      <c r="AG33" s="58">
        <f>+AF33*(1+Parámetros!$E$28/12)</f>
        <v>218054.71892920078</v>
      </c>
      <c r="AH33" s="58">
        <f>+AG33*(1+Parámetros!$E$28/12)</f>
        <v>219508.41705539543</v>
      </c>
      <c r="AI33" s="58">
        <f>+AH33*(1+Parámetros!$E$28/12)</f>
        <v>220971.8065024314</v>
      </c>
      <c r="AJ33" s="58">
        <f>+AI33*(1+Parámetros!$E$28/12)</f>
        <v>222444.95187911426</v>
      </c>
      <c r="AK33" s="58">
        <f>+AJ33*(1+Parámetros!$E$28/12)</f>
        <v>223927.918224975</v>
      </c>
      <c r="AL33" s="58">
        <f>+AK33*(1+Parámetros!$E$28/12)</f>
        <v>225420.77101314149</v>
      </c>
      <c r="AM33" s="58">
        <f>+AL33*(1+Parámetros!$E$28/12)</f>
        <v>226923.57615322908</v>
      </c>
      <c r="AN33" s="58">
        <f>+AM33*(1+Parámetros!$E$28/12)</f>
        <v>228436.39999425059</v>
      </c>
      <c r="AO33" s="58">
        <f>+AN33*(1+Parámetros!$E$28/12)</f>
        <v>229959.30932754558</v>
      </c>
      <c r="AP33" s="59">
        <f t="shared" si="71"/>
        <v>2661185.7901515607</v>
      </c>
      <c r="AQ33" s="58">
        <f>+AO33*(1+Parámetros!$F$28/12)</f>
        <v>231875.63690527511</v>
      </c>
      <c r="AR33" s="58">
        <f>+AQ33*(1+Parámetros!$F$28/12)</f>
        <v>233807.93387948573</v>
      </c>
      <c r="AS33" s="58">
        <f>+AR33*(1+Parámetros!$F$28/12)</f>
        <v>235756.33332848144</v>
      </c>
      <c r="AT33" s="58">
        <f>+AS33*(1+Parámetros!$F$28/12)</f>
        <v>237720.96943955211</v>
      </c>
      <c r="AU33" s="58">
        <f>+AT33*(1+Parámetros!$F$28/12)</f>
        <v>239701.97751821505</v>
      </c>
      <c r="AV33" s="58">
        <f>+AU33*(1+Parámetros!$F$28/12)</f>
        <v>241699.49399753349</v>
      </c>
      <c r="AW33" s="58">
        <f>+AV33*(1+Parámetros!$F$28/12)</f>
        <v>243713.65644751291</v>
      </c>
      <c r="AX33" s="58">
        <f>+AW33*(1+Parámetros!$F$28/12)</f>
        <v>245744.60358457553</v>
      </c>
      <c r="AY33" s="58">
        <f>+AX33*(1+Parámetros!$F$28/12)</f>
        <v>247792.47528111364</v>
      </c>
      <c r="AZ33" s="58">
        <f>+AY33*(1+Parámetros!$F$28/12)</f>
        <v>249857.41257512293</v>
      </c>
      <c r="BA33" s="58">
        <f>+AZ33*(1+Parámetros!$F$28/12)</f>
        <v>251939.55767991563</v>
      </c>
      <c r="BB33" s="58">
        <f>+BA33*(1+Parámetros!$F$28/12)</f>
        <v>254039.05399391492</v>
      </c>
      <c r="BC33" s="59">
        <f t="shared" si="86"/>
        <v>2913649.1046306984</v>
      </c>
      <c r="BD33" s="58">
        <f>+BB33*(1+Parámetros!$G$28/12)</f>
        <v>256156.04611053088</v>
      </c>
      <c r="BE33" s="58">
        <f>+BD33*(1+Parámetros!$G$28/12)</f>
        <v>258290.67982811862</v>
      </c>
      <c r="BF33" s="58">
        <f>+BE33*(1+Parámetros!$G$28/12)</f>
        <v>260443.1021600196</v>
      </c>
      <c r="BG33" s="58">
        <f>+BF33*(1+Parámetros!$G$28/12)</f>
        <v>262613.4613446864</v>
      </c>
      <c r="BH33" s="58">
        <f>+BG33*(1+Parámetros!$G$28/12)</f>
        <v>264801.9068558921</v>
      </c>
      <c r="BI33" s="58">
        <f>+BH33*(1+Parámetros!$G$28/12)</f>
        <v>267008.58941302454</v>
      </c>
      <c r="BJ33" s="58">
        <f>+BI33*(1+Parámetros!$G$28/12)</f>
        <v>269233.66099146643</v>
      </c>
      <c r="BK33" s="58">
        <f>+BJ33*(1+Parámetros!$G$28/12)</f>
        <v>271477.27483306197</v>
      </c>
      <c r="BL33" s="58">
        <f>+BK33*(1+Parámetros!$G$28/12)</f>
        <v>273739.58545667079</v>
      </c>
      <c r="BM33" s="58">
        <f>+BL33*(1+Parámetros!$G$28/12)</f>
        <v>276020.74866880971</v>
      </c>
      <c r="BN33" s="58">
        <f>+BM33*(1+Parámetros!$G$28/12)</f>
        <v>278320.9215743831</v>
      </c>
      <c r="BO33" s="58">
        <f>+BN33*(1+Parámetros!$G$28/12)</f>
        <v>280640.26258750295</v>
      </c>
      <c r="BP33" s="59">
        <f t="shared" si="72"/>
        <v>3218746.239824167</v>
      </c>
      <c r="BQ33" s="58">
        <f>+BO33*(1+Parámetros!$G$28/12)</f>
        <v>282978.93144239881</v>
      </c>
      <c r="BR33" s="58">
        <f>+BQ33*(1+Parámetros!$G$28/12)</f>
        <v>285337.08920441876</v>
      </c>
      <c r="BS33" s="58">
        <f>+BR33*(1+Parámetros!$G$28/12)</f>
        <v>287714.89828112227</v>
      </c>
      <c r="BT33" s="58">
        <f>+BS33*(1+Parámetros!$G$28/12)</f>
        <v>290112.52243346494</v>
      </c>
      <c r="BU33" s="58">
        <f>+BT33*(1+Parámetros!$G$28/12)</f>
        <v>292530.12678707711</v>
      </c>
      <c r="BV33" s="58">
        <f>+BU33*(1+Parámetros!$G$28/12)</f>
        <v>294967.87784363609</v>
      </c>
      <c r="BW33" s="58">
        <f>+BV33*(1+Parámetros!$G$28/12)</f>
        <v>297425.94349233306</v>
      </c>
      <c r="BX33" s="58">
        <f>+BW33*(1+Parámetros!$G$28/12)</f>
        <v>299904.4930214358</v>
      </c>
      <c r="BY33" s="58">
        <f>+BX33*(1+Parámetros!$G$28/12)</f>
        <v>302403.69712994777</v>
      </c>
      <c r="BZ33" s="58">
        <f>+BY33*(1+Parámetros!$G$28/12)</f>
        <v>304923.72793936398</v>
      </c>
      <c r="CA33" s="58">
        <f>+BZ33*(1+Parámetros!$G$28/12)</f>
        <v>307464.75900552532</v>
      </c>
      <c r="CB33" s="58">
        <f>+CA33*(1+Parámetros!$G$28/12)</f>
        <v>310026.96533057134</v>
      </c>
      <c r="CC33" s="59">
        <f t="shared" si="87"/>
        <v>3555791.0319112954</v>
      </c>
      <c r="CD33" s="58">
        <f>+CB33*(1+Parámetros!$G$28/12)</f>
        <v>312610.52337499277</v>
      </c>
      <c r="CE33" s="58">
        <f>+CD33*(1+Parámetros!$G$28/12)</f>
        <v>315215.61106978438</v>
      </c>
      <c r="CF33" s="58">
        <f>+CE33*(1+Parámetros!$G$28/12)</f>
        <v>317842.40782869922</v>
      </c>
      <c r="CG33" s="58">
        <f>+CF33*(1+Parámetros!$G$28/12)</f>
        <v>320491.09456060501</v>
      </c>
      <c r="CH33" s="58">
        <f>+CG33*(1+Parámetros!$G$28/12)</f>
        <v>323161.85368194338</v>
      </c>
      <c r="CI33" s="58">
        <f>+CH33*(1+Parámetros!$G$28/12)</f>
        <v>325854.8691292929</v>
      </c>
      <c r="CJ33" s="58">
        <f>+CI33*(1+Parámetros!$G$28/12)</f>
        <v>328570.326372037</v>
      </c>
      <c r="CK33" s="58">
        <f>+CJ33*(1+Parámetros!$G$28/12)</f>
        <v>331308.4124251373</v>
      </c>
      <c r="CL33" s="58">
        <f>+CK33*(1+Parámetros!$G$28/12)</f>
        <v>334069.31586201343</v>
      </c>
      <c r="CM33" s="58">
        <f>+CL33*(1+Parámetros!$G$28/12)</f>
        <v>336853.22682753019</v>
      </c>
      <c r="CN33" s="58">
        <f>+CM33*(1+Parámetros!$G$28/12)</f>
        <v>339660.33705109294</v>
      </c>
      <c r="CO33" s="58">
        <f>+CN33*(1+Parámetros!$G$28/12)</f>
        <v>342490.83985985204</v>
      </c>
      <c r="CP33" s="59">
        <f t="shared" si="88"/>
        <v>3928128.8180429805</v>
      </c>
    </row>
    <row r="34" spans="2:94" outlineLevel="1" x14ac:dyDescent="0.25">
      <c r="B34" s="53" t="s">
        <v>46</v>
      </c>
      <c r="D34" s="58">
        <v>60000</v>
      </c>
      <c r="E34" s="58">
        <v>60000</v>
      </c>
      <c r="F34" s="58">
        <v>60000</v>
      </c>
      <c r="G34" s="58">
        <v>60000</v>
      </c>
      <c r="H34" s="58">
        <v>60000</v>
      </c>
      <c r="I34" s="58">
        <v>60000</v>
      </c>
      <c r="J34" s="58">
        <v>60000</v>
      </c>
      <c r="K34" s="58">
        <v>60000</v>
      </c>
      <c r="L34" s="58">
        <v>60000</v>
      </c>
      <c r="M34" s="58">
        <v>60000</v>
      </c>
      <c r="N34" s="58">
        <v>60000</v>
      </c>
      <c r="O34" s="58">
        <v>60000</v>
      </c>
      <c r="P34" s="59">
        <f t="shared" si="84"/>
        <v>720000</v>
      </c>
      <c r="Q34" s="58">
        <f>+O34*(1+Parámetros!$D$28/12)</f>
        <v>60299.999999999993</v>
      </c>
      <c r="R34" s="58">
        <f>+Q34*(1+Parámetros!$D$28/12)</f>
        <v>60601.499999999985</v>
      </c>
      <c r="S34" s="58">
        <f>+R34*(1+Parámetros!$D$28/12)</f>
        <v>60904.507499999978</v>
      </c>
      <c r="T34" s="58">
        <f>+S34*(1+Parámetros!$D$28/12)</f>
        <v>61209.030037499972</v>
      </c>
      <c r="U34" s="58">
        <f>+T34*(1+Parámetros!$D$28/12)</f>
        <v>61515.075187687464</v>
      </c>
      <c r="V34" s="58">
        <f>+U34*(1+Parámetros!$D$28/12)</f>
        <v>61822.650563625895</v>
      </c>
      <c r="W34" s="58">
        <f>+V34*(1+Parámetros!$D$28/12)</f>
        <v>62131.763816444021</v>
      </c>
      <c r="X34" s="58">
        <f>+W34*(1+Parámetros!$D$28/12)</f>
        <v>62442.422635526236</v>
      </c>
      <c r="Y34" s="58">
        <f>+X34*(1+Parámetros!$D$28/12)</f>
        <v>62754.634748703858</v>
      </c>
      <c r="Z34" s="58">
        <f>+Y34*(1+Parámetros!$D$28/12)</f>
        <v>63068.407922447368</v>
      </c>
      <c r="AA34" s="58">
        <f>+Z34*(1+Parámetros!$D$28/12)</f>
        <v>63383.749962059599</v>
      </c>
      <c r="AB34" s="58">
        <f>+AA34*(1+Parámetros!$D$28/12)</f>
        <v>63700.66871186989</v>
      </c>
      <c r="AC34" s="59">
        <f t="shared" si="85"/>
        <v>743834.41108586418</v>
      </c>
      <c r="AD34" s="58">
        <f>+AB34*(1+Parámetros!$E$28/12)</f>
        <v>64125.339836615683</v>
      </c>
      <c r="AE34" s="58">
        <f>+AD34*(1+Parámetros!$E$28/12)</f>
        <v>64552.842102193114</v>
      </c>
      <c r="AF34" s="58">
        <f>+AE34*(1+Parámetros!$E$28/12)</f>
        <v>64983.194382874397</v>
      </c>
      <c r="AG34" s="58">
        <f>+AF34*(1+Parámetros!$E$28/12)</f>
        <v>65416.415678760219</v>
      </c>
      <c r="AH34" s="58">
        <f>+AG34*(1+Parámetros!$E$28/12)</f>
        <v>65852.525116618621</v>
      </c>
      <c r="AI34" s="58">
        <f>+AH34*(1+Parámetros!$E$28/12)</f>
        <v>66291.541950729414</v>
      </c>
      <c r="AJ34" s="58">
        <f>+AI34*(1+Parámetros!$E$28/12)</f>
        <v>66733.48556373427</v>
      </c>
      <c r="AK34" s="58">
        <f>+AJ34*(1+Parámetros!$E$28/12)</f>
        <v>67178.3754674925</v>
      </c>
      <c r="AL34" s="58">
        <f>+AK34*(1+Parámetros!$E$28/12)</f>
        <v>67626.231303942448</v>
      </c>
      <c r="AM34" s="58">
        <f>+AL34*(1+Parámetros!$E$28/12)</f>
        <v>68077.072845968723</v>
      </c>
      <c r="AN34" s="58">
        <f>+AM34*(1+Parámetros!$E$28/12)</f>
        <v>68530.919998275174</v>
      </c>
      <c r="AO34" s="58">
        <f>+AN34*(1+Parámetros!$E$28/12)</f>
        <v>68987.792798263676</v>
      </c>
      <c r="AP34" s="59">
        <f t="shared" si="71"/>
        <v>798355.7370454683</v>
      </c>
      <c r="AQ34" s="58">
        <f>+AO34*(1+Parámetros!$F$28/12)</f>
        <v>69562.691071582536</v>
      </c>
      <c r="AR34" s="58">
        <f>+AQ34*(1+Parámetros!$F$28/12)</f>
        <v>70142.380163845723</v>
      </c>
      <c r="AS34" s="58">
        <f>+AR34*(1+Parámetros!$F$28/12)</f>
        <v>70726.899998544439</v>
      </c>
      <c r="AT34" s="58">
        <f>+AS34*(1+Parámetros!$F$28/12)</f>
        <v>71316.290831865641</v>
      </c>
      <c r="AU34" s="58">
        <f>+AT34*(1+Parámetros!$F$28/12)</f>
        <v>71910.593255464526</v>
      </c>
      <c r="AV34" s="58">
        <f>+AU34*(1+Parámetros!$F$28/12)</f>
        <v>72509.848199260057</v>
      </c>
      <c r="AW34" s="58">
        <f>+AV34*(1+Parámetros!$F$28/12)</f>
        <v>73114.096934253888</v>
      </c>
      <c r="AX34" s="58">
        <f>+AW34*(1+Parámetros!$F$28/12)</f>
        <v>73723.381075372672</v>
      </c>
      <c r="AY34" s="58">
        <f>+AX34*(1+Parámetros!$F$28/12)</f>
        <v>74337.742584334104</v>
      </c>
      <c r="AZ34" s="58">
        <f>+AY34*(1+Parámetros!$F$28/12)</f>
        <v>74957.22377253689</v>
      </c>
      <c r="BA34" s="58">
        <f>+AZ34*(1+Parámetros!$F$28/12)</f>
        <v>75581.867303974694</v>
      </c>
      <c r="BB34" s="58">
        <f>+BA34*(1+Parámetros!$F$28/12)</f>
        <v>76211.716198174487</v>
      </c>
      <c r="BC34" s="59">
        <f t="shared" si="86"/>
        <v>874094.73138920963</v>
      </c>
      <c r="BD34" s="58">
        <f>+BB34*(1+Parámetros!$G$28/12)</f>
        <v>76846.813833159278</v>
      </c>
      <c r="BE34" s="58">
        <f>+BD34*(1+Parámetros!$G$28/12)</f>
        <v>77487.203948435606</v>
      </c>
      <c r="BF34" s="58">
        <f>+BE34*(1+Parámetros!$G$28/12)</f>
        <v>78132.930648005902</v>
      </c>
      <c r="BG34" s="58">
        <f>+BF34*(1+Parámetros!$G$28/12)</f>
        <v>78784.038403405953</v>
      </c>
      <c r="BH34" s="58">
        <f>+BG34*(1+Parámetros!$G$28/12)</f>
        <v>79440.572056767662</v>
      </c>
      <c r="BI34" s="58">
        <f>+BH34*(1+Parámetros!$G$28/12)</f>
        <v>80102.576823907395</v>
      </c>
      <c r="BJ34" s="58">
        <f>+BI34*(1+Parámetros!$G$28/12)</f>
        <v>80770.098297439952</v>
      </c>
      <c r="BK34" s="58">
        <f>+BJ34*(1+Parámetros!$G$28/12)</f>
        <v>81443.182449918619</v>
      </c>
      <c r="BL34" s="58">
        <f>+BK34*(1+Parámetros!$G$28/12)</f>
        <v>82121.875637001271</v>
      </c>
      <c r="BM34" s="58">
        <f>+BL34*(1+Parámetros!$G$28/12)</f>
        <v>82806.224600642949</v>
      </c>
      <c r="BN34" s="58">
        <f>+BM34*(1+Parámetros!$G$28/12)</f>
        <v>83496.276472314974</v>
      </c>
      <c r="BO34" s="58">
        <f>+BN34*(1+Parámetros!$G$28/12)</f>
        <v>84192.078776250928</v>
      </c>
      <c r="BP34" s="59">
        <f t="shared" si="72"/>
        <v>965623.87194725033</v>
      </c>
      <c r="BQ34" s="58">
        <f>+BO34*(1+Parámetros!$G$28/12)</f>
        <v>84893.679432719684</v>
      </c>
      <c r="BR34" s="58">
        <f>+BQ34*(1+Parámetros!$G$28/12)</f>
        <v>85601.126761325679</v>
      </c>
      <c r="BS34" s="58">
        <f>+BR34*(1+Parámetros!$G$28/12)</f>
        <v>86314.469484336718</v>
      </c>
      <c r="BT34" s="58">
        <f>+BS34*(1+Parámetros!$G$28/12)</f>
        <v>87033.756730039517</v>
      </c>
      <c r="BU34" s="58">
        <f>+BT34*(1+Parámetros!$G$28/12)</f>
        <v>87759.03803612318</v>
      </c>
      <c r="BV34" s="58">
        <f>+BU34*(1+Parámetros!$G$28/12)</f>
        <v>88490.36335309087</v>
      </c>
      <c r="BW34" s="58">
        <f>+BV34*(1+Parámetros!$G$28/12)</f>
        <v>89227.783047699952</v>
      </c>
      <c r="BX34" s="58">
        <f>+BW34*(1+Parámetros!$G$28/12)</f>
        <v>89971.347906430776</v>
      </c>
      <c r="BY34" s="58">
        <f>+BX34*(1+Parámetros!$G$28/12)</f>
        <v>90721.109138984364</v>
      </c>
      <c r="BZ34" s="58">
        <f>+BY34*(1+Parámetros!$G$28/12)</f>
        <v>91477.118381809225</v>
      </c>
      <c r="CA34" s="58">
        <f>+BZ34*(1+Parámetros!$G$28/12)</f>
        <v>92239.427701657638</v>
      </c>
      <c r="CB34" s="58">
        <f>+CA34*(1+Parámetros!$G$28/12)</f>
        <v>93008.08959917145</v>
      </c>
      <c r="CC34" s="59">
        <f t="shared" si="87"/>
        <v>1066737.3095733891</v>
      </c>
      <c r="CD34" s="58">
        <f>+CB34*(1+Parámetros!$G$28/12)</f>
        <v>93783.157012497875</v>
      </c>
      <c r="CE34" s="58">
        <f>+CD34*(1+Parámetros!$G$28/12)</f>
        <v>94564.68332093535</v>
      </c>
      <c r="CF34" s="58">
        <f>+CE34*(1+Parámetros!$G$28/12)</f>
        <v>95352.722348609808</v>
      </c>
      <c r="CG34" s="58">
        <f>+CF34*(1+Parámetros!$G$28/12)</f>
        <v>96147.328368181552</v>
      </c>
      <c r="CH34" s="58">
        <f>+CG34*(1+Parámetros!$G$28/12)</f>
        <v>96948.556104583069</v>
      </c>
      <c r="CI34" s="58">
        <f>+CH34*(1+Parámetros!$G$28/12)</f>
        <v>97756.460738787922</v>
      </c>
      <c r="CJ34" s="58">
        <f>+CI34*(1+Parámetros!$G$28/12)</f>
        <v>98571.097911611156</v>
      </c>
      <c r="CK34" s="58">
        <f>+CJ34*(1+Parámetros!$G$28/12)</f>
        <v>99392.523727541251</v>
      </c>
      <c r="CL34" s="58">
        <f>+CK34*(1+Parámetros!$G$28/12)</f>
        <v>100220.7947586041</v>
      </c>
      <c r="CM34" s="58">
        <f>+CL34*(1+Parámetros!$G$28/12)</f>
        <v>101055.96804825914</v>
      </c>
      <c r="CN34" s="58">
        <f>+CM34*(1+Parámetros!$G$28/12)</f>
        <v>101898.10111532795</v>
      </c>
      <c r="CO34" s="58">
        <f>+CN34*(1+Parámetros!$G$28/12)</f>
        <v>102747.25195795568</v>
      </c>
      <c r="CP34" s="59">
        <f t="shared" si="88"/>
        <v>1178438.6454128951</v>
      </c>
    </row>
    <row r="35" spans="2:94" outlineLevel="1" x14ac:dyDescent="0.25">
      <c r="B35" s="53" t="s">
        <v>19</v>
      </c>
      <c r="D35" s="58">
        <v>300000</v>
      </c>
      <c r="E35" s="58">
        <v>300000</v>
      </c>
      <c r="F35" s="58">
        <v>300000</v>
      </c>
      <c r="G35" s="58">
        <v>300000</v>
      </c>
      <c r="H35" s="58">
        <v>300000</v>
      </c>
      <c r="I35" s="58">
        <v>300000</v>
      </c>
      <c r="J35" s="58">
        <v>300000</v>
      </c>
      <c r="K35" s="58">
        <v>300000</v>
      </c>
      <c r="L35" s="58">
        <v>300000</v>
      </c>
      <c r="M35" s="58">
        <v>300000</v>
      </c>
      <c r="N35" s="58">
        <v>300000</v>
      </c>
      <c r="O35" s="58">
        <v>300000</v>
      </c>
      <c r="P35" s="59">
        <f t="shared" si="84"/>
        <v>3600000</v>
      </c>
      <c r="Q35" s="58">
        <f>+O35*(1+Parámetros!$D$28/12)</f>
        <v>301499.99999999994</v>
      </c>
      <c r="R35" s="58">
        <f>+Q35*(1+Parámetros!$D$28/12)</f>
        <v>303007.49999999988</v>
      </c>
      <c r="S35" s="58">
        <f>+R35*(1+Parámetros!$D$28/12)</f>
        <v>304522.53749999986</v>
      </c>
      <c r="T35" s="58">
        <f>+S35*(1+Parámetros!$D$28/12)</f>
        <v>306045.15018749982</v>
      </c>
      <c r="U35" s="58">
        <f>+T35*(1+Parámetros!$D$28/12)</f>
        <v>307575.3759384373</v>
      </c>
      <c r="V35" s="58">
        <f>+U35*(1+Parámetros!$D$28/12)</f>
        <v>309113.25281812943</v>
      </c>
      <c r="W35" s="58">
        <f>+V35*(1+Parámetros!$D$28/12)</f>
        <v>310658.81908222003</v>
      </c>
      <c r="X35" s="58">
        <f>+W35*(1+Parámetros!$D$28/12)</f>
        <v>312212.11317763111</v>
      </c>
      <c r="Y35" s="58">
        <f>+X35*(1+Parámetros!$D$28/12)</f>
        <v>313773.17374351923</v>
      </c>
      <c r="Z35" s="58">
        <f>+Y35*(1+Parámetros!$D$28/12)</f>
        <v>315342.03961223678</v>
      </c>
      <c r="AA35" s="58">
        <f>+Z35*(1+Parámetros!$D$28/12)</f>
        <v>316918.74981029792</v>
      </c>
      <c r="AB35" s="58">
        <f>+AA35*(1+Parámetros!$D$28/12)</f>
        <v>318503.34355934936</v>
      </c>
      <c r="AC35" s="59">
        <f t="shared" si="85"/>
        <v>3719172.0554293208</v>
      </c>
      <c r="AD35" s="58">
        <f>+AB35*(1+Parámetros!$E$28/12)</f>
        <v>320626.69918307837</v>
      </c>
      <c r="AE35" s="58">
        <f>+AD35*(1+Parámetros!$E$28/12)</f>
        <v>322764.21051096555</v>
      </c>
      <c r="AF35" s="58">
        <f>+AE35*(1+Parámetros!$E$28/12)</f>
        <v>324915.97191437194</v>
      </c>
      <c r="AG35" s="58">
        <f>+AF35*(1+Parámetros!$E$28/12)</f>
        <v>327082.07839380106</v>
      </c>
      <c r="AH35" s="58">
        <f>+AG35*(1+Parámetros!$E$28/12)</f>
        <v>329262.62558309303</v>
      </c>
      <c r="AI35" s="58">
        <f>+AH35*(1+Parámetros!$E$28/12)</f>
        <v>331457.70975364698</v>
      </c>
      <c r="AJ35" s="58">
        <f>+AI35*(1+Parámetros!$E$28/12)</f>
        <v>333667.42781867128</v>
      </c>
      <c r="AK35" s="58">
        <f>+AJ35*(1+Parámetros!$E$28/12)</f>
        <v>335891.87733746239</v>
      </c>
      <c r="AL35" s="58">
        <f>+AK35*(1+Parámetros!$E$28/12)</f>
        <v>338131.15651971212</v>
      </c>
      <c r="AM35" s="58">
        <f>+AL35*(1+Parámetros!$E$28/12)</f>
        <v>340385.36422984349</v>
      </c>
      <c r="AN35" s="58">
        <f>+AM35*(1+Parámetros!$E$28/12)</f>
        <v>342654.59999137576</v>
      </c>
      <c r="AO35" s="58">
        <f>+AN35*(1+Parámetros!$E$28/12)</f>
        <v>344938.96399131825</v>
      </c>
      <c r="AP35" s="59">
        <f t="shared" si="71"/>
        <v>3991778.6852273401</v>
      </c>
      <c r="AQ35" s="58">
        <f>+AO35*(1+Parámetros!$F$28/12)</f>
        <v>347813.45535791258</v>
      </c>
      <c r="AR35" s="58">
        <f>+AQ35*(1+Parámetros!$F$28/12)</f>
        <v>350711.9008192285</v>
      </c>
      <c r="AS35" s="58">
        <f>+AR35*(1+Parámetros!$F$28/12)</f>
        <v>353634.49999272206</v>
      </c>
      <c r="AT35" s="58">
        <f>+AS35*(1+Parámetros!$F$28/12)</f>
        <v>356581.45415932807</v>
      </c>
      <c r="AU35" s="58">
        <f>+AT35*(1+Parámetros!$F$28/12)</f>
        <v>359552.96627732244</v>
      </c>
      <c r="AV35" s="58">
        <f>+AU35*(1+Parámetros!$F$28/12)</f>
        <v>362549.24099630013</v>
      </c>
      <c r="AW35" s="58">
        <f>+AV35*(1+Parámetros!$F$28/12)</f>
        <v>365570.48467126931</v>
      </c>
      <c r="AX35" s="58">
        <f>+AW35*(1+Parámetros!$F$28/12)</f>
        <v>368616.9053768632</v>
      </c>
      <c r="AY35" s="58">
        <f>+AX35*(1+Parámetros!$F$28/12)</f>
        <v>371688.71292167041</v>
      </c>
      <c r="AZ35" s="58">
        <f>+AY35*(1+Parámetros!$F$28/12)</f>
        <v>374786.11886268429</v>
      </c>
      <c r="BA35" s="58">
        <f>+AZ35*(1+Parámetros!$F$28/12)</f>
        <v>377909.33651987329</v>
      </c>
      <c r="BB35" s="58">
        <f>+BA35*(1+Parámetros!$F$28/12)</f>
        <v>381058.58099087223</v>
      </c>
      <c r="BC35" s="59">
        <f t="shared" si="86"/>
        <v>4370473.6569460463</v>
      </c>
      <c r="BD35" s="58">
        <f>+BB35*(1+Parámetros!$G$28/12)</f>
        <v>384234.06916579616</v>
      </c>
      <c r="BE35" s="58">
        <f>+BD35*(1+Parámetros!$G$28/12)</f>
        <v>387436.0197421778</v>
      </c>
      <c r="BF35" s="58">
        <f>+BE35*(1+Parámetros!$G$28/12)</f>
        <v>390664.65324002929</v>
      </c>
      <c r="BG35" s="58">
        <f>+BF35*(1+Parámetros!$G$28/12)</f>
        <v>393920.19201702951</v>
      </c>
      <c r="BH35" s="58">
        <f>+BG35*(1+Parámetros!$G$28/12)</f>
        <v>397202.86028383806</v>
      </c>
      <c r="BI35" s="58">
        <f>+BH35*(1+Parámetros!$G$28/12)</f>
        <v>400512.88411953673</v>
      </c>
      <c r="BJ35" s="58">
        <f>+BI35*(1+Parámetros!$G$28/12)</f>
        <v>403850.4914871995</v>
      </c>
      <c r="BK35" s="58">
        <f>+BJ35*(1+Parámetros!$G$28/12)</f>
        <v>407215.91224959283</v>
      </c>
      <c r="BL35" s="58">
        <f>+BK35*(1+Parámetros!$G$28/12)</f>
        <v>410609.37818500609</v>
      </c>
      <c r="BM35" s="58">
        <f>+BL35*(1+Parámetros!$G$28/12)</f>
        <v>414031.12300321448</v>
      </c>
      <c r="BN35" s="58">
        <f>+BM35*(1+Parámetros!$G$28/12)</f>
        <v>417481.38236157456</v>
      </c>
      <c r="BO35" s="58">
        <f>+BN35*(1+Parámetros!$G$28/12)</f>
        <v>420960.39388125436</v>
      </c>
      <c r="BP35" s="59">
        <f t="shared" si="72"/>
        <v>4828119.3597362489</v>
      </c>
      <c r="BQ35" s="58">
        <f>+BO35*(1+Parámetros!$G$28/12)</f>
        <v>424468.39716359816</v>
      </c>
      <c r="BR35" s="58">
        <f>+BQ35*(1+Parámetros!$G$28/12)</f>
        <v>428005.63380662812</v>
      </c>
      <c r="BS35" s="58">
        <f>+BR35*(1+Parámetros!$G$28/12)</f>
        <v>431572.34742168331</v>
      </c>
      <c r="BT35" s="58">
        <f>+BS35*(1+Parámetros!$G$28/12)</f>
        <v>435168.78365019732</v>
      </c>
      <c r="BU35" s="58">
        <f>+BT35*(1+Parámetros!$G$28/12)</f>
        <v>438795.19018061564</v>
      </c>
      <c r="BV35" s="58">
        <f>+BU35*(1+Parámetros!$G$28/12)</f>
        <v>442451.81676545407</v>
      </c>
      <c r="BW35" s="58">
        <f>+BV35*(1+Parámetros!$G$28/12)</f>
        <v>446138.91523849953</v>
      </c>
      <c r="BX35" s="58">
        <f>+BW35*(1+Parámetros!$G$28/12)</f>
        <v>449856.73953215365</v>
      </c>
      <c r="BY35" s="58">
        <f>+BX35*(1+Parámetros!$G$28/12)</f>
        <v>453605.54569492157</v>
      </c>
      <c r="BZ35" s="58">
        <f>+BY35*(1+Parámetros!$G$28/12)</f>
        <v>457385.59190904588</v>
      </c>
      <c r="CA35" s="58">
        <f>+BZ35*(1+Parámetros!$G$28/12)</f>
        <v>461197.1385082879</v>
      </c>
      <c r="CB35" s="58">
        <f>+CA35*(1+Parámetros!$G$28/12)</f>
        <v>465040.44799585693</v>
      </c>
      <c r="CC35" s="59">
        <f t="shared" si="87"/>
        <v>5333686.5478669433</v>
      </c>
      <c r="CD35" s="58">
        <f>+CB35*(1+Parámetros!$G$28/12)</f>
        <v>468915.78506248904</v>
      </c>
      <c r="CE35" s="58">
        <f>+CD35*(1+Parámetros!$G$28/12)</f>
        <v>472823.41660467646</v>
      </c>
      <c r="CF35" s="58">
        <f>+CE35*(1+Parámetros!$G$28/12)</f>
        <v>476763.61174304876</v>
      </c>
      <c r="CG35" s="58">
        <f>+CF35*(1+Parámetros!$G$28/12)</f>
        <v>480736.64184090751</v>
      </c>
      <c r="CH35" s="58">
        <f>+CG35*(1+Parámetros!$G$28/12)</f>
        <v>484742.78052291507</v>
      </c>
      <c r="CI35" s="58">
        <f>+CH35*(1+Parámetros!$G$28/12)</f>
        <v>488782.30369393935</v>
      </c>
      <c r="CJ35" s="58">
        <f>+CI35*(1+Parámetros!$G$28/12)</f>
        <v>492855.48955805547</v>
      </c>
      <c r="CK35" s="58">
        <f>+CJ35*(1+Parámetros!$G$28/12)</f>
        <v>496962.61863770592</v>
      </c>
      <c r="CL35" s="58">
        <f>+CK35*(1+Parámetros!$G$28/12)</f>
        <v>501103.97379302012</v>
      </c>
      <c r="CM35" s="58">
        <f>+CL35*(1+Parámetros!$G$28/12)</f>
        <v>505279.84024129529</v>
      </c>
      <c r="CN35" s="58">
        <f>+CM35*(1+Parámetros!$G$28/12)</f>
        <v>509490.50557663938</v>
      </c>
      <c r="CO35" s="58">
        <f>+CN35*(1+Parámetros!$G$28/12)</f>
        <v>513736.25978977804</v>
      </c>
      <c r="CP35" s="59">
        <f t="shared" si="88"/>
        <v>5892193.2270644708</v>
      </c>
    </row>
    <row r="36" spans="2:94" outlineLevel="1" x14ac:dyDescent="0.25">
      <c r="B36" s="53" t="s">
        <v>20</v>
      </c>
      <c r="D36" s="58">
        <v>136272</v>
      </c>
      <c r="E36" s="58">
        <f t="shared" ref="E36" si="100">+D36*1.002</f>
        <v>136544.54399999999</v>
      </c>
      <c r="F36" s="58">
        <f t="shared" ref="F36" si="101">+E36*1.002</f>
        <v>136817.633088</v>
      </c>
      <c r="G36" s="58">
        <f t="shared" ref="G36" si="102">+F36*1.002</f>
        <v>137091.26835417599</v>
      </c>
      <c r="H36" s="58">
        <f t="shared" ref="H36" si="103">+G36*1.002</f>
        <v>137365.45089088436</v>
      </c>
      <c r="I36" s="58">
        <f t="shared" ref="I36" si="104">+H36*1.002</f>
        <v>137640.18179266612</v>
      </c>
      <c r="J36" s="58">
        <f t="shared" ref="J36" si="105">+I36*1.002</f>
        <v>137915.46215625145</v>
      </c>
      <c r="K36" s="58">
        <f t="shared" ref="K36" si="106">+J36*1.002</f>
        <v>138191.29308056395</v>
      </c>
      <c r="L36" s="58">
        <f t="shared" ref="L36" si="107">+K36*1.002</f>
        <v>138467.67566672509</v>
      </c>
      <c r="M36" s="58">
        <f t="shared" ref="M36" si="108">+L36*1.002</f>
        <v>138744.61101805855</v>
      </c>
      <c r="N36" s="58">
        <f t="shared" ref="N36" si="109">+M36*1.002</f>
        <v>139022.10024009467</v>
      </c>
      <c r="O36" s="58">
        <f t="shared" ref="O36" si="110">+N36*1.002</f>
        <v>139300.14444057486</v>
      </c>
      <c r="P36" s="59">
        <f t="shared" si="84"/>
        <v>1653372.3647279949</v>
      </c>
      <c r="Q36" s="58">
        <f>+O36*(1+Parámetros!$D$28/12)</f>
        <v>139996.64516277771</v>
      </c>
      <c r="R36" s="58">
        <f>+Q36*(1+Parámetros!$D$28/12)</f>
        <v>140696.62838859158</v>
      </c>
      <c r="S36" s="58">
        <f>+R36*(1+Parámetros!$D$28/12)</f>
        <v>141400.11153053452</v>
      </c>
      <c r="T36" s="58">
        <f>+S36*(1+Parámetros!$D$28/12)</f>
        <v>142107.11208818716</v>
      </c>
      <c r="U36" s="58">
        <f>+T36*(1+Parámetros!$D$28/12)</f>
        <v>142817.64764862807</v>
      </c>
      <c r="V36" s="58">
        <f>+U36*(1+Parámetros!$D$28/12)</f>
        <v>143531.7358868712</v>
      </c>
      <c r="W36" s="58">
        <f>+V36*(1+Parámetros!$D$28/12)</f>
        <v>144249.39456630553</v>
      </c>
      <c r="X36" s="58">
        <f>+W36*(1+Parámetros!$D$28/12)</f>
        <v>144970.64153913705</v>
      </c>
      <c r="Y36" s="58">
        <f>+X36*(1+Parámetros!$D$28/12)</f>
        <v>145695.49474683273</v>
      </c>
      <c r="Z36" s="58">
        <f>+Y36*(1+Parámetros!$D$28/12)</f>
        <v>146423.97222056688</v>
      </c>
      <c r="AA36" s="58">
        <f>+Z36*(1+Parámetros!$D$28/12)</f>
        <v>147156.09208166969</v>
      </c>
      <c r="AB36" s="58">
        <f>+AA36*(1+Parámetros!$D$28/12)</f>
        <v>147891.87254207802</v>
      </c>
      <c r="AC36" s="59">
        <f t="shared" si="85"/>
        <v>1726937.3484021802</v>
      </c>
      <c r="AD36" s="58">
        <f>+AB36*(1+Parámetros!$E$28/12)</f>
        <v>148877.8183590252</v>
      </c>
      <c r="AE36" s="58">
        <f>+AD36*(1+Parámetros!$E$28/12)</f>
        <v>149870.33714808535</v>
      </c>
      <c r="AF36" s="58">
        <f>+AE36*(1+Parámetros!$E$28/12)</f>
        <v>150869.47272907259</v>
      </c>
      <c r="AG36" s="58">
        <f>+AF36*(1+Parámetros!$E$28/12)</f>
        <v>151875.26921393306</v>
      </c>
      <c r="AH36" s="58">
        <f>+AG36*(1+Parámetros!$E$28/12)</f>
        <v>152887.77100869259</v>
      </c>
      <c r="AI36" s="58">
        <f>+AH36*(1+Parámetros!$E$28/12)</f>
        <v>153907.02281541721</v>
      </c>
      <c r="AJ36" s="58">
        <f>+AI36*(1+Parámetros!$E$28/12)</f>
        <v>154933.06963418666</v>
      </c>
      <c r="AK36" s="58">
        <f>+AJ36*(1+Parámetros!$E$28/12)</f>
        <v>155965.95676508121</v>
      </c>
      <c r="AL36" s="58">
        <f>+AK36*(1+Parámetros!$E$28/12)</f>
        <v>157005.72981018174</v>
      </c>
      <c r="AM36" s="58">
        <f>+AL36*(1+Parámetros!$E$28/12)</f>
        <v>158052.43467558295</v>
      </c>
      <c r="AN36" s="58">
        <f>+AM36*(1+Parámetros!$E$28/12)</f>
        <v>159106.11757342017</v>
      </c>
      <c r="AO36" s="58">
        <f>+AN36*(1+Parámetros!$E$28/12)</f>
        <v>160166.82502390962</v>
      </c>
      <c r="AP36" s="59">
        <f t="shared" si="71"/>
        <v>1853517.8247565883</v>
      </c>
      <c r="AQ36" s="58">
        <f>+AO36*(1+Parámetros!$F$28/12)</f>
        <v>161501.54856577553</v>
      </c>
      <c r="AR36" s="58">
        <f>+AQ36*(1+Parámetros!$F$28/12)</f>
        <v>162847.39480382367</v>
      </c>
      <c r="AS36" s="58">
        <f>+AR36*(1+Parámetros!$F$28/12)</f>
        <v>164204.45642718885</v>
      </c>
      <c r="AT36" s="58">
        <f>+AS36*(1+Parámetros!$F$28/12)</f>
        <v>165572.82689741542</v>
      </c>
      <c r="AU36" s="58">
        <f>+AT36*(1+Parámetros!$F$28/12)</f>
        <v>166952.60045489387</v>
      </c>
      <c r="AV36" s="58">
        <f>+AU36*(1+Parámetros!$F$28/12)</f>
        <v>168343.87212535131</v>
      </c>
      <c r="AW36" s="58">
        <f>+AV36*(1+Parámetros!$F$28/12)</f>
        <v>169746.73772639589</v>
      </c>
      <c r="AX36" s="58">
        <f>+AW36*(1+Parámetros!$F$28/12)</f>
        <v>171161.29387411586</v>
      </c>
      <c r="AY36" s="58">
        <f>+AX36*(1+Parámetros!$F$28/12)</f>
        <v>172587.63798973348</v>
      </c>
      <c r="AZ36" s="58">
        <f>+AY36*(1+Parámetros!$F$28/12)</f>
        <v>174025.8683063146</v>
      </c>
      <c r="BA36" s="58">
        <f>+AZ36*(1+Parámetros!$F$28/12)</f>
        <v>175476.08387553389</v>
      </c>
      <c r="BB36" s="58">
        <f>+BA36*(1+Parámetros!$F$28/12)</f>
        <v>176938.38457449668</v>
      </c>
      <c r="BC36" s="59">
        <f t="shared" si="86"/>
        <v>2029358.7056210393</v>
      </c>
      <c r="BD36" s="58">
        <f>+BB36*(1+Parámetros!$G$28/12)</f>
        <v>178412.87111261749</v>
      </c>
      <c r="BE36" s="58">
        <f>+BD36*(1+Parámetros!$G$28/12)</f>
        <v>179899.64503855596</v>
      </c>
      <c r="BF36" s="58">
        <f>+BE36*(1+Parámetros!$G$28/12)</f>
        <v>181398.8087472106</v>
      </c>
      <c r="BG36" s="58">
        <f>+BF36*(1+Parámetros!$G$28/12)</f>
        <v>182910.46548677067</v>
      </c>
      <c r="BH36" s="58">
        <f>+BG36*(1+Parámetros!$G$28/12)</f>
        <v>184434.7193658271</v>
      </c>
      <c r="BI36" s="58">
        <f>+BH36*(1+Parámetros!$G$28/12)</f>
        <v>185971.67536054231</v>
      </c>
      <c r="BJ36" s="58">
        <f>+BI36*(1+Parámetros!$G$28/12)</f>
        <v>187521.43932188017</v>
      </c>
      <c r="BK36" s="58">
        <f>+BJ36*(1+Parámetros!$G$28/12)</f>
        <v>189084.11798289584</v>
      </c>
      <c r="BL36" s="58">
        <f>+BK36*(1+Parámetros!$G$28/12)</f>
        <v>190659.81896608663</v>
      </c>
      <c r="BM36" s="58">
        <f>+BL36*(1+Parámetros!$G$28/12)</f>
        <v>192248.65079080401</v>
      </c>
      <c r="BN36" s="58">
        <f>+BM36*(1+Parámetros!$G$28/12)</f>
        <v>193850.72288072738</v>
      </c>
      <c r="BO36" s="58">
        <f>+BN36*(1+Parámetros!$G$28/12)</f>
        <v>195466.14557140009</v>
      </c>
      <c r="BP36" s="59">
        <f t="shared" si="72"/>
        <v>2241859.0806253185</v>
      </c>
      <c r="BQ36" s="58">
        <f>+BO36*(1+Parámetros!$G$28/12)</f>
        <v>197095.03011782843</v>
      </c>
      <c r="BR36" s="58">
        <f>+BQ36*(1+Parámetros!$G$28/12)</f>
        <v>198737.48870214366</v>
      </c>
      <c r="BS36" s="58">
        <f>+BR36*(1+Parámetros!$G$28/12)</f>
        <v>200393.63444132818</v>
      </c>
      <c r="BT36" s="58">
        <f>+BS36*(1+Parámetros!$G$28/12)</f>
        <v>202063.58139500589</v>
      </c>
      <c r="BU36" s="58">
        <f>+BT36*(1+Parámetros!$G$28/12)</f>
        <v>203747.4445732976</v>
      </c>
      <c r="BV36" s="58">
        <f>+BU36*(1+Parámetros!$G$28/12)</f>
        <v>205445.33994474175</v>
      </c>
      <c r="BW36" s="58">
        <f>+BV36*(1+Parámetros!$G$28/12)</f>
        <v>207157.38444428126</v>
      </c>
      <c r="BX36" s="58">
        <f>+BW36*(1+Parámetros!$G$28/12)</f>
        <v>208883.69598131694</v>
      </c>
      <c r="BY36" s="58">
        <f>+BX36*(1+Parámetros!$G$28/12)</f>
        <v>210624.3934478279</v>
      </c>
      <c r="BZ36" s="58">
        <f>+BY36*(1+Parámetros!$G$28/12)</f>
        <v>212379.5967265598</v>
      </c>
      <c r="CA36" s="58">
        <f>+BZ36*(1+Parámetros!$G$28/12)</f>
        <v>214149.42669928112</v>
      </c>
      <c r="CB36" s="58">
        <f>+CA36*(1+Parámetros!$G$28/12)</f>
        <v>215934.00525510847</v>
      </c>
      <c r="CC36" s="59">
        <f t="shared" si="87"/>
        <v>2476611.0217287205</v>
      </c>
      <c r="CD36" s="58">
        <f>+CB36*(1+Parámetros!$G$28/12)</f>
        <v>217733.45529890104</v>
      </c>
      <c r="CE36" s="58">
        <f>+CD36*(1+Parámetros!$G$28/12)</f>
        <v>219547.90075972522</v>
      </c>
      <c r="CF36" s="58">
        <f>+CE36*(1+Parámetros!$G$28/12)</f>
        <v>221377.46659938959</v>
      </c>
      <c r="CG36" s="58">
        <f>+CF36*(1+Parámetros!$G$28/12)</f>
        <v>223222.27882105115</v>
      </c>
      <c r="CH36" s="58">
        <f>+CG36*(1+Parámetros!$G$28/12)</f>
        <v>225082.46447789323</v>
      </c>
      <c r="CI36" s="58">
        <f>+CH36*(1+Parámetros!$G$28/12)</f>
        <v>226958.15168187566</v>
      </c>
      <c r="CJ36" s="58">
        <f>+CI36*(1+Parámetros!$G$28/12)</f>
        <v>228849.46961255796</v>
      </c>
      <c r="CK36" s="58">
        <f>+CJ36*(1+Parámetros!$G$28/12)</f>
        <v>230756.54852599595</v>
      </c>
      <c r="CL36" s="58">
        <f>+CK36*(1+Parámetros!$G$28/12)</f>
        <v>232679.51976371257</v>
      </c>
      <c r="CM36" s="58">
        <f>+CL36*(1+Parámetros!$G$28/12)</f>
        <v>234618.5157617435</v>
      </c>
      <c r="CN36" s="58">
        <f>+CM36*(1+Parámetros!$G$28/12)</f>
        <v>236573.67005975803</v>
      </c>
      <c r="CO36" s="58">
        <f>+CN36*(1+Parámetros!$G$28/12)</f>
        <v>238545.117310256</v>
      </c>
      <c r="CP36" s="59">
        <f t="shared" si="88"/>
        <v>2735944.5586728603</v>
      </c>
    </row>
    <row r="37" spans="2:94" outlineLevel="1" x14ac:dyDescent="0.25">
      <c r="B37" s="53" t="s">
        <v>24</v>
      </c>
      <c r="D37" s="58">
        <v>75000</v>
      </c>
      <c r="J37" s="58">
        <v>75000</v>
      </c>
      <c r="P37" s="59">
        <f t="shared" si="84"/>
        <v>150000</v>
      </c>
      <c r="Q37" s="58">
        <v>80000</v>
      </c>
      <c r="W37" s="58">
        <v>80000</v>
      </c>
      <c r="AC37" s="59">
        <f t="shared" si="85"/>
        <v>160000</v>
      </c>
      <c r="AD37" s="58">
        <v>85000</v>
      </c>
      <c r="AJ37" s="58">
        <v>85000</v>
      </c>
      <c r="AP37" s="59">
        <f t="shared" si="71"/>
        <v>170000</v>
      </c>
      <c r="AQ37" s="58">
        <v>350000</v>
      </c>
      <c r="AW37" s="58">
        <v>350000</v>
      </c>
      <c r="BC37" s="59">
        <f t="shared" si="86"/>
        <v>700000</v>
      </c>
      <c r="BD37" s="58">
        <v>400000</v>
      </c>
      <c r="BJ37" s="58">
        <v>400000</v>
      </c>
      <c r="BP37" s="59">
        <f t="shared" si="72"/>
        <v>800000</v>
      </c>
      <c r="BQ37" s="58">
        <v>400000</v>
      </c>
      <c r="BW37" s="58">
        <v>400000</v>
      </c>
      <c r="CC37" s="59">
        <f t="shared" si="87"/>
        <v>800000</v>
      </c>
      <c r="CD37" s="58">
        <v>400000</v>
      </c>
      <c r="CJ37" s="58">
        <v>400000</v>
      </c>
      <c r="CP37" s="59">
        <f t="shared" si="88"/>
        <v>800000</v>
      </c>
    </row>
    <row r="38" spans="2:94" outlineLevel="1" x14ac:dyDescent="0.25">
      <c r="B38" s="53" t="s">
        <v>90</v>
      </c>
      <c r="D38" s="58">
        <v>20000</v>
      </c>
      <c r="E38" s="58">
        <v>20000</v>
      </c>
      <c r="F38" s="58">
        <v>20000</v>
      </c>
      <c r="G38" s="58">
        <v>20000</v>
      </c>
      <c r="H38" s="58">
        <v>20000</v>
      </c>
      <c r="I38" s="58">
        <v>20000</v>
      </c>
      <c r="J38" s="58">
        <v>20000</v>
      </c>
      <c r="K38" s="58">
        <v>20000</v>
      </c>
      <c r="L38" s="58">
        <v>20000</v>
      </c>
      <c r="M38" s="58">
        <v>20000</v>
      </c>
      <c r="N38" s="58">
        <v>20000</v>
      </c>
      <c r="O38" s="58">
        <v>20000</v>
      </c>
      <c r="P38" s="59">
        <f t="shared" si="84"/>
        <v>240000</v>
      </c>
      <c r="Q38" s="58">
        <f>+O38*(1+Parámetros!$D$28/12)</f>
        <v>20099.999999999996</v>
      </c>
      <c r="R38" s="58">
        <f>+Q38*(1+Parámetros!$D$28/12)</f>
        <v>20200.499999999993</v>
      </c>
      <c r="S38" s="58">
        <f>+R38*(1+Parámetros!$D$28/12)</f>
        <v>20301.502499999991</v>
      </c>
      <c r="T38" s="58">
        <f>+S38*(1+Parámetros!$D$28/12)</f>
        <v>20403.010012499988</v>
      </c>
      <c r="U38" s="58">
        <f>+T38*(1+Parámetros!$D$28/12)</f>
        <v>20505.025062562487</v>
      </c>
      <c r="V38" s="58">
        <f>+U38*(1+Parámetros!$D$28/12)</f>
        <v>20607.550187875298</v>
      </c>
      <c r="W38" s="58">
        <f>+V38*(1+Parámetros!$D$28/12)</f>
        <v>20710.587938814671</v>
      </c>
      <c r="X38" s="58">
        <f>+W38*(1+Parámetros!$D$28/12)</f>
        <v>20814.140878508744</v>
      </c>
      <c r="Y38" s="58">
        <f>+X38*(1+Parámetros!$D$28/12)</f>
        <v>20918.211582901287</v>
      </c>
      <c r="Z38" s="58">
        <f>+Y38*(1+Parámetros!$D$28/12)</f>
        <v>21022.802640815793</v>
      </c>
      <c r="AA38" s="58">
        <f>+Z38*(1+Parámetros!$D$28/12)</f>
        <v>21127.916654019871</v>
      </c>
      <c r="AB38" s="58">
        <f>+AA38*(1+Parámetros!$D$28/12)</f>
        <v>21233.556237289969</v>
      </c>
      <c r="AC38" s="59">
        <f t="shared" si="85"/>
        <v>247944.80369528808</v>
      </c>
      <c r="AD38" s="58">
        <f>+AB38*(1+Parámetros!$E$28/12)</f>
        <v>21375.113278871901</v>
      </c>
      <c r="AE38" s="58">
        <f>+AD38*(1+Parámetros!$E$28/12)</f>
        <v>21517.61403406438</v>
      </c>
      <c r="AF38" s="58">
        <f>+AE38*(1+Parámetros!$E$28/12)</f>
        <v>21661.064794291473</v>
      </c>
      <c r="AG38" s="58">
        <f>+AF38*(1+Parámetros!$E$28/12)</f>
        <v>21805.471892920083</v>
      </c>
      <c r="AH38" s="58">
        <f>+AG38*(1+Parámetros!$E$28/12)</f>
        <v>21950.841705539548</v>
      </c>
      <c r="AI38" s="58">
        <f>+AH38*(1+Parámetros!$E$28/12)</f>
        <v>22097.180650243143</v>
      </c>
      <c r="AJ38" s="58">
        <f>+AI38*(1+Parámetros!$E$28/12)</f>
        <v>22244.495187911431</v>
      </c>
      <c r="AK38" s="58">
        <f>+AJ38*(1+Parámetros!$E$28/12)</f>
        <v>22392.791822497504</v>
      </c>
      <c r="AL38" s="58">
        <f>+AK38*(1+Parámetros!$E$28/12)</f>
        <v>22542.077101314153</v>
      </c>
      <c r="AM38" s="58">
        <f>+AL38*(1+Parámetros!$E$28/12)</f>
        <v>22692.357615322911</v>
      </c>
      <c r="AN38" s="58">
        <f>+AM38*(1+Parámetros!$E$28/12)</f>
        <v>22843.639999425064</v>
      </c>
      <c r="AO38" s="58">
        <f>+AN38*(1+Parámetros!$E$28/12)</f>
        <v>22995.930932754563</v>
      </c>
      <c r="AP38" s="59">
        <f t="shared" si="71"/>
        <v>266118.57901515614</v>
      </c>
      <c r="AQ38" s="58">
        <f>+AO38*(1+Parámetros!$F$28/12)</f>
        <v>23187.563690527517</v>
      </c>
      <c r="AR38" s="58">
        <f>+AQ38*(1+Parámetros!$F$28/12)</f>
        <v>23380.793387948579</v>
      </c>
      <c r="AS38" s="58">
        <f>+AR38*(1+Parámetros!$F$28/12)</f>
        <v>23575.633332848149</v>
      </c>
      <c r="AT38" s="58">
        <f>+AS38*(1+Parámetros!$F$28/12)</f>
        <v>23772.096943955217</v>
      </c>
      <c r="AU38" s="58">
        <f>+AT38*(1+Parámetros!$F$28/12)</f>
        <v>23970.19775182151</v>
      </c>
      <c r="AV38" s="58">
        <f>+AU38*(1+Parámetros!$F$28/12)</f>
        <v>24169.949399753354</v>
      </c>
      <c r="AW38" s="58">
        <f>+AV38*(1+Parámetros!$F$28/12)</f>
        <v>24371.365644751299</v>
      </c>
      <c r="AX38" s="58">
        <f>+AW38*(1+Parámetros!$F$28/12)</f>
        <v>24574.46035845756</v>
      </c>
      <c r="AY38" s="58">
        <f>+AX38*(1+Parámetros!$F$28/12)</f>
        <v>24779.247528111373</v>
      </c>
      <c r="AZ38" s="58">
        <f>+AY38*(1+Parámetros!$F$28/12)</f>
        <v>24985.741257512302</v>
      </c>
      <c r="BA38" s="58">
        <f>+AZ38*(1+Parámetros!$F$28/12)</f>
        <v>25193.955767991571</v>
      </c>
      <c r="BB38" s="58">
        <f>+BA38*(1+Parámetros!$F$28/12)</f>
        <v>25403.9053993915</v>
      </c>
      <c r="BC38" s="59">
        <f t="shared" si="86"/>
        <v>291364.91046306986</v>
      </c>
      <c r="BD38" s="58">
        <f>+BB38*(1+Parámetros!$G$28/12)</f>
        <v>25615.604611053095</v>
      </c>
      <c r="BE38" s="58">
        <f>+BD38*(1+Parámetros!$G$28/12)</f>
        <v>25829.06798281187</v>
      </c>
      <c r="BF38" s="58">
        <f>+BE38*(1+Parámetros!$G$28/12)</f>
        <v>26044.31021600197</v>
      </c>
      <c r="BG38" s="58">
        <f>+BF38*(1+Parámetros!$G$28/12)</f>
        <v>26261.346134468651</v>
      </c>
      <c r="BH38" s="58">
        <f>+BG38*(1+Parámetros!$G$28/12)</f>
        <v>26480.190685589223</v>
      </c>
      <c r="BI38" s="58">
        <f>+BH38*(1+Parámetros!$G$28/12)</f>
        <v>26700.858941302467</v>
      </c>
      <c r="BJ38" s="58">
        <f>+BI38*(1+Parámetros!$G$28/12)</f>
        <v>26923.366099146653</v>
      </c>
      <c r="BK38" s="58">
        <f>+BJ38*(1+Parámetros!$G$28/12)</f>
        <v>27147.727483306207</v>
      </c>
      <c r="BL38" s="58">
        <f>+BK38*(1+Parámetros!$G$28/12)</f>
        <v>27373.95854566709</v>
      </c>
      <c r="BM38" s="58">
        <f>+BL38*(1+Parámetros!$G$28/12)</f>
        <v>27602.074866880983</v>
      </c>
      <c r="BN38" s="58">
        <f>+BM38*(1+Parámetros!$G$28/12)</f>
        <v>27832.092157438325</v>
      </c>
      <c r="BO38" s="58">
        <f>+BN38*(1+Parámetros!$G$28/12)</f>
        <v>28064.026258750309</v>
      </c>
      <c r="BP38" s="59">
        <f t="shared" si="72"/>
        <v>321874.62398241682</v>
      </c>
      <c r="BQ38" s="58">
        <f>+BO38*(1+Parámetros!$G$28/12)</f>
        <v>28297.893144239893</v>
      </c>
      <c r="BR38" s="58">
        <f>+BQ38*(1+Parámetros!$G$28/12)</f>
        <v>28533.708920441892</v>
      </c>
      <c r="BS38" s="58">
        <f>+BR38*(1+Parámetros!$G$28/12)</f>
        <v>28771.489828112241</v>
      </c>
      <c r="BT38" s="58">
        <f>+BS38*(1+Parámetros!$G$28/12)</f>
        <v>29011.252243346509</v>
      </c>
      <c r="BU38" s="58">
        <f>+BT38*(1+Parámetros!$G$28/12)</f>
        <v>29253.012678707728</v>
      </c>
      <c r="BV38" s="58">
        <f>+BU38*(1+Parámetros!$G$28/12)</f>
        <v>29496.787784363623</v>
      </c>
      <c r="BW38" s="58">
        <f>+BV38*(1+Parámetros!$G$28/12)</f>
        <v>29742.594349233321</v>
      </c>
      <c r="BX38" s="58">
        <f>+BW38*(1+Parámetros!$G$28/12)</f>
        <v>29990.449302143599</v>
      </c>
      <c r="BY38" s="58">
        <f>+BX38*(1+Parámetros!$G$28/12)</f>
        <v>30240.369712994794</v>
      </c>
      <c r="BZ38" s="58">
        <f>+BY38*(1+Parámetros!$G$28/12)</f>
        <v>30492.372793936418</v>
      </c>
      <c r="CA38" s="58">
        <f>+BZ38*(1+Parámetros!$G$28/12)</f>
        <v>30746.475900552556</v>
      </c>
      <c r="CB38" s="58">
        <f>+CA38*(1+Parámetros!$G$28/12)</f>
        <v>31002.696533057158</v>
      </c>
      <c r="CC38" s="59">
        <f t="shared" si="87"/>
        <v>355579.10319112963</v>
      </c>
      <c r="CD38" s="58">
        <f>+CB38*(1+Parámetros!$G$28/12)</f>
        <v>31261.052337499299</v>
      </c>
      <c r="CE38" s="58">
        <f>+CD38*(1+Parámetros!$G$28/12)</f>
        <v>31521.561106978457</v>
      </c>
      <c r="CF38" s="58">
        <f>+CE38*(1+Parámetros!$G$28/12)</f>
        <v>31784.240782869943</v>
      </c>
      <c r="CG38" s="58">
        <f>+CF38*(1+Parámetros!$G$28/12)</f>
        <v>32049.109456060527</v>
      </c>
      <c r="CH38" s="58">
        <f>+CG38*(1+Parámetros!$G$28/12)</f>
        <v>32316.185368194365</v>
      </c>
      <c r="CI38" s="58">
        <f>+CH38*(1+Parámetros!$G$28/12)</f>
        <v>32585.486912929318</v>
      </c>
      <c r="CJ38" s="58">
        <f>+CI38*(1+Parámetros!$G$28/12)</f>
        <v>32857.032637203731</v>
      </c>
      <c r="CK38" s="58">
        <f>+CJ38*(1+Parámetros!$G$28/12)</f>
        <v>33130.841242513758</v>
      </c>
      <c r="CL38" s="58">
        <f>+CK38*(1+Parámetros!$G$28/12)</f>
        <v>33406.931586201368</v>
      </c>
      <c r="CM38" s="58">
        <f>+CL38*(1+Parámetros!$G$28/12)</f>
        <v>33685.322682753045</v>
      </c>
      <c r="CN38" s="58">
        <f>+CM38*(1+Parámetros!$G$28/12)</f>
        <v>33966.033705109323</v>
      </c>
      <c r="CO38" s="58">
        <f>+CN38*(1+Parámetros!$G$28/12)</f>
        <v>34249.083985985235</v>
      </c>
      <c r="CP38" s="59">
        <f t="shared" si="88"/>
        <v>392812.88180429838</v>
      </c>
    </row>
    <row r="39" spans="2:94" outlineLevel="1" x14ac:dyDescent="0.25">
      <c r="B39" s="53" t="s">
        <v>22</v>
      </c>
      <c r="D39" s="58">
        <f>+SUM(D26:D38)*5%</f>
        <v>286220.24</v>
      </c>
      <c r="E39" s="58">
        <f t="shared" ref="E39:O39" si="111">+SUM(E26:E38)*5%</f>
        <v>277670.88047999999</v>
      </c>
      <c r="F39" s="58">
        <f t="shared" si="111"/>
        <v>277871.92224096</v>
      </c>
      <c r="G39" s="58">
        <f t="shared" si="111"/>
        <v>278073.3660854419</v>
      </c>
      <c r="H39" s="58">
        <f t="shared" si="111"/>
        <v>283275.21281761286</v>
      </c>
      <c r="I39" s="58">
        <f t="shared" si="111"/>
        <v>278477.46324324806</v>
      </c>
      <c r="J39" s="58">
        <f t="shared" si="111"/>
        <v>282430.11816973449</v>
      </c>
      <c r="K39" s="58">
        <f t="shared" si="111"/>
        <v>278883.178406074</v>
      </c>
      <c r="L39" s="58">
        <f t="shared" si="111"/>
        <v>279086.64476288616</v>
      </c>
      <c r="M39" s="58">
        <f t="shared" si="111"/>
        <v>284290.51805241196</v>
      </c>
      <c r="N39" s="58">
        <f t="shared" si="111"/>
        <v>279494.79908851674</v>
      </c>
      <c r="O39" s="58">
        <f t="shared" si="111"/>
        <v>279699.48868669377</v>
      </c>
      <c r="P39" s="59">
        <f t="shared" si="84"/>
        <v>3365473.8320335797</v>
      </c>
      <c r="Q39" s="58">
        <f>+O39*(1+Parámetros!$D$28/12)</f>
        <v>281097.98613012722</v>
      </c>
      <c r="R39" s="58">
        <f>+Q39*(1+Parámetros!$D$28/12)</f>
        <v>282503.47606077784</v>
      </c>
      <c r="S39" s="58">
        <f>+R39*(1+Parámetros!$D$28/12)</f>
        <v>283915.99344108172</v>
      </c>
      <c r="T39" s="58">
        <f>+S39*(1+Parámetros!$D$28/12)</f>
        <v>285335.57340828708</v>
      </c>
      <c r="U39" s="58">
        <f>+T39*(1+Parámetros!$D$28/12)</f>
        <v>286762.25127532845</v>
      </c>
      <c r="V39" s="58">
        <f>+U39*(1+Parámetros!$D$28/12)</f>
        <v>288196.06253170507</v>
      </c>
      <c r="W39" s="58">
        <f>+V39*(1+Parámetros!$D$28/12)</f>
        <v>289637.04284436355</v>
      </c>
      <c r="X39" s="58">
        <f>+W39*(1+Parámetros!$D$28/12)</f>
        <v>291085.22805858532</v>
      </c>
      <c r="Y39" s="58">
        <f>+X39*(1+Parámetros!$D$28/12)</f>
        <v>292540.65419887821</v>
      </c>
      <c r="Z39" s="58">
        <f>+Y39*(1+Parámetros!$D$28/12)</f>
        <v>294003.35746987257</v>
      </c>
      <c r="AA39" s="58">
        <f>+Z39*(1+Parámetros!$D$28/12)</f>
        <v>295473.37425722188</v>
      </c>
      <c r="AB39" s="58">
        <f>+AA39*(1+Parámetros!$D$28/12)</f>
        <v>296950.74112850794</v>
      </c>
      <c r="AC39" s="59">
        <f t="shared" si="85"/>
        <v>3467501.7408047365</v>
      </c>
      <c r="AD39" s="58">
        <f>+AB39*(1+Parámetros!$E$28/12)</f>
        <v>298930.41273603129</v>
      </c>
      <c r="AE39" s="58">
        <f>+AD39*(1+Parámetros!$E$28/12)</f>
        <v>300923.2821542715</v>
      </c>
      <c r="AF39" s="58">
        <f>+AE39*(1+Parámetros!$E$28/12)</f>
        <v>302929.43736863328</v>
      </c>
      <c r="AG39" s="58">
        <f>+AF39*(1+Parámetros!$E$28/12)</f>
        <v>304948.96695109084</v>
      </c>
      <c r="AH39" s="58">
        <f>+AG39*(1+Parámetros!$E$28/12)</f>
        <v>306981.96006409812</v>
      </c>
      <c r="AI39" s="58">
        <f>+AH39*(1+Parámetros!$E$28/12)</f>
        <v>309028.50646452542</v>
      </c>
      <c r="AJ39" s="58">
        <f>+AI39*(1+Parámetros!$E$28/12)</f>
        <v>311088.69650762226</v>
      </c>
      <c r="AK39" s="58">
        <f>+AJ39*(1+Parámetros!$E$28/12)</f>
        <v>313162.62115100637</v>
      </c>
      <c r="AL39" s="58">
        <f>+AK39*(1+Parámetros!$E$28/12)</f>
        <v>315250.37195867975</v>
      </c>
      <c r="AM39" s="58">
        <f>+AL39*(1+Parámetros!$E$28/12)</f>
        <v>317352.04110507091</v>
      </c>
      <c r="AN39" s="58">
        <f>+AM39*(1+Parámetros!$E$28/12)</f>
        <v>319467.72137910471</v>
      </c>
      <c r="AO39" s="58">
        <f>+AN39*(1+Parámetros!$E$28/12)</f>
        <v>321597.50618829869</v>
      </c>
      <c r="AP39" s="59">
        <f t="shared" si="71"/>
        <v>3721661.524028433</v>
      </c>
      <c r="AQ39" s="58">
        <f>+AO39*(1+Parámetros!$F$28/12)</f>
        <v>324277.48540653451</v>
      </c>
      <c r="AR39" s="58">
        <f>+AQ39*(1+Parámetros!$F$28/12)</f>
        <v>326979.7977849223</v>
      </c>
      <c r="AS39" s="58">
        <f>+AR39*(1+Parámetros!$F$28/12)</f>
        <v>329704.62943312997</v>
      </c>
      <c r="AT39" s="58">
        <f>+AS39*(1+Parámetros!$F$28/12)</f>
        <v>332452.16801173938</v>
      </c>
      <c r="AU39" s="58">
        <f>+AT39*(1+Parámetros!$F$28/12)</f>
        <v>335222.60274517053</v>
      </c>
      <c r="AV39" s="58">
        <f>+AU39*(1+Parámetros!$F$28/12)</f>
        <v>338016.12443471362</v>
      </c>
      <c r="AW39" s="58">
        <f>+AV39*(1+Parámetros!$F$28/12)</f>
        <v>340832.92547166959</v>
      </c>
      <c r="AX39" s="58">
        <f>+AW39*(1+Parámetros!$F$28/12)</f>
        <v>343673.19985060015</v>
      </c>
      <c r="AY39" s="58">
        <f>+AX39*(1+Parámetros!$F$28/12)</f>
        <v>346537.14318268845</v>
      </c>
      <c r="AZ39" s="58">
        <f>+AY39*(1+Parámetros!$F$28/12)</f>
        <v>349424.95270921086</v>
      </c>
      <c r="BA39" s="58">
        <f>+AZ39*(1+Parámetros!$F$28/12)</f>
        <v>352336.82731512096</v>
      </c>
      <c r="BB39" s="58">
        <f>+BA39*(1+Parámetros!$F$28/12)</f>
        <v>355272.96754274698</v>
      </c>
      <c r="BC39" s="59">
        <f t="shared" si="86"/>
        <v>4074730.8238882474</v>
      </c>
      <c r="BD39" s="58">
        <f>+BB39*(1+Parámetros!$G$28/12)</f>
        <v>358233.57560560317</v>
      </c>
      <c r="BE39" s="58">
        <f>+BD39*(1+Parámetros!$G$28/12)</f>
        <v>361218.85540231649</v>
      </c>
      <c r="BF39" s="58">
        <f>+BE39*(1+Parámetros!$G$28/12)</f>
        <v>364229.0125306691</v>
      </c>
      <c r="BG39" s="58">
        <f>+BF39*(1+Parámetros!$G$28/12)</f>
        <v>367264.25430175802</v>
      </c>
      <c r="BH39" s="58">
        <f>+BG39*(1+Parámetros!$G$28/12)</f>
        <v>370324.78975427267</v>
      </c>
      <c r="BI39" s="58">
        <f>+BH39*(1+Parámetros!$G$28/12)</f>
        <v>373410.82966889162</v>
      </c>
      <c r="BJ39" s="58">
        <f>+BI39*(1+Parámetros!$G$28/12)</f>
        <v>376522.58658279903</v>
      </c>
      <c r="BK39" s="58">
        <f>+BJ39*(1+Parámetros!$G$28/12)</f>
        <v>379660.27480432234</v>
      </c>
      <c r="BL39" s="58">
        <f>+BK39*(1+Parámetros!$G$28/12)</f>
        <v>382824.11042769166</v>
      </c>
      <c r="BM39" s="58">
        <f>+BL39*(1+Parámetros!$G$28/12)</f>
        <v>386014.31134792243</v>
      </c>
      <c r="BN39" s="58">
        <f>+BM39*(1+Parámetros!$G$28/12)</f>
        <v>389231.09727582178</v>
      </c>
      <c r="BO39" s="58">
        <f>+BN39*(1+Parámetros!$G$28/12)</f>
        <v>392474.6897531203</v>
      </c>
      <c r="BP39" s="59">
        <f t="shared" si="72"/>
        <v>4501408.3874551887</v>
      </c>
      <c r="BQ39" s="58">
        <f>+BO39*(1+Parámetros!$G$28/12)</f>
        <v>395745.3121677296</v>
      </c>
      <c r="BR39" s="58">
        <f>+BQ39*(1+Parámetros!$G$28/12)</f>
        <v>399043.18976912735</v>
      </c>
      <c r="BS39" s="58">
        <f>+BR39*(1+Parámetros!$G$28/12)</f>
        <v>402368.54968387005</v>
      </c>
      <c r="BT39" s="58">
        <f>+BS39*(1+Parámetros!$G$28/12)</f>
        <v>405721.62093123561</v>
      </c>
      <c r="BU39" s="58">
        <f>+BT39*(1+Parámetros!$G$28/12)</f>
        <v>409102.63443899591</v>
      </c>
      <c r="BV39" s="58">
        <f>+BU39*(1+Parámetros!$G$28/12)</f>
        <v>412511.82305932086</v>
      </c>
      <c r="BW39" s="58">
        <f>+BV39*(1+Parámetros!$G$28/12)</f>
        <v>415949.42158481519</v>
      </c>
      <c r="BX39" s="58">
        <f>+BW39*(1+Parámetros!$G$28/12)</f>
        <v>419415.66676468862</v>
      </c>
      <c r="BY39" s="58">
        <f>+BX39*(1+Parámetros!$G$28/12)</f>
        <v>422910.79732106102</v>
      </c>
      <c r="BZ39" s="58">
        <f>+BY39*(1+Parámetros!$G$28/12)</f>
        <v>426435.05396540317</v>
      </c>
      <c r="CA39" s="58">
        <f>+BZ39*(1+Parámetros!$G$28/12)</f>
        <v>429988.67941511486</v>
      </c>
      <c r="CB39" s="58">
        <f>+CA39*(1+Parámetros!$G$28/12)</f>
        <v>433571.91841024079</v>
      </c>
      <c r="CC39" s="59">
        <f t="shared" si="87"/>
        <v>4972764.6675116029</v>
      </c>
      <c r="CD39" s="58">
        <f>+CB39*(1+Parámetros!$G$28/12)</f>
        <v>437185.0177303261</v>
      </c>
      <c r="CE39" s="58">
        <f>+CD39*(1+Parámetros!$G$28/12)</f>
        <v>440828.22621141211</v>
      </c>
      <c r="CF39" s="58">
        <f>+CE39*(1+Parámetros!$G$28/12)</f>
        <v>444501.79476317385</v>
      </c>
      <c r="CG39" s="58">
        <f>+CF39*(1+Parámetros!$G$28/12)</f>
        <v>448205.97638620029</v>
      </c>
      <c r="CH39" s="58">
        <f>+CG39*(1+Parámetros!$G$28/12)</f>
        <v>451941.02618941863</v>
      </c>
      <c r="CI39" s="58">
        <f>+CH39*(1+Parámetros!$G$28/12)</f>
        <v>455707.20140766376</v>
      </c>
      <c r="CJ39" s="58">
        <f>+CI39*(1+Parámetros!$G$28/12)</f>
        <v>459504.76141939429</v>
      </c>
      <c r="CK39" s="58">
        <f>+CJ39*(1+Parámetros!$G$28/12)</f>
        <v>463333.96776455588</v>
      </c>
      <c r="CL39" s="58">
        <f>+CK39*(1+Parámetros!$G$28/12)</f>
        <v>467195.08416259382</v>
      </c>
      <c r="CM39" s="58">
        <f>+CL39*(1+Parámetros!$G$28/12)</f>
        <v>471088.37653061544</v>
      </c>
      <c r="CN39" s="58">
        <f>+CM39*(1+Parámetros!$G$28/12)</f>
        <v>475014.11300170387</v>
      </c>
      <c r="CO39" s="58">
        <f>+CN39*(1+Parámetros!$G$28/12)</f>
        <v>478972.56394338474</v>
      </c>
      <c r="CP39" s="59">
        <f t="shared" si="88"/>
        <v>5493478.1095104432</v>
      </c>
    </row>
    <row r="40" spans="2:94" ht="15.6" x14ac:dyDescent="0.3">
      <c r="B40" s="65" t="s">
        <v>8</v>
      </c>
      <c r="C40" s="59"/>
      <c r="D40" s="59">
        <f t="shared" ref="D40:O40" si="112">+SUM(D26:D39)</f>
        <v>6010625.04</v>
      </c>
      <c r="E40" s="59">
        <f t="shared" si="112"/>
        <v>5831088.4900799999</v>
      </c>
      <c r="F40" s="59">
        <f t="shared" si="112"/>
        <v>5835310.3670601603</v>
      </c>
      <c r="G40" s="59">
        <f t="shared" si="112"/>
        <v>5839540.6877942793</v>
      </c>
      <c r="H40" s="59">
        <f t="shared" si="112"/>
        <v>5948779.46916987</v>
      </c>
      <c r="I40" s="59">
        <f t="shared" si="112"/>
        <v>5848026.7281082086</v>
      </c>
      <c r="J40" s="59">
        <f t="shared" si="112"/>
        <v>5931032.481564424</v>
      </c>
      <c r="K40" s="59">
        <f t="shared" si="112"/>
        <v>5856546.7465275535</v>
      </c>
      <c r="L40" s="59">
        <f t="shared" si="112"/>
        <v>5860819.5400206083</v>
      </c>
      <c r="M40" s="59">
        <f t="shared" si="112"/>
        <v>5970100.8791006515</v>
      </c>
      <c r="N40" s="59">
        <f t="shared" si="112"/>
        <v>5869390.780858852</v>
      </c>
      <c r="O40" s="59">
        <f t="shared" si="112"/>
        <v>5873689.2624205686</v>
      </c>
      <c r="P40" s="59">
        <f>+SUM(P26:P39)</f>
        <v>70674950.472705171</v>
      </c>
      <c r="Q40" s="59">
        <f t="shared" ref="Q40:AD40" si="113">+SUM(Q26:Q39)</f>
        <v>7071382.708732672</v>
      </c>
      <c r="R40" s="59">
        <f t="shared" si="113"/>
        <v>7006652.1222763341</v>
      </c>
      <c r="S40" s="59">
        <f t="shared" si="113"/>
        <v>7121997.8828877173</v>
      </c>
      <c r="T40" s="59">
        <f t="shared" si="113"/>
        <v>7037420.3723021541</v>
      </c>
      <c r="U40" s="59">
        <f t="shared" si="113"/>
        <v>7052919.9741636645</v>
      </c>
      <c r="V40" s="59">
        <f t="shared" si="113"/>
        <v>7068497.0740344822</v>
      </c>
      <c r="W40" s="59">
        <f t="shared" si="113"/>
        <v>7264152.0594046554</v>
      </c>
      <c r="X40" s="59">
        <f t="shared" si="113"/>
        <v>7099885.3197016763</v>
      </c>
      <c r="Y40" s="59">
        <f t="shared" si="113"/>
        <v>7115697.2463001851</v>
      </c>
      <c r="Z40" s="59">
        <f t="shared" si="113"/>
        <v>7131588.2325316863</v>
      </c>
      <c r="AA40" s="59">
        <f t="shared" si="113"/>
        <v>7247558.6736943452</v>
      </c>
      <c r="AB40" s="59">
        <f t="shared" si="113"/>
        <v>7163608.9670628151</v>
      </c>
      <c r="AC40" s="59">
        <f t="shared" ref="AC40" si="114">SUM(Q40:AB40)</f>
        <v>85381360.633092389</v>
      </c>
      <c r="AD40" s="59">
        <f t="shared" si="113"/>
        <v>7585116.3601765661</v>
      </c>
      <c r="AE40" s="59">
        <f t="shared" ref="AE40" si="115">+SUM(AE26:AE39)</f>
        <v>7521767.1359110773</v>
      </c>
      <c r="AF40" s="59">
        <f t="shared" ref="AF40" si="116">+SUM(AF26:AF39)</f>
        <v>7543562.250150485</v>
      </c>
      <c r="AG40" s="59">
        <f t="shared" ref="AG40" si="117">+SUM(AG26:AG39)</f>
        <v>7715502.665151488</v>
      </c>
      <c r="AH40" s="59">
        <f t="shared" ref="AH40" si="118">+SUM(AH26:AH39)</f>
        <v>7738589.3495858293</v>
      </c>
      <c r="AI40" s="59">
        <f t="shared" ref="AI40" si="119">+SUM(AI26:AI39)</f>
        <v>7761829.9452497391</v>
      </c>
      <c r="AJ40" s="59">
        <f t="shared" ref="AJ40" si="120">+SUM(AJ26:AJ39)</f>
        <v>7870225.4782180684</v>
      </c>
      <c r="AK40" s="59">
        <f t="shared" ref="AK40" si="121">+SUM(AK26:AK39)</f>
        <v>7808776.9814061876</v>
      </c>
      <c r="AL40" s="59">
        <f t="shared" ref="AL40" si="122">+SUM(AL26:AL39)</f>
        <v>7832485.4946155623</v>
      </c>
      <c r="AM40" s="59">
        <f t="shared" ref="AM40" si="123">+SUM(AM26:AM39)</f>
        <v>7856352.0645796657</v>
      </c>
      <c r="AN40" s="59">
        <f t="shared" ref="AN40" si="124">+SUM(AN26:AN39)</f>
        <v>7880377.7450101962</v>
      </c>
      <c r="AO40" s="59">
        <f t="shared" ref="AO40:AQ40" si="125">+SUM(AO26:AO39)</f>
        <v>7904563.5966435978</v>
      </c>
      <c r="AP40" s="59">
        <f t="shared" si="71"/>
        <v>93019149.066698462</v>
      </c>
      <c r="AQ40" s="59">
        <f t="shared" si="125"/>
        <v>8363747.4599489616</v>
      </c>
      <c r="AR40" s="59">
        <f t="shared" ref="AR40:BB40" si="126">SUM(AR26:AR39)</f>
        <v>7883598.2907416588</v>
      </c>
      <c r="AS40" s="59">
        <f t="shared" si="126"/>
        <v>7913201.1931645051</v>
      </c>
      <c r="AT40" s="59">
        <f t="shared" si="126"/>
        <v>7943050.7864408754</v>
      </c>
      <c r="AU40" s="59">
        <f t="shared" si="126"/>
        <v>7973149.1263278844</v>
      </c>
      <c r="AV40" s="59">
        <f t="shared" si="126"/>
        <v>8003498.2857139483</v>
      </c>
      <c r="AW40" s="59">
        <f t="shared" si="126"/>
        <v>8384100.3547615651</v>
      </c>
      <c r="AX40" s="59">
        <f t="shared" si="126"/>
        <v>8224464.8605952552</v>
      </c>
      <c r="AY40" s="59">
        <f t="shared" si="126"/>
        <v>8096071.6697266707</v>
      </c>
      <c r="AZ40" s="59">
        <f t="shared" si="126"/>
        <v>8127445.1836410593</v>
      </c>
      <c r="BA40" s="59">
        <f t="shared" si="126"/>
        <v>8159080.1435047369</v>
      </c>
      <c r="BB40" s="59">
        <f t="shared" si="126"/>
        <v>8350486.1475779526</v>
      </c>
      <c r="BC40" s="59">
        <f>+SUM(BC26:BC39)</f>
        <v>97421893.502145052</v>
      </c>
      <c r="BD40" s="59">
        <f>SUM(BD26:BD39)</f>
        <v>8783979.7821411006</v>
      </c>
      <c r="BE40" s="59">
        <f>SUM(BE26:BE39)</f>
        <v>8417752.5303256102</v>
      </c>
      <c r="BF40" s="59">
        <f t="shared" ref="BF40:BO40" si="127">SUM(BF26:BF39)</f>
        <v>8451806.7180783246</v>
      </c>
      <c r="BG40" s="59">
        <f t="shared" si="127"/>
        <v>8486144.6907289755</v>
      </c>
      <c r="BH40" s="59">
        <f t="shared" si="127"/>
        <v>8520768.8131517172</v>
      </c>
      <c r="BI40" s="59">
        <f t="shared" si="127"/>
        <v>8555681.4699279834</v>
      </c>
      <c r="BJ40" s="59">
        <f t="shared" si="127"/>
        <v>8990885.0655107163</v>
      </c>
      <c r="BK40" s="59">
        <f t="shared" si="127"/>
        <v>8626382.0243899692</v>
      </c>
      <c r="BL40" s="59">
        <f t="shared" si="127"/>
        <v>8662174.7912598886</v>
      </c>
      <c r="BM40" s="59">
        <f t="shared" si="127"/>
        <v>8698265.8311870527</v>
      </c>
      <c r="BN40" s="59">
        <f t="shared" si="127"/>
        <v>8734657.6297802795</v>
      </c>
      <c r="BO40" s="59">
        <f t="shared" si="127"/>
        <v>8771352.6933617797</v>
      </c>
      <c r="BP40" s="59">
        <f t="shared" si="72"/>
        <v>103699852.03984338</v>
      </c>
      <c r="BQ40" s="59">
        <f>SUM(BQ26:BQ39)</f>
        <v>9208353.5491397958</v>
      </c>
      <c r="BR40" s="59">
        <f>SUM(BR26:BR39)</f>
        <v>8845662.7453826275</v>
      </c>
      <c r="BS40" s="59">
        <f t="shared" ref="BS40:CB40" si="128">SUM(BS26:BS39)</f>
        <v>8883282.8515941501</v>
      </c>
      <c r="BT40" s="59">
        <f t="shared" si="128"/>
        <v>8921216.4586907662</v>
      </c>
      <c r="BU40" s="59">
        <f t="shared" si="128"/>
        <v>8959466.1791798547</v>
      </c>
      <c r="BV40" s="59">
        <f t="shared" si="128"/>
        <v>8998034.6473396886</v>
      </c>
      <c r="BW40" s="59">
        <f t="shared" si="128"/>
        <v>9436924.5194008518</v>
      </c>
      <c r="BX40" s="59">
        <f t="shared" si="128"/>
        <v>9076138.4737291932</v>
      </c>
      <c r="BY40" s="59">
        <f t="shared" si="128"/>
        <v>9115679.211010268</v>
      </c>
      <c r="BZ40" s="59">
        <f t="shared" si="128"/>
        <v>9155549.4544353541</v>
      </c>
      <c r="CA40" s="59">
        <f t="shared" si="128"/>
        <v>9195751.94988898</v>
      </c>
      <c r="CB40" s="59">
        <f t="shared" si="128"/>
        <v>9236289.4661380574</v>
      </c>
      <c r="CC40" s="59">
        <f>+SUM(CC26:CC39)</f>
        <v>109032349.50592956</v>
      </c>
      <c r="CD40" s="59">
        <f>SUM(CD26:CD39)</f>
        <v>9677164.7950225379</v>
      </c>
      <c r="CE40" s="59">
        <f>SUM(CE26:CE39)</f>
        <v>9318380.7516477257</v>
      </c>
      <c r="CF40" s="59">
        <f t="shared" ref="CF40:CO40" si="129">SUM(CF26:CF39)</f>
        <v>9359940.1745781247</v>
      </c>
      <c r="CG40" s="59">
        <f t="shared" si="129"/>
        <v>9401845.9260329418</v>
      </c>
      <c r="CH40" s="59">
        <f t="shared" si="129"/>
        <v>9444100.8920832165</v>
      </c>
      <c r="CI40" s="59">
        <f t="shared" si="129"/>
        <v>9486707.9828505758</v>
      </c>
      <c r="CJ40" s="59">
        <f t="shared" si="129"/>
        <v>9929670.1327076647</v>
      </c>
      <c r="CK40" s="59">
        <f t="shared" si="129"/>
        <v>9572990.3004802279</v>
      </c>
      <c r="CL40" s="59">
        <f t="shared" si="129"/>
        <v>9616671.4696508944</v>
      </c>
      <c r="CM40" s="59">
        <f t="shared" si="129"/>
        <v>9660716.6485646535</v>
      </c>
      <c r="CN40" s="59">
        <f t="shared" si="129"/>
        <v>9705128.8706360254</v>
      </c>
      <c r="CO40" s="59">
        <f t="shared" si="129"/>
        <v>9749911.1945579909</v>
      </c>
      <c r="CP40" s="59">
        <f>+SUM(CP26:CP39)</f>
        <v>114923229.13881259</v>
      </c>
    </row>
    <row r="41" spans="2:94" x14ac:dyDescent="0.25">
      <c r="B41" s="67" t="s">
        <v>887</v>
      </c>
      <c r="P41" s="69">
        <f>+P40/P7</f>
        <v>0.12033588586804532</v>
      </c>
      <c r="R41" s="68"/>
      <c r="S41" s="68"/>
      <c r="T41" s="68"/>
      <c r="U41" s="68"/>
      <c r="V41" s="68"/>
      <c r="AC41" s="69">
        <f>+AC40/AC7</f>
        <v>0.12938412332589411</v>
      </c>
      <c r="AP41" s="69">
        <f>+AP40/AP7</f>
        <v>0.123129086554079</v>
      </c>
      <c r="BC41" s="69">
        <f>+BC40/BC7</f>
        <v>0.10950146132900523</v>
      </c>
      <c r="BP41" s="69">
        <f>+BP40/BP7</f>
        <v>0.1009646470032429</v>
      </c>
      <c r="CC41" s="69">
        <f>+CC40/CC7</f>
        <v>9.1043304977676764E-2</v>
      </c>
      <c r="CP41" s="69">
        <f>+CP40/CP7</f>
        <v>8.2300393943277234E-2</v>
      </c>
    </row>
    <row r="42" spans="2:94" x14ac:dyDescent="0.25">
      <c r="B42" s="71"/>
    </row>
    <row r="43" spans="2:94" ht="15.6" x14ac:dyDescent="0.3">
      <c r="B43" s="72" t="s">
        <v>9</v>
      </c>
      <c r="D43" s="59">
        <f t="shared" ref="D43:O43" si="130">+D7-D23</f>
        <v>15102856.575856727</v>
      </c>
      <c r="E43" s="59">
        <f t="shared" si="130"/>
        <v>5034285.5252855765</v>
      </c>
      <c r="F43" s="59">
        <f t="shared" si="130"/>
        <v>15102856.575856727</v>
      </c>
      <c r="G43" s="59">
        <f t="shared" si="130"/>
        <v>30205713.151713453</v>
      </c>
      <c r="H43" s="59">
        <f t="shared" si="130"/>
        <v>30205713.151713453</v>
      </c>
      <c r="I43" s="59">
        <f t="shared" si="130"/>
        <v>30205713.151713453</v>
      </c>
      <c r="J43" s="59">
        <f t="shared" si="130"/>
        <v>15102856.575856727</v>
      </c>
      <c r="K43" s="59">
        <f t="shared" si="130"/>
        <v>30205713.151713453</v>
      </c>
      <c r="L43" s="59">
        <f t="shared" si="130"/>
        <v>5034285.5252855765</v>
      </c>
      <c r="M43" s="59">
        <f t="shared" si="130"/>
        <v>30205713.151713453</v>
      </c>
      <c r="N43" s="59">
        <f t="shared" si="130"/>
        <v>30205713.151713453</v>
      </c>
      <c r="O43" s="59">
        <f t="shared" si="130"/>
        <v>10068571.050571153</v>
      </c>
      <c r="P43" s="59">
        <f t="shared" ref="P43" si="131">SUM(D43:O43)</f>
        <v>246679990.7389932</v>
      </c>
      <c r="Q43" s="59">
        <f t="shared" ref="Q43:AB43" si="132">+Q7-Q23</f>
        <v>16934217.540932614</v>
      </c>
      <c r="R43" s="59">
        <f t="shared" si="132"/>
        <v>5644739.1803108733</v>
      </c>
      <c r="S43" s="59">
        <f t="shared" si="132"/>
        <v>16934217.540932614</v>
      </c>
      <c r="T43" s="59">
        <f t="shared" si="132"/>
        <v>33868435.081865229</v>
      </c>
      <c r="U43" s="59">
        <f t="shared" si="132"/>
        <v>33868435.081865229</v>
      </c>
      <c r="V43" s="59">
        <f t="shared" si="132"/>
        <v>33868435.081865229</v>
      </c>
      <c r="W43" s="59">
        <f t="shared" si="132"/>
        <v>16934217.540932614</v>
      </c>
      <c r="X43" s="59">
        <f t="shared" si="132"/>
        <v>33868435.081865229</v>
      </c>
      <c r="Y43" s="59">
        <f t="shared" si="132"/>
        <v>5644739.1803108733</v>
      </c>
      <c r="Z43" s="59">
        <f t="shared" si="132"/>
        <v>33868435.081865229</v>
      </c>
      <c r="AA43" s="59">
        <f t="shared" si="132"/>
        <v>33868435.081865229</v>
      </c>
      <c r="AB43" s="59">
        <f t="shared" si="132"/>
        <v>11289478.360621747</v>
      </c>
      <c r="AC43" s="59">
        <f t="shared" ref="AC43" si="133">SUM(Q43:AB43)</f>
        <v>276592219.83523268</v>
      </c>
      <c r="AD43" s="59">
        <f t="shared" ref="AD43:AO43" si="134">+AD7-AD23</f>
        <v>19345821.147964705</v>
      </c>
      <c r="AE43" s="59">
        <f t="shared" si="134"/>
        <v>6448607.0493215695</v>
      </c>
      <c r="AF43" s="59">
        <f t="shared" si="134"/>
        <v>19345821.147964705</v>
      </c>
      <c r="AG43" s="59">
        <f t="shared" si="134"/>
        <v>38691642.29592941</v>
      </c>
      <c r="AH43" s="59">
        <f t="shared" si="134"/>
        <v>38691642.29592941</v>
      </c>
      <c r="AI43" s="59">
        <f t="shared" si="134"/>
        <v>38691642.29592941</v>
      </c>
      <c r="AJ43" s="59">
        <f t="shared" si="134"/>
        <v>19345821.147964705</v>
      </c>
      <c r="AK43" s="59">
        <f t="shared" si="134"/>
        <v>38691642.29592941</v>
      </c>
      <c r="AL43" s="59">
        <f t="shared" si="134"/>
        <v>6448607.0493215695</v>
      </c>
      <c r="AM43" s="59">
        <f t="shared" si="134"/>
        <v>38691642.29592941</v>
      </c>
      <c r="AN43" s="59">
        <f t="shared" si="134"/>
        <v>38691642.29592941</v>
      </c>
      <c r="AO43" s="59">
        <f t="shared" si="134"/>
        <v>12897214.098643139</v>
      </c>
      <c r="AP43" s="59">
        <f t="shared" ref="AP43" si="135">SUM(AD43:AO43)</f>
        <v>315981745.41675681</v>
      </c>
      <c r="AQ43" s="59">
        <f t="shared" ref="AQ43:BB43" si="136">+AQ7-AQ23</f>
        <v>22787739.111038469</v>
      </c>
      <c r="AR43" s="59">
        <f t="shared" si="136"/>
        <v>7595913.0370128229</v>
      </c>
      <c r="AS43" s="59">
        <f t="shared" si="136"/>
        <v>22787739.111038469</v>
      </c>
      <c r="AT43" s="59">
        <f t="shared" si="136"/>
        <v>45575478.222076938</v>
      </c>
      <c r="AU43" s="59">
        <f t="shared" si="136"/>
        <v>45575478.222076938</v>
      </c>
      <c r="AV43" s="59">
        <f t="shared" si="136"/>
        <v>45575478.222076938</v>
      </c>
      <c r="AW43" s="59">
        <f t="shared" si="136"/>
        <v>22787739.111038469</v>
      </c>
      <c r="AX43" s="59">
        <f t="shared" si="136"/>
        <v>45575478.222076938</v>
      </c>
      <c r="AY43" s="59">
        <f t="shared" si="136"/>
        <v>7595913.0370128229</v>
      </c>
      <c r="AZ43" s="59">
        <f t="shared" si="136"/>
        <v>45575478.222076938</v>
      </c>
      <c r="BA43" s="59">
        <f t="shared" si="136"/>
        <v>45575478.222076938</v>
      </c>
      <c r="BB43" s="59">
        <f t="shared" si="136"/>
        <v>15191826.074025646</v>
      </c>
      <c r="BC43" s="59">
        <f t="shared" ref="BC43" si="137">SUM(AQ43:BB43)</f>
        <v>372199738.81362832</v>
      </c>
      <c r="BD43" s="59">
        <f t="shared" ref="BD43:BO43" si="138">+BD7-BD23</f>
        <v>26301727.216642305</v>
      </c>
      <c r="BE43" s="59">
        <f t="shared" si="138"/>
        <v>8767242.4055474382</v>
      </c>
      <c r="BF43" s="59">
        <f t="shared" si="138"/>
        <v>26301727.216642305</v>
      </c>
      <c r="BG43" s="59">
        <f t="shared" si="138"/>
        <v>52603454.433284611</v>
      </c>
      <c r="BH43" s="59">
        <f t="shared" si="138"/>
        <v>52603454.433284611</v>
      </c>
      <c r="BI43" s="59">
        <f t="shared" si="138"/>
        <v>52603454.433284611</v>
      </c>
      <c r="BJ43" s="59">
        <f t="shared" si="138"/>
        <v>26301727.216642305</v>
      </c>
      <c r="BK43" s="59">
        <f t="shared" si="138"/>
        <v>52603454.433284611</v>
      </c>
      <c r="BL43" s="59">
        <f t="shared" si="138"/>
        <v>8767242.4055474382</v>
      </c>
      <c r="BM43" s="59">
        <f t="shared" si="138"/>
        <v>52603454.433284611</v>
      </c>
      <c r="BN43" s="59">
        <f t="shared" si="138"/>
        <v>52603454.433284611</v>
      </c>
      <c r="BO43" s="59">
        <f t="shared" si="138"/>
        <v>17534484.811094876</v>
      </c>
      <c r="BP43" s="59">
        <f t="shared" ref="BP43" si="139">SUM(BD43:BO43)</f>
        <v>429594877.87182438</v>
      </c>
      <c r="BQ43" s="59">
        <f t="shared" ref="BQ43:CB43" si="140">+BQ7-BQ23</f>
        <v>30667813.93460492</v>
      </c>
      <c r="BR43" s="59">
        <f t="shared" si="140"/>
        <v>10222604.644868311</v>
      </c>
      <c r="BS43" s="59">
        <f t="shared" si="140"/>
        <v>30667813.93460492</v>
      </c>
      <c r="BT43" s="59">
        <f t="shared" si="140"/>
        <v>61335627.869209841</v>
      </c>
      <c r="BU43" s="59">
        <f t="shared" si="140"/>
        <v>61335627.869209841</v>
      </c>
      <c r="BV43" s="59">
        <f t="shared" si="140"/>
        <v>61335627.869209841</v>
      </c>
      <c r="BW43" s="59">
        <f t="shared" si="140"/>
        <v>30667813.93460492</v>
      </c>
      <c r="BX43" s="59">
        <f t="shared" si="140"/>
        <v>61335627.869209841</v>
      </c>
      <c r="BY43" s="59">
        <f t="shared" si="140"/>
        <v>10222604.644868311</v>
      </c>
      <c r="BZ43" s="59">
        <f t="shared" si="140"/>
        <v>61335627.869209841</v>
      </c>
      <c r="CA43" s="59">
        <f t="shared" si="140"/>
        <v>61335627.869209841</v>
      </c>
      <c r="CB43" s="59">
        <f t="shared" si="140"/>
        <v>20445209.289736621</v>
      </c>
      <c r="CC43" s="59">
        <f t="shared" ref="CC43" si="141">SUM(BQ43:CB43)</f>
        <v>500907627.59854704</v>
      </c>
      <c r="CD43" s="59">
        <f t="shared" ref="CD43:CO43" si="142">+CD7-CD23</f>
        <v>35758671.047749363</v>
      </c>
      <c r="CE43" s="59">
        <f t="shared" si="142"/>
        <v>11919557.015916457</v>
      </c>
      <c r="CF43" s="59">
        <f t="shared" si="142"/>
        <v>35758671.047749363</v>
      </c>
      <c r="CG43" s="59">
        <f t="shared" si="142"/>
        <v>71517342.095498726</v>
      </c>
      <c r="CH43" s="59">
        <f t="shared" si="142"/>
        <v>71517342.095498726</v>
      </c>
      <c r="CI43" s="59">
        <f t="shared" si="142"/>
        <v>71517342.095498726</v>
      </c>
      <c r="CJ43" s="59">
        <f t="shared" si="142"/>
        <v>35758671.047749363</v>
      </c>
      <c r="CK43" s="59">
        <f t="shared" si="142"/>
        <v>71517342.095498726</v>
      </c>
      <c r="CL43" s="59">
        <f t="shared" si="142"/>
        <v>11919557.015916457</v>
      </c>
      <c r="CM43" s="59">
        <f t="shared" si="142"/>
        <v>71517342.095498726</v>
      </c>
      <c r="CN43" s="59">
        <f t="shared" si="142"/>
        <v>71517342.095498726</v>
      </c>
      <c r="CO43" s="59">
        <f t="shared" si="142"/>
        <v>23839114.031832915</v>
      </c>
      <c r="CP43" s="59">
        <f t="shared" ref="CP43" si="143">SUM(CD43:CO43)</f>
        <v>584058293.77990627</v>
      </c>
    </row>
    <row r="44" spans="2:94" x14ac:dyDescent="0.25">
      <c r="B44" s="73" t="s">
        <v>888</v>
      </c>
      <c r="P44" s="69">
        <f>+P43/P7</f>
        <v>0.42001380988533082</v>
      </c>
      <c r="AC44" s="69">
        <f>+AC43/AC7</f>
        <v>0.41913880988533059</v>
      </c>
      <c r="AP44" s="69">
        <f>+AP43/AP7</f>
        <v>0.41826380988533074</v>
      </c>
      <c r="BC44" s="69">
        <f>+BC43/BC7</f>
        <v>0.41834965264218549</v>
      </c>
      <c r="BP44" s="69">
        <f>+BP43/BP7</f>
        <v>0.41826380988533085</v>
      </c>
      <c r="CC44" s="69">
        <f>+CC43/CC7</f>
        <v>0.41826380988533074</v>
      </c>
      <c r="CP44" s="69">
        <f>+CP43/CP7</f>
        <v>0.41826380988533091</v>
      </c>
    </row>
    <row r="45" spans="2:94" x14ac:dyDescent="0.25">
      <c r="B45" s="59"/>
      <c r="P45" s="69"/>
      <c r="AC45" s="69"/>
      <c r="AP45" s="69"/>
      <c r="BC45" s="69"/>
      <c r="BP45" s="69"/>
      <c r="CC45" s="69"/>
      <c r="CP45" s="69"/>
    </row>
    <row r="46" spans="2:94" ht="15.6" x14ac:dyDescent="0.3">
      <c r="B46" s="72" t="s">
        <v>3</v>
      </c>
      <c r="D46" s="58">
        <f t="shared" ref="D46:O46" si="144">+D7-D23-D40</f>
        <v>9092231.5358567275</v>
      </c>
      <c r="E46" s="58">
        <f t="shared" si="144"/>
        <v>-796802.96479442343</v>
      </c>
      <c r="F46" s="58">
        <f t="shared" si="144"/>
        <v>9267546.2087965664</v>
      </c>
      <c r="G46" s="58">
        <f t="shared" si="144"/>
        <v>24366172.463919174</v>
      </c>
      <c r="H46" s="58">
        <f t="shared" si="144"/>
        <v>24256933.682543583</v>
      </c>
      <c r="I46" s="58">
        <f t="shared" si="144"/>
        <v>24357686.423605245</v>
      </c>
      <c r="J46" s="58">
        <f t="shared" si="144"/>
        <v>9171824.0942923017</v>
      </c>
      <c r="K46" s="58">
        <f t="shared" si="144"/>
        <v>24349166.405185901</v>
      </c>
      <c r="L46" s="58">
        <f t="shared" si="144"/>
        <v>-826534.01473503187</v>
      </c>
      <c r="M46" s="58">
        <f t="shared" si="144"/>
        <v>24235612.272612803</v>
      </c>
      <c r="N46" s="58">
        <f t="shared" si="144"/>
        <v>24336322.370854601</v>
      </c>
      <c r="O46" s="58">
        <f t="shared" si="144"/>
        <v>4194881.7881505843</v>
      </c>
      <c r="P46" s="59">
        <f t="shared" ref="P46" si="145">SUM(D46:O46)</f>
        <v>176005040.26628801</v>
      </c>
      <c r="Q46" s="58">
        <f t="shared" ref="Q46:AB46" si="146">+Q7-Q23-Q40</f>
        <v>9862834.8321999423</v>
      </c>
      <c r="R46" s="58">
        <f t="shared" si="146"/>
        <v>-1361912.9419654608</v>
      </c>
      <c r="S46" s="58">
        <f t="shared" si="146"/>
        <v>9812219.658044897</v>
      </c>
      <c r="T46" s="58">
        <f t="shared" si="146"/>
        <v>26831014.709563076</v>
      </c>
      <c r="U46" s="58">
        <f t="shared" si="146"/>
        <v>26815515.107701562</v>
      </c>
      <c r="V46" s="58">
        <f t="shared" si="146"/>
        <v>26799938.007830746</v>
      </c>
      <c r="W46" s="58">
        <f t="shared" si="146"/>
        <v>9670065.4815279581</v>
      </c>
      <c r="X46" s="58">
        <f t="shared" si="146"/>
        <v>26768549.762163553</v>
      </c>
      <c r="Y46" s="58">
        <f t="shared" si="146"/>
        <v>-1470958.0659893118</v>
      </c>
      <c r="Z46" s="58">
        <f t="shared" si="146"/>
        <v>26736846.849333543</v>
      </c>
      <c r="AA46" s="58">
        <f t="shared" si="146"/>
        <v>26620876.408170883</v>
      </c>
      <c r="AB46" s="58">
        <f t="shared" si="146"/>
        <v>4125869.3935589315</v>
      </c>
      <c r="AC46" s="59">
        <f t="shared" ref="AC46" si="147">SUM(Q46:AB46)</f>
        <v>191210859.2021403</v>
      </c>
      <c r="AD46" s="58">
        <f t="shared" ref="AD46:AO46" si="148">+AD7-AD23-AD40</f>
        <v>11760704.787788138</v>
      </c>
      <c r="AE46" s="58">
        <f t="shared" si="148"/>
        <v>-1073160.0865895078</v>
      </c>
      <c r="AF46" s="58">
        <f t="shared" si="148"/>
        <v>11802258.89781422</v>
      </c>
      <c r="AG46" s="58">
        <f t="shared" si="148"/>
        <v>30976139.630777922</v>
      </c>
      <c r="AH46" s="58">
        <f t="shared" si="148"/>
        <v>30953052.946343578</v>
      </c>
      <c r="AI46" s="58">
        <f t="shared" si="148"/>
        <v>30929812.35067967</v>
      </c>
      <c r="AJ46" s="58">
        <f t="shared" si="148"/>
        <v>11475595.669746637</v>
      </c>
      <c r="AK46" s="58">
        <f t="shared" si="148"/>
        <v>30882865.31452322</v>
      </c>
      <c r="AL46" s="58">
        <f t="shared" si="148"/>
        <v>-1383878.4452939928</v>
      </c>
      <c r="AM46" s="58">
        <f t="shared" si="148"/>
        <v>30835290.231349744</v>
      </c>
      <c r="AN46" s="58">
        <f t="shared" si="148"/>
        <v>30811264.550919212</v>
      </c>
      <c r="AO46" s="58">
        <f t="shared" si="148"/>
        <v>4992650.5019995412</v>
      </c>
      <c r="AP46" s="59">
        <f t="shared" ref="AP46" si="149">SUM(AD46:AO46)</f>
        <v>222962596.35005835</v>
      </c>
      <c r="AQ46" s="59">
        <f t="shared" ref="AQ46:BB46" si="150">+AQ7-AQ23-AQ40</f>
        <v>14423991.651089508</v>
      </c>
      <c r="AR46" s="59">
        <f t="shared" si="150"/>
        <v>-287685.25372883584</v>
      </c>
      <c r="AS46" s="59">
        <f t="shared" si="150"/>
        <v>14874537.917873964</v>
      </c>
      <c r="AT46" s="59">
        <f t="shared" si="150"/>
        <v>37632427.435636058</v>
      </c>
      <c r="AU46" s="59">
        <f t="shared" si="150"/>
        <v>37602329.09574905</v>
      </c>
      <c r="AV46" s="59">
        <f t="shared" si="150"/>
        <v>37571979.936362989</v>
      </c>
      <c r="AW46" s="59">
        <f t="shared" si="150"/>
        <v>14403638.756276904</v>
      </c>
      <c r="AX46" s="59">
        <f t="shared" si="150"/>
        <v>37351013.361481681</v>
      </c>
      <c r="AY46" s="59">
        <f t="shared" si="150"/>
        <v>-500158.63271384779</v>
      </c>
      <c r="AZ46" s="59">
        <f t="shared" si="150"/>
        <v>37448033.038435876</v>
      </c>
      <c r="BA46" s="59">
        <f t="shared" si="150"/>
        <v>37416398.078572199</v>
      </c>
      <c r="BB46" s="59">
        <f t="shared" si="150"/>
        <v>6841339.9264476933</v>
      </c>
      <c r="BC46" s="59">
        <f t="shared" ref="BC46" si="151">SUM(AQ46:BB46)</f>
        <v>274777845.31148326</v>
      </c>
      <c r="BD46" s="59">
        <f t="shared" ref="BD46:BO46" si="152">+BD7-BD23-BD40</f>
        <v>17517747.434501205</v>
      </c>
      <c r="BE46" s="59">
        <f t="shared" si="152"/>
        <v>349489.875221828</v>
      </c>
      <c r="BF46" s="59">
        <f t="shared" si="152"/>
        <v>17849920.498563983</v>
      </c>
      <c r="BG46" s="59">
        <f t="shared" si="152"/>
        <v>44117309.742555633</v>
      </c>
      <c r="BH46" s="59">
        <f t="shared" si="152"/>
        <v>44082685.620132893</v>
      </c>
      <c r="BI46" s="59">
        <f t="shared" si="152"/>
        <v>44047772.963356629</v>
      </c>
      <c r="BJ46" s="59">
        <f t="shared" si="152"/>
        <v>17310842.151131589</v>
      </c>
      <c r="BK46" s="59">
        <f t="shared" si="152"/>
        <v>43977072.408894643</v>
      </c>
      <c r="BL46" s="59">
        <f t="shared" si="152"/>
        <v>105067.61428754963</v>
      </c>
      <c r="BM46" s="59">
        <f t="shared" si="152"/>
        <v>43905188.602097556</v>
      </c>
      <c r="BN46" s="59">
        <f t="shared" si="152"/>
        <v>43868796.803504333</v>
      </c>
      <c r="BO46" s="59">
        <f t="shared" si="152"/>
        <v>8763132.1177330967</v>
      </c>
      <c r="BP46" s="59">
        <f t="shared" ref="BP46" si="153">SUM(BD46:BO46)</f>
        <v>325895025.831981</v>
      </c>
      <c r="BQ46" s="59">
        <f t="shared" ref="BQ46:CB46" si="154">+BQ7-BQ23-BQ40</f>
        <v>21459460.385465123</v>
      </c>
      <c r="BR46" s="59">
        <f t="shared" si="154"/>
        <v>1376941.8994856831</v>
      </c>
      <c r="BS46" s="59">
        <f t="shared" si="154"/>
        <v>21784531.08301077</v>
      </c>
      <c r="BT46" s="59">
        <f t="shared" si="154"/>
        <v>52414411.410519078</v>
      </c>
      <c r="BU46" s="59">
        <f t="shared" si="154"/>
        <v>52376161.690029986</v>
      </c>
      <c r="BV46" s="59">
        <f t="shared" si="154"/>
        <v>52337593.221870154</v>
      </c>
      <c r="BW46" s="59">
        <f t="shared" si="154"/>
        <v>21230889.415204071</v>
      </c>
      <c r="BX46" s="59">
        <f t="shared" si="154"/>
        <v>52259489.395480648</v>
      </c>
      <c r="BY46" s="59">
        <f t="shared" si="154"/>
        <v>1106925.4338580426</v>
      </c>
      <c r="BZ46" s="59">
        <f t="shared" si="154"/>
        <v>52180078.414774485</v>
      </c>
      <c r="CA46" s="59">
        <f t="shared" si="154"/>
        <v>52139875.919320859</v>
      </c>
      <c r="CB46" s="59">
        <f t="shared" si="154"/>
        <v>11208919.823598564</v>
      </c>
      <c r="CC46" s="59">
        <f t="shared" ref="CC46" si="155">SUM(BQ46:CB46)</f>
        <v>391875278.09261745</v>
      </c>
      <c r="CD46" s="59">
        <f t="shared" ref="CD46:CO46" si="156">+CD7-CD23-CD40</f>
        <v>26081506.252726823</v>
      </c>
      <c r="CE46" s="59">
        <f t="shared" si="156"/>
        <v>2601176.2642687317</v>
      </c>
      <c r="CF46" s="59">
        <f t="shared" si="156"/>
        <v>26398730.87317124</v>
      </c>
      <c r="CG46" s="59">
        <f t="shared" si="156"/>
        <v>62115496.16946578</v>
      </c>
      <c r="CH46" s="59">
        <f t="shared" si="156"/>
        <v>62073241.203415513</v>
      </c>
      <c r="CI46" s="59">
        <f t="shared" si="156"/>
        <v>62030634.112648152</v>
      </c>
      <c r="CJ46" s="59">
        <f t="shared" si="156"/>
        <v>25829000.9150417</v>
      </c>
      <c r="CK46" s="59">
        <f t="shared" si="156"/>
        <v>61944351.795018494</v>
      </c>
      <c r="CL46" s="59">
        <f t="shared" si="156"/>
        <v>2302885.546265563</v>
      </c>
      <c r="CM46" s="59">
        <f t="shared" si="156"/>
        <v>61856625.446934074</v>
      </c>
      <c r="CN46" s="59">
        <f t="shared" si="156"/>
        <v>61812213.224862702</v>
      </c>
      <c r="CO46" s="59">
        <f t="shared" si="156"/>
        <v>14089202.837274924</v>
      </c>
      <c r="CP46" s="59">
        <f t="shared" ref="CP46" si="157">SUM(CD46:CO46)</f>
        <v>469135064.64109361</v>
      </c>
    </row>
    <row r="47" spans="2:94" x14ac:dyDescent="0.25">
      <c r="B47" s="73" t="s">
        <v>889</v>
      </c>
      <c r="P47" s="69">
        <f>+P46/P7</f>
        <v>0.29967792401728549</v>
      </c>
      <c r="AC47" s="69">
        <f>+AC46/AC7</f>
        <v>0.28975468655943648</v>
      </c>
      <c r="AP47" s="69">
        <f>+AP46/AP7</f>
        <v>0.29513472333125174</v>
      </c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69">
        <f>+BC46/BC7</f>
        <v>0.30884819131318025</v>
      </c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69">
        <f>+BP46/BP7</f>
        <v>0.31729916288208798</v>
      </c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69">
        <f>+CC46/CC7</f>
        <v>0.32722050490765398</v>
      </c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69">
        <f>+CP46/CP7</f>
        <v>0.33596341594205364</v>
      </c>
    </row>
    <row r="48" spans="2:94" ht="15.6" x14ac:dyDescent="0.3">
      <c r="B48" s="72"/>
    </row>
    <row r="49" spans="2:103" x14ac:dyDescent="0.25">
      <c r="B49" s="74" t="s">
        <v>10</v>
      </c>
      <c r="D49" s="66">
        <v>646940.8547418426</v>
      </c>
      <c r="E49" s="66">
        <v>636357.46691658883</v>
      </c>
      <c r="F49" s="66">
        <v>625699.39747409173</v>
      </c>
      <c r="G49" s="66">
        <v>614966.11942393519</v>
      </c>
      <c r="H49" s="66">
        <v>604157.10205699829</v>
      </c>
      <c r="I49" s="66">
        <v>593271.81091921392</v>
      </c>
      <c r="J49" s="66">
        <v>582309.70778514282</v>
      </c>
      <c r="K49" s="66">
        <v>571270.25063136104</v>
      </c>
      <c r="L49" s="66">
        <v>560152.89360965951</v>
      </c>
      <c r="M49" s="66">
        <v>548957.08702005388</v>
      </c>
      <c r="N49" s="66">
        <v>537682.2772836053</v>
      </c>
      <c r="O49" s="66">
        <v>526327.90691504825</v>
      </c>
      <c r="P49" s="59">
        <v>20301389.346963078</v>
      </c>
      <c r="Q49" s="66">
        <v>514893.41449522506</v>
      </c>
      <c r="R49" s="66">
        <v>503378.23464332742</v>
      </c>
      <c r="S49" s="58">
        <v>491781.7979889402</v>
      </c>
      <c r="T49" s="58">
        <v>480103.53114388924</v>
      </c>
      <c r="U49" s="58">
        <v>468342.85667388991</v>
      </c>
      <c r="V49" s="58">
        <v>456499.19306999573</v>
      </c>
      <c r="W49" s="58">
        <v>444571.95471984555</v>
      </c>
      <c r="X49" s="58">
        <v>432560.55187870795</v>
      </c>
      <c r="Y49" s="58">
        <v>420464.39064032107</v>
      </c>
      <c r="Z49" s="58">
        <v>408282.87290752667</v>
      </c>
      <c r="AA49" s="58">
        <v>396015.39636269753</v>
      </c>
      <c r="AB49" s="58">
        <v>383661.35443795519</v>
      </c>
      <c r="AC49" s="59">
        <v>17119631.198922165</v>
      </c>
      <c r="AD49" s="58">
        <v>371220.13628517842</v>
      </c>
      <c r="AE49" s="58">
        <v>358691.12674579967</v>
      </c>
      <c r="AF49" s="58">
        <v>346073.70632038836</v>
      </c>
      <c r="AG49" s="58">
        <v>333367.25113801955</v>
      </c>
      <c r="AH49" s="58">
        <v>320571.13292542676</v>
      </c>
      <c r="AI49" s="58">
        <v>307684.71897593653</v>
      </c>
      <c r="AJ49" s="58">
        <v>294707.3721181844</v>
      </c>
      <c r="AK49" s="58">
        <v>281638.45068460965</v>
      </c>
      <c r="AL49" s="58">
        <v>268477.308479728</v>
      </c>
      <c r="AM49" s="58">
        <v>255223.29474818043</v>
      </c>
      <c r="AN49" s="58">
        <v>241875.75414255625</v>
      </c>
      <c r="AO49" s="58">
        <v>228434.02669098944</v>
      </c>
      <c r="AP49" s="59">
        <v>13315463.339928651</v>
      </c>
      <c r="AQ49" s="58">
        <v>214897.44776452624</v>
      </c>
      <c r="AR49" s="58">
        <v>201265.34804426227</v>
      </c>
      <c r="AS49" s="58">
        <v>187537.05348824812</v>
      </c>
      <c r="AT49" s="58">
        <v>173711.88529816107</v>
      </c>
      <c r="AU49" s="58">
        <v>159789.15988574186</v>
      </c>
      <c r="AV49" s="58">
        <v>145768.18883899445</v>
      </c>
      <c r="AW49" s="58">
        <v>131648.27888814738</v>
      </c>
      <c r="AX49" s="58">
        <v>117428.73187137497</v>
      </c>
      <c r="AY49" s="58">
        <v>103108.84470027642</v>
      </c>
      <c r="AZ49" s="58">
        <v>88687.909325111599</v>
      </c>
      <c r="BA49" s="58">
        <v>74165.2126997913</v>
      </c>
      <c r="BB49" s="58">
        <v>59540.036746620601</v>
      </c>
      <c r="BC49" s="59">
        <v>8767131.1204260774</v>
      </c>
      <c r="BD49" s="58">
        <v>59540.036746620601</v>
      </c>
      <c r="BE49" s="58">
        <v>59540.036746620601</v>
      </c>
      <c r="BF49" s="58">
        <v>59540.036746620601</v>
      </c>
      <c r="BG49" s="58">
        <v>59540.036746620601</v>
      </c>
      <c r="BH49" s="58">
        <v>59540.036746620601</v>
      </c>
      <c r="BI49" s="58">
        <v>59540.036746620601</v>
      </c>
      <c r="BJ49" s="58">
        <v>59540.036746620601</v>
      </c>
      <c r="BK49" s="58">
        <v>59540.036746620601</v>
      </c>
      <c r="BL49" s="58">
        <v>59540.036746620601</v>
      </c>
      <c r="BM49" s="58">
        <v>59540.036746620601</v>
      </c>
      <c r="BN49" s="58">
        <v>59540.036746620601</v>
      </c>
      <c r="BO49" s="58">
        <v>59540.036746620601</v>
      </c>
      <c r="BP49" s="59">
        <v>3329062.4689448248</v>
      </c>
      <c r="BQ49" s="58">
        <v>59540.036746620601</v>
      </c>
      <c r="BR49" s="58">
        <v>59540.036746620601</v>
      </c>
      <c r="BS49" s="58">
        <v>59540.036746620601</v>
      </c>
      <c r="BT49" s="58">
        <v>59540.036746620601</v>
      </c>
      <c r="BU49" s="58">
        <v>59540.036746620601</v>
      </c>
      <c r="BV49" s="58">
        <v>59540.036746620601</v>
      </c>
      <c r="BW49" s="58">
        <v>59540.036746620601</v>
      </c>
      <c r="BX49" s="58">
        <v>59540.036746620601</v>
      </c>
      <c r="BY49" s="58">
        <v>59540.036746620601</v>
      </c>
      <c r="BZ49" s="58">
        <v>59540.036746620601</v>
      </c>
      <c r="CA49" s="58">
        <v>59540.036746620601</v>
      </c>
      <c r="CB49" s="58">
        <v>59540.036746620601</v>
      </c>
      <c r="CC49" s="59">
        <v>0</v>
      </c>
      <c r="CD49" s="58">
        <v>59540.036746620601</v>
      </c>
      <c r="CE49" s="58">
        <v>59540.036746620601</v>
      </c>
      <c r="CF49" s="58">
        <v>59540.036746620601</v>
      </c>
      <c r="CG49" s="58">
        <v>59540.036746620601</v>
      </c>
      <c r="CH49" s="58">
        <v>59540.036746620601</v>
      </c>
      <c r="CI49" s="58">
        <v>59540.036746620601</v>
      </c>
      <c r="CJ49" s="58">
        <v>59540.036746620601</v>
      </c>
      <c r="CK49" s="58">
        <v>59540.036746620601</v>
      </c>
      <c r="CL49" s="58">
        <v>59540.036746620601</v>
      </c>
      <c r="CM49" s="58">
        <v>59540.036746620601</v>
      </c>
      <c r="CN49" s="58">
        <v>59540.036746620601</v>
      </c>
      <c r="CO49" s="58">
        <v>59540.036746620601</v>
      </c>
      <c r="CP49" s="59">
        <v>0</v>
      </c>
    </row>
    <row r="50" spans="2:103" x14ac:dyDescent="0.25">
      <c r="B50" s="74"/>
    </row>
    <row r="51" spans="2:103" x14ac:dyDescent="0.25">
      <c r="B51" s="74" t="s">
        <v>938</v>
      </c>
      <c r="D51" s="58">
        <f>+(((C82+C83+C85)+(C81*50%))/100)/12</f>
        <v>0</v>
      </c>
      <c r="E51" s="58">
        <v>56165.709166666667</v>
      </c>
      <c r="F51" s="58">
        <v>56165.709166666667</v>
      </c>
      <c r="G51" s="58">
        <v>56165.709166666667</v>
      </c>
      <c r="H51" s="58">
        <v>56165.709166666667</v>
      </c>
      <c r="I51" s="58">
        <v>56165.709166666667</v>
      </c>
      <c r="J51" s="58">
        <v>56165.709166666667</v>
      </c>
      <c r="K51" s="58">
        <v>56165.709166666667</v>
      </c>
      <c r="L51" s="58">
        <v>56165.709166666667</v>
      </c>
      <c r="M51" s="58">
        <v>56165.709166666667</v>
      </c>
      <c r="N51" s="58">
        <v>56165.709166666667</v>
      </c>
      <c r="O51" s="58">
        <v>56165.709166666667</v>
      </c>
      <c r="P51" s="59">
        <f t="shared" ref="P51:P55" si="158">SUM(D51:O51)</f>
        <v>617822.80083333328</v>
      </c>
      <c r="Q51" s="58">
        <v>56165.709166666667</v>
      </c>
      <c r="R51" s="58">
        <v>56165.709166666667</v>
      </c>
      <c r="S51" s="58">
        <v>56165.709166666667</v>
      </c>
      <c r="T51" s="58">
        <v>56165.709166666667</v>
      </c>
      <c r="U51" s="58">
        <v>56165.709166666667</v>
      </c>
      <c r="V51" s="58">
        <v>56165.709166666667</v>
      </c>
      <c r="W51" s="58">
        <v>56165.709166666667</v>
      </c>
      <c r="X51" s="58">
        <v>56165.709166666667</v>
      </c>
      <c r="Y51" s="58">
        <v>56165.709166666667</v>
      </c>
      <c r="Z51" s="58">
        <v>56165.709166666667</v>
      </c>
      <c r="AA51" s="58">
        <v>56165.709166666667</v>
      </c>
      <c r="AB51" s="58">
        <v>56165.709166666667</v>
      </c>
      <c r="AC51" s="59">
        <f t="shared" ref="AC51" si="159">SUM(Q51:AB51)</f>
        <v>673988.51</v>
      </c>
      <c r="AD51" s="58">
        <v>56165.709166666667</v>
      </c>
      <c r="AE51" s="58">
        <v>56165.709166666667</v>
      </c>
      <c r="AF51" s="58">
        <v>56165.709166666667</v>
      </c>
      <c r="AG51" s="58">
        <v>56165.709166666667</v>
      </c>
      <c r="AH51" s="58">
        <v>56165.709166666667</v>
      </c>
      <c r="AI51" s="58">
        <v>56165.709166666667</v>
      </c>
      <c r="AJ51" s="58">
        <v>56165.709166666667</v>
      </c>
      <c r="AK51" s="58">
        <v>56165.709166666667</v>
      </c>
      <c r="AL51" s="58">
        <v>56165.709166666667</v>
      </c>
      <c r="AM51" s="58">
        <v>56165.709166666667</v>
      </c>
      <c r="AN51" s="58">
        <v>56165.709166666667</v>
      </c>
      <c r="AO51" s="58">
        <v>56165.709166666667</v>
      </c>
      <c r="AP51" s="59">
        <f t="shared" ref="AP51" si="160">SUM(AD51:AO51)</f>
        <v>673988.51</v>
      </c>
      <c r="AQ51" s="58">
        <v>56165.709166666667</v>
      </c>
      <c r="AR51" s="58">
        <v>56165.709166666667</v>
      </c>
      <c r="AS51" s="58">
        <v>56165.709166666667</v>
      </c>
      <c r="AT51" s="58">
        <v>56165.709166666667</v>
      </c>
      <c r="AU51" s="58">
        <v>56165.709166666667</v>
      </c>
      <c r="AV51" s="58">
        <v>56165.709166666667</v>
      </c>
      <c r="AW51" s="58">
        <v>56165.709166666667</v>
      </c>
      <c r="AX51" s="58">
        <v>56165.709166666667</v>
      </c>
      <c r="AY51" s="58">
        <v>56165.709166666667</v>
      </c>
      <c r="AZ51" s="58">
        <v>56165.709166666667</v>
      </c>
      <c r="BA51" s="58">
        <v>56165.709166666667</v>
      </c>
      <c r="BB51" s="58">
        <v>56165.709166666667</v>
      </c>
      <c r="BC51" s="59">
        <f t="shared" ref="BC51" si="161">SUM(AQ51:BB51)</f>
        <v>673988.51</v>
      </c>
      <c r="BD51" s="58">
        <v>56165.709166666667</v>
      </c>
      <c r="BE51" s="58">
        <v>56165.709166666667</v>
      </c>
      <c r="BF51" s="58">
        <v>56165.709166666667</v>
      </c>
      <c r="BG51" s="58">
        <v>56165.709166666667</v>
      </c>
      <c r="BH51" s="58">
        <v>56165.709166666667</v>
      </c>
      <c r="BI51" s="58">
        <v>56165.709166666667</v>
      </c>
      <c r="BJ51" s="58">
        <v>56165.709166666667</v>
      </c>
      <c r="BK51" s="58">
        <v>56165.709166666667</v>
      </c>
      <c r="BL51" s="58">
        <v>56165.709166666667</v>
      </c>
      <c r="BM51" s="58">
        <v>56165.709166666667</v>
      </c>
      <c r="BN51" s="58">
        <v>56165.709166666667</v>
      </c>
      <c r="BO51" s="58">
        <v>56165.709166666667</v>
      </c>
      <c r="BP51" s="59">
        <f t="shared" ref="BP51" si="162">SUM(BD51:BO51)</f>
        <v>673988.51</v>
      </c>
      <c r="BQ51" s="58">
        <v>56165.709166666667</v>
      </c>
      <c r="BR51" s="58">
        <v>56165.709166666667</v>
      </c>
      <c r="BS51" s="58">
        <v>56165.709166666667</v>
      </c>
      <c r="BT51" s="58">
        <v>56165.709166666667</v>
      </c>
      <c r="BU51" s="58">
        <v>56165.709166666667</v>
      </c>
      <c r="BV51" s="58">
        <v>56165.709166666667</v>
      </c>
      <c r="BW51" s="58">
        <v>56165.709166666667</v>
      </c>
      <c r="BX51" s="58">
        <v>56165.709166666667</v>
      </c>
      <c r="BY51" s="58">
        <v>56165.709166666667</v>
      </c>
      <c r="BZ51" s="58">
        <v>56165.709166666667</v>
      </c>
      <c r="CA51" s="58">
        <v>56165.709166666667</v>
      </c>
      <c r="CB51" s="58">
        <v>56165.709166666667</v>
      </c>
      <c r="CC51" s="59">
        <f t="shared" ref="CC51" si="163">SUM(BQ51:CB51)</f>
        <v>673988.51</v>
      </c>
      <c r="CD51" s="58">
        <v>56165.709166666667</v>
      </c>
      <c r="CE51" s="58">
        <v>56165.709166666667</v>
      </c>
      <c r="CF51" s="58">
        <v>56165.709166666667</v>
      </c>
      <c r="CG51" s="58">
        <v>56165.709166666667</v>
      </c>
      <c r="CH51" s="58">
        <v>56165.709166666667</v>
      </c>
      <c r="CI51" s="58">
        <v>56165.709166666667</v>
      </c>
      <c r="CJ51" s="58">
        <v>56165.709166666667</v>
      </c>
      <c r="CK51" s="58">
        <v>56165.709166666667</v>
      </c>
      <c r="CL51" s="58">
        <v>56165.709166666667</v>
      </c>
      <c r="CM51" s="58">
        <v>56165.709166666667</v>
      </c>
      <c r="CN51" s="58">
        <v>56165.709166666667</v>
      </c>
      <c r="CO51" s="58">
        <v>56165.709166666667</v>
      </c>
      <c r="CP51" s="59">
        <f t="shared" ref="CP51" si="164">SUM(CD51:CO51)</f>
        <v>673988.51</v>
      </c>
    </row>
    <row r="52" spans="2:103" x14ac:dyDescent="0.25">
      <c r="B52" s="74"/>
    </row>
    <row r="53" spans="2:103" ht="15.6" x14ac:dyDescent="0.3">
      <c r="B53" s="72" t="s">
        <v>939</v>
      </c>
      <c r="D53" s="59">
        <f>+D46-D49-D51</f>
        <v>8445290.6811148841</v>
      </c>
      <c r="E53" s="59">
        <f t="shared" ref="E53:AO53" si="165">+E46-E49-E51</f>
        <v>-1489326.140877679</v>
      </c>
      <c r="F53" s="59">
        <f t="shared" si="165"/>
        <v>8585681.1021558084</v>
      </c>
      <c r="G53" s="59">
        <f t="shared" si="165"/>
        <v>23695040.635328569</v>
      </c>
      <c r="H53" s="59">
        <f t="shared" si="165"/>
        <v>23596610.871319916</v>
      </c>
      <c r="I53" s="59">
        <f t="shared" si="165"/>
        <v>23708248.903519362</v>
      </c>
      <c r="J53" s="59">
        <f t="shared" si="165"/>
        <v>8533348.6773404926</v>
      </c>
      <c r="K53" s="59">
        <f t="shared" si="165"/>
        <v>23721730.44538787</v>
      </c>
      <c r="L53" s="59">
        <f t="shared" si="165"/>
        <v>-1442852.6175113581</v>
      </c>
      <c r="M53" s="59">
        <f t="shared" si="165"/>
        <v>23630489.47642608</v>
      </c>
      <c r="N53" s="59">
        <f t="shared" si="165"/>
        <v>23742474.384404328</v>
      </c>
      <c r="O53" s="59">
        <f t="shared" si="165"/>
        <v>3612388.1720688697</v>
      </c>
      <c r="P53" s="59">
        <f>+P46-P49-P51</f>
        <v>155085828.11849159</v>
      </c>
      <c r="Q53" s="59">
        <f t="shared" si="165"/>
        <v>9291775.7085380498</v>
      </c>
      <c r="R53" s="59">
        <f t="shared" si="165"/>
        <v>-1921456.885775455</v>
      </c>
      <c r="S53" s="59">
        <f t="shared" si="165"/>
        <v>9264272.1508892905</v>
      </c>
      <c r="T53" s="59">
        <f t="shared" si="165"/>
        <v>26294745.469252519</v>
      </c>
      <c r="U53" s="59">
        <f t="shared" si="165"/>
        <v>26291006.541861005</v>
      </c>
      <c r="V53" s="59">
        <f t="shared" si="165"/>
        <v>26287273.105594084</v>
      </c>
      <c r="W53" s="59">
        <f t="shared" si="165"/>
        <v>9169327.8176414464</v>
      </c>
      <c r="X53" s="59">
        <f t="shared" si="165"/>
        <v>26279823.501118176</v>
      </c>
      <c r="Y53" s="59">
        <f t="shared" si="165"/>
        <v>-1947588.1657962997</v>
      </c>
      <c r="Z53" s="59">
        <f t="shared" si="165"/>
        <v>26272398.267259348</v>
      </c>
      <c r="AA53" s="59">
        <f t="shared" si="165"/>
        <v>26168695.302641518</v>
      </c>
      <c r="AB53" s="59">
        <f t="shared" si="165"/>
        <v>3686042.3299543099</v>
      </c>
      <c r="AC53" s="59">
        <f>+AC46-AC49-AC51</f>
        <v>173417239.49321815</v>
      </c>
      <c r="AD53" s="59">
        <f t="shared" si="165"/>
        <v>11333318.942336293</v>
      </c>
      <c r="AE53" s="59">
        <f t="shared" si="165"/>
        <v>-1488016.922501974</v>
      </c>
      <c r="AF53" s="59">
        <f t="shared" si="165"/>
        <v>11400019.482327165</v>
      </c>
      <c r="AG53" s="59">
        <f t="shared" si="165"/>
        <v>30586606.670473233</v>
      </c>
      <c r="AH53" s="59">
        <f t="shared" si="165"/>
        <v>30576316.104251482</v>
      </c>
      <c r="AI53" s="59">
        <f t="shared" si="165"/>
        <v>30565961.922537066</v>
      </c>
      <c r="AJ53" s="59">
        <f t="shared" si="165"/>
        <v>11124722.588461787</v>
      </c>
      <c r="AK53" s="59">
        <f t="shared" si="165"/>
        <v>30545061.154671941</v>
      </c>
      <c r="AL53" s="59">
        <f t="shared" si="165"/>
        <v>-1708521.4629403874</v>
      </c>
      <c r="AM53" s="59">
        <f t="shared" si="165"/>
        <v>30523901.227434896</v>
      </c>
      <c r="AN53" s="59">
        <f t="shared" si="165"/>
        <v>30513223.087609988</v>
      </c>
      <c r="AO53" s="59">
        <f t="shared" si="165"/>
        <v>4708050.766141885</v>
      </c>
      <c r="AP53" s="59">
        <f>+AP46-AP49-AP51</f>
        <v>208973144.5001297</v>
      </c>
      <c r="AQ53" s="59">
        <f t="shared" ref="AQ53:BB53" si="166">+AQ46-AQ49-AQ51</f>
        <v>14152928.494158315</v>
      </c>
      <c r="AR53" s="59">
        <f t="shared" si="166"/>
        <v>-545116.31093976484</v>
      </c>
      <c r="AS53" s="59">
        <f t="shared" si="166"/>
        <v>14630835.155219048</v>
      </c>
      <c r="AT53" s="59">
        <f t="shared" si="166"/>
        <v>37402549.841171227</v>
      </c>
      <c r="AU53" s="59">
        <f t="shared" si="166"/>
        <v>37386374.22669664</v>
      </c>
      <c r="AV53" s="59">
        <f t="shared" si="166"/>
        <v>37370046.038357325</v>
      </c>
      <c r="AW53" s="59">
        <f t="shared" si="166"/>
        <v>14215824.76822209</v>
      </c>
      <c r="AX53" s="59">
        <f t="shared" si="166"/>
        <v>37177418.920443639</v>
      </c>
      <c r="AY53" s="59">
        <f t="shared" si="166"/>
        <v>-659433.18658079091</v>
      </c>
      <c r="AZ53" s="59">
        <f t="shared" si="166"/>
        <v>37303179.4199441</v>
      </c>
      <c r="BA53" s="59">
        <f t="shared" si="166"/>
        <v>37286067.156705737</v>
      </c>
      <c r="BB53" s="59">
        <f t="shared" si="166"/>
        <v>6725634.1805344066</v>
      </c>
      <c r="BC53" s="59">
        <f>+BC46-BC49-BC51</f>
        <v>265336725.68105718</v>
      </c>
      <c r="BD53" s="59">
        <f t="shared" ref="BD53:BO53" si="167">+BD46-BD49-BD51</f>
        <v>17402041.688587915</v>
      </c>
      <c r="BE53" s="59">
        <f t="shared" si="167"/>
        <v>233784.12930854072</v>
      </c>
      <c r="BF53" s="59">
        <f t="shared" si="167"/>
        <v>17734214.752650693</v>
      </c>
      <c r="BG53" s="59">
        <f t="shared" si="167"/>
        <v>44001603.996642344</v>
      </c>
      <c r="BH53" s="59">
        <f t="shared" si="167"/>
        <v>43966979.874219604</v>
      </c>
      <c r="BI53" s="59">
        <f t="shared" si="167"/>
        <v>43932067.21744334</v>
      </c>
      <c r="BJ53" s="59">
        <f t="shared" si="167"/>
        <v>17195136.405218299</v>
      </c>
      <c r="BK53" s="59">
        <f t="shared" si="167"/>
        <v>43861366.662981354</v>
      </c>
      <c r="BL53" s="59">
        <f t="shared" si="167"/>
        <v>-10638.131625737638</v>
      </c>
      <c r="BM53" s="59">
        <f t="shared" si="167"/>
        <v>43789482.856184267</v>
      </c>
      <c r="BN53" s="59">
        <f t="shared" si="167"/>
        <v>43753091.057591043</v>
      </c>
      <c r="BO53" s="59">
        <f t="shared" si="167"/>
        <v>8647426.3718198091</v>
      </c>
      <c r="BP53" s="59">
        <f>+BP46-BP49-BP51</f>
        <v>321891974.85303617</v>
      </c>
      <c r="BQ53" s="59">
        <f t="shared" ref="BQ53:CB53" si="168">+BQ46-BQ49-BQ51</f>
        <v>21343754.639551833</v>
      </c>
      <c r="BR53" s="59">
        <f t="shared" si="168"/>
        <v>1261236.1535723957</v>
      </c>
      <c r="BS53" s="59">
        <f t="shared" si="168"/>
        <v>21668825.337097481</v>
      </c>
      <c r="BT53" s="59">
        <f t="shared" si="168"/>
        <v>52298705.664605789</v>
      </c>
      <c r="BU53" s="59">
        <f t="shared" si="168"/>
        <v>52260455.944116697</v>
      </c>
      <c r="BV53" s="59">
        <f t="shared" si="168"/>
        <v>52221887.475956865</v>
      </c>
      <c r="BW53" s="59">
        <f t="shared" si="168"/>
        <v>21115183.669290781</v>
      </c>
      <c r="BX53" s="59">
        <f t="shared" si="168"/>
        <v>52143783.649567358</v>
      </c>
      <c r="BY53" s="59">
        <f t="shared" si="168"/>
        <v>991219.68794475542</v>
      </c>
      <c r="BZ53" s="59">
        <f t="shared" si="168"/>
        <v>52064372.668861195</v>
      </c>
      <c r="CA53" s="59">
        <f t="shared" si="168"/>
        <v>52024170.17340757</v>
      </c>
      <c r="CB53" s="59">
        <f t="shared" si="168"/>
        <v>11093214.077685276</v>
      </c>
      <c r="CC53" s="59">
        <f>+CC46-CC49-CC51</f>
        <v>391201289.58261746</v>
      </c>
      <c r="CD53" s="59">
        <f t="shared" ref="CD53:CO53" si="169">+CD46-CD49-CD51</f>
        <v>25965800.506813534</v>
      </c>
      <c r="CE53" s="59">
        <f t="shared" si="169"/>
        <v>2485470.5183554445</v>
      </c>
      <c r="CF53" s="59">
        <f t="shared" si="169"/>
        <v>26283025.127257951</v>
      </c>
      <c r="CG53" s="59">
        <f t="shared" si="169"/>
        <v>61999790.423552491</v>
      </c>
      <c r="CH53" s="59">
        <f t="shared" si="169"/>
        <v>61957535.457502224</v>
      </c>
      <c r="CI53" s="59">
        <f t="shared" si="169"/>
        <v>61914928.366734862</v>
      </c>
      <c r="CJ53" s="59">
        <f t="shared" si="169"/>
        <v>25713295.169128411</v>
      </c>
      <c r="CK53" s="59">
        <f t="shared" si="169"/>
        <v>61828646.049105205</v>
      </c>
      <c r="CL53" s="59">
        <f t="shared" si="169"/>
        <v>2187179.8003522758</v>
      </c>
      <c r="CM53" s="59">
        <f t="shared" si="169"/>
        <v>61740919.701020785</v>
      </c>
      <c r="CN53" s="59">
        <f t="shared" si="169"/>
        <v>61696507.478949413</v>
      </c>
      <c r="CO53" s="59">
        <f t="shared" si="169"/>
        <v>13973497.091361636</v>
      </c>
      <c r="CP53" s="59">
        <f>+CP46-CP49-CP51</f>
        <v>468461076.13109362</v>
      </c>
    </row>
    <row r="54" spans="2:103" ht="15.6" x14ac:dyDescent="0.3">
      <c r="B54" s="72"/>
      <c r="BP54" s="59"/>
    </row>
    <row r="55" spans="2:103" x14ac:dyDescent="0.25">
      <c r="B55" s="74" t="s">
        <v>937</v>
      </c>
      <c r="D55" s="58">
        <f>+D7*Parámetros!$C$30</f>
        <v>2588976</v>
      </c>
      <c r="E55" s="58">
        <f>+E7*Parámetros!$C$30</f>
        <v>862991.99999999988</v>
      </c>
      <c r="F55" s="58">
        <f>+F7*Parámetros!$C$30</f>
        <v>2588976</v>
      </c>
      <c r="G55" s="58">
        <f>+G7*Parámetros!$C$30</f>
        <v>5177952</v>
      </c>
      <c r="H55" s="58">
        <f>+H7*Parámetros!$C$30</f>
        <v>5177952</v>
      </c>
      <c r="I55" s="58">
        <f>+I7*Parámetros!$C$30</f>
        <v>5177952</v>
      </c>
      <c r="J55" s="58">
        <f>+J7*Parámetros!$C$30</f>
        <v>2588976</v>
      </c>
      <c r="K55" s="58">
        <f>+K7*Parámetros!$C$30</f>
        <v>5177952</v>
      </c>
      <c r="L55" s="58">
        <f>+L7*Parámetros!$C$30</f>
        <v>862991.99999999988</v>
      </c>
      <c r="M55" s="58">
        <f>+M7*Parámetros!$C$30</f>
        <v>5177952</v>
      </c>
      <c r="N55" s="58">
        <f>+N7*Parámetros!$C$30</f>
        <v>5177952</v>
      </c>
      <c r="O55" s="58">
        <f>+O7*Parámetros!$C$30</f>
        <v>1725983.9999999998</v>
      </c>
      <c r="P55" s="59">
        <f t="shared" si="158"/>
        <v>42286608</v>
      </c>
      <c r="Q55" s="58">
        <f>+Q7*Parámetros!$D$30</f>
        <v>2908973.4336000001</v>
      </c>
      <c r="R55" s="58">
        <f>+R7*Parámetros!$D$30</f>
        <v>969657.81120000011</v>
      </c>
      <c r="S55" s="58">
        <f>+S7*Parámetros!$D$30</f>
        <v>2908973.4336000001</v>
      </c>
      <c r="T55" s="58">
        <f>+T7*Parámetros!$D$30</f>
        <v>5817946.8672000002</v>
      </c>
      <c r="U55" s="58">
        <f>+U7*Parámetros!$D$30</f>
        <v>5817946.8672000002</v>
      </c>
      <c r="V55" s="58">
        <f>+V7*Parámetros!$D$30</f>
        <v>5817946.8672000002</v>
      </c>
      <c r="W55" s="58">
        <f>+W7*Parámetros!$D$30</f>
        <v>2908973.4336000001</v>
      </c>
      <c r="X55" s="58">
        <f>+X7*Parámetros!$D$30</f>
        <v>5817946.8672000002</v>
      </c>
      <c r="Y55" s="58">
        <f>+Y7*Parámetros!$D$30</f>
        <v>969657.81120000011</v>
      </c>
      <c r="Z55" s="58">
        <f>+Z7*Parámetros!$D$30</f>
        <v>5817946.8672000002</v>
      </c>
      <c r="AA55" s="58">
        <f>+AA7*Parámetros!$D$30</f>
        <v>5817946.8672000002</v>
      </c>
      <c r="AB55" s="58">
        <f>+AB7*Parámetros!$D$30</f>
        <v>1939315.6224000002</v>
      </c>
      <c r="AC55" s="59">
        <f t="shared" ref="AC55" si="170">SUM(Q55:AB55)</f>
        <v>47513232.748800009</v>
      </c>
      <c r="AD55" s="58">
        <f>+AD7*Parámetros!$E$30</f>
        <v>3492077.1583651211</v>
      </c>
      <c r="AE55" s="58">
        <f>+AE7*Parámetros!$E$30</f>
        <v>1164025.7194550405</v>
      </c>
      <c r="AF55" s="58">
        <f>+AF7*Parámetros!$E$30</f>
        <v>3492077.1583651211</v>
      </c>
      <c r="AG55" s="58">
        <f>+AG7*Parámetros!$E$30</f>
        <v>6984154.3167302422</v>
      </c>
      <c r="AH55" s="58">
        <f>+AH7*Parámetros!$E$30</f>
        <v>6984154.3167302422</v>
      </c>
      <c r="AI55" s="58">
        <f>+AI7*Parámetros!$E$30</f>
        <v>6984154.3167302422</v>
      </c>
      <c r="AJ55" s="58">
        <f>+AJ7*Parámetros!$E$30</f>
        <v>3492077.1583651211</v>
      </c>
      <c r="AK55" s="58">
        <f>+AK7*Parámetros!$E$30</f>
        <v>6984154.3167302422</v>
      </c>
      <c r="AL55" s="58">
        <f>+AL7*Parámetros!$E$30</f>
        <v>1164025.7194550405</v>
      </c>
      <c r="AM55" s="58">
        <f>+AM7*Parámetros!$E$30</f>
        <v>6984154.3167302422</v>
      </c>
      <c r="AN55" s="58">
        <f>+AN7*Parámetros!$E$30</f>
        <v>6984154.3167302422</v>
      </c>
      <c r="AO55" s="58">
        <f>+AO7*Parámetros!$E$30</f>
        <v>2328051.4389100811</v>
      </c>
      <c r="AP55" s="59">
        <f t="shared" ref="AP55" si="171">SUM(AD55:AO55)</f>
        <v>57037260.253296986</v>
      </c>
      <c r="AQ55" s="58">
        <f>+AQ7*Parámetros!$F$30</f>
        <v>4439350.4950226387</v>
      </c>
      <c r="AR55" s="58">
        <f>+AR7*Parámetros!$F$30</f>
        <v>1479783.4983408793</v>
      </c>
      <c r="AS55" s="58">
        <f>+AS7*Parámetros!$F$30</f>
        <v>4439350.4950226387</v>
      </c>
      <c r="AT55" s="58">
        <f>+AT7*Parámetros!$F$30</f>
        <v>8878700.9900452774</v>
      </c>
      <c r="AU55" s="58">
        <f>+AU7*Parámetros!$F$30</f>
        <v>8878700.9900452774</v>
      </c>
      <c r="AV55" s="58">
        <f>+AV7*Parámetros!$F$30</f>
        <v>8878700.9900452774</v>
      </c>
      <c r="AW55" s="58">
        <f>+AW7*Parámetros!$F$30</f>
        <v>4439350.4950226387</v>
      </c>
      <c r="AX55" s="58">
        <f>+AX7*Parámetros!$F$30</f>
        <v>8878700.9900452774</v>
      </c>
      <c r="AY55" s="58">
        <f>+AY7*Parámetros!$F$30</f>
        <v>1479783.4983408793</v>
      </c>
      <c r="AZ55" s="58">
        <f>+AZ7*Parámetros!$F$30</f>
        <v>8878700.9900452774</v>
      </c>
      <c r="BA55" s="58">
        <f>+BA7*Parámetros!$F$30</f>
        <v>8878700.9900452774</v>
      </c>
      <c r="BB55" s="58">
        <f>+BB7*Parámetros!$F$30</f>
        <v>2959566.9966817587</v>
      </c>
      <c r="BC55" s="59">
        <f t="shared" ref="BC55" si="172">SUM(AQ55:BB55)</f>
        <v>72509391.418703109</v>
      </c>
      <c r="BD55" s="58">
        <f>+BD7*Parámetros!$G$30</f>
        <v>5376505.5065113967</v>
      </c>
      <c r="BE55" s="58">
        <f>+BE7*Parámetros!$G$30</f>
        <v>1792168.5021704661</v>
      </c>
      <c r="BF55" s="58">
        <f>+BF7*Parámetros!$G$30</f>
        <v>5376505.5065113967</v>
      </c>
      <c r="BG55" s="58">
        <f>+BG7*Parámetros!$G$30</f>
        <v>10753011.013022793</v>
      </c>
      <c r="BH55" s="58">
        <f>+BH7*Parámetros!$G$30</f>
        <v>10753011.013022793</v>
      </c>
      <c r="BI55" s="58">
        <f>+BI7*Parámetros!$G$30</f>
        <v>10753011.013022793</v>
      </c>
      <c r="BJ55" s="58">
        <f>+BJ7*Parámetros!$G$30</f>
        <v>5376505.5065113967</v>
      </c>
      <c r="BK55" s="58">
        <f>+BK7*Parámetros!$G$30</f>
        <v>10753011.013022793</v>
      </c>
      <c r="BL55" s="58">
        <f>+BL7*Parámetros!$G$30</f>
        <v>1792168.5021704661</v>
      </c>
      <c r="BM55" s="58">
        <f>+BM7*Parámetros!$G$30</f>
        <v>10753011.013022793</v>
      </c>
      <c r="BN55" s="58">
        <f>+BN7*Parámetros!$G$30</f>
        <v>10753011.013022793</v>
      </c>
      <c r="BO55" s="58">
        <f>+BO7*Parámetros!$G$30</f>
        <v>3584337.0043409322</v>
      </c>
      <c r="BP55" s="59">
        <f t="shared" ref="BP55" si="173">SUM(BD55:BO55)</f>
        <v>87816256.606352821</v>
      </c>
      <c r="BQ55" s="58">
        <f>+BQ7*Parámetros!$H$30</f>
        <v>6598953.0743076717</v>
      </c>
      <c r="BR55" s="58">
        <f>+BR7*Parámetros!$H$30</f>
        <v>2199651.0247692242</v>
      </c>
      <c r="BS55" s="58">
        <f>+BS7*Parámetros!$H$30</f>
        <v>6598953.0743076717</v>
      </c>
      <c r="BT55" s="58">
        <f>+BT7*Parámetros!$H$30</f>
        <v>13197906.148615343</v>
      </c>
      <c r="BU55" s="58">
        <f>+BU7*Parámetros!$H$30</f>
        <v>13197906.148615343</v>
      </c>
      <c r="BV55" s="58">
        <f>+BV7*Parámetros!$H$30</f>
        <v>13197906.148615343</v>
      </c>
      <c r="BW55" s="58">
        <f>+BW7*Parámetros!$H$30</f>
        <v>6598953.0743076717</v>
      </c>
      <c r="BX55" s="58">
        <f>+BX7*Parámetros!$H$30</f>
        <v>13197906.148615343</v>
      </c>
      <c r="BY55" s="58">
        <f>+BY7*Parámetros!$H$30</f>
        <v>2199651.0247692242</v>
      </c>
      <c r="BZ55" s="58">
        <f>+BZ7*Parámetros!$H$30</f>
        <v>13197906.148615343</v>
      </c>
      <c r="CA55" s="58">
        <f>+CA7*Parámetros!$H$30</f>
        <v>13197906.148615343</v>
      </c>
      <c r="CB55" s="58">
        <f>+CB7*Parámetros!$H$30</f>
        <v>4399302.0495384485</v>
      </c>
      <c r="CC55" s="59">
        <f t="shared" ref="CC55" si="174">SUM(BQ55:CB55)</f>
        <v>107782900.21369199</v>
      </c>
      <c r="CD55" s="58">
        <f>+CD7*Parámetros!$I$30</f>
        <v>7822618.9393867934</v>
      </c>
      <c r="CE55" s="58">
        <f>+CE7*Parámetros!$I$30</f>
        <v>2607539.6464622654</v>
      </c>
      <c r="CF55" s="58">
        <f>+CF7*Parámetros!$I$30</f>
        <v>7822618.9393867934</v>
      </c>
      <c r="CG55" s="58">
        <f>+CG7*Parámetros!$I$30</f>
        <v>15645237.878773587</v>
      </c>
      <c r="CH55" s="58">
        <f>+CH7*Parámetros!$I$30</f>
        <v>15645237.878773587</v>
      </c>
      <c r="CI55" s="58">
        <f>+CI7*Parámetros!$I$30</f>
        <v>15645237.878773587</v>
      </c>
      <c r="CJ55" s="58">
        <f>+CJ7*Parámetros!$I$30</f>
        <v>7822618.9393867934</v>
      </c>
      <c r="CK55" s="58">
        <f>+CK7*Parámetros!$I$30</f>
        <v>15645237.878773587</v>
      </c>
      <c r="CL55" s="58">
        <f>+CL7*Parámetros!$I$30</f>
        <v>2607539.6464622654</v>
      </c>
      <c r="CM55" s="58">
        <f>+CM7*Parámetros!$I$30</f>
        <v>15645237.878773587</v>
      </c>
      <c r="CN55" s="58">
        <f>+CN7*Parámetros!$I$30</f>
        <v>15645237.878773587</v>
      </c>
      <c r="CO55" s="58">
        <f>+CO7*Parámetros!$I$30</f>
        <v>5215079.2929245308</v>
      </c>
      <c r="CP55" s="59">
        <f t="shared" ref="CP55" si="175">SUM(CD55:CO55)</f>
        <v>127769442.67665094</v>
      </c>
    </row>
    <row r="56" spans="2:103" x14ac:dyDescent="0.25">
      <c r="P56" s="75">
        <f>+P55/P53</f>
        <v>0.27266584260485355</v>
      </c>
      <c r="AC56" s="75">
        <f>+AC55/AC53</f>
        <v>0.27398217667199182</v>
      </c>
      <c r="AP56" s="75">
        <f>+AP55/AP53</f>
        <v>0.27294062301513383</v>
      </c>
      <c r="BC56" s="75">
        <f>+BC55/BC53</f>
        <v>0.27327310696470114</v>
      </c>
      <c r="BP56" s="75">
        <f>+BP55/BP53</f>
        <v>0.27281281754988279</v>
      </c>
      <c r="CC56" s="75">
        <f>+CC55/CC53</f>
        <v>0.27551775283943541</v>
      </c>
      <c r="CP56" s="75">
        <f>+CP55/CP53</f>
        <v>0.27274292184927673</v>
      </c>
    </row>
    <row r="57" spans="2:103" ht="15.6" x14ac:dyDescent="0.3">
      <c r="B57" s="72" t="s">
        <v>940</v>
      </c>
      <c r="D57" s="59">
        <f>+D53-D55</f>
        <v>5856314.6811148841</v>
      </c>
      <c r="E57" s="59">
        <f t="shared" ref="E57:O57" si="176">+E53-E55</f>
        <v>-2352318.140877679</v>
      </c>
      <c r="F57" s="59">
        <f t="shared" si="176"/>
        <v>5996705.1021558084</v>
      </c>
      <c r="G57" s="59">
        <f t="shared" si="176"/>
        <v>18517088.635328569</v>
      </c>
      <c r="H57" s="59">
        <f t="shared" si="176"/>
        <v>18418658.871319916</v>
      </c>
      <c r="I57" s="59">
        <f t="shared" si="176"/>
        <v>18530296.903519362</v>
      </c>
      <c r="J57" s="59">
        <f t="shared" si="176"/>
        <v>5944372.6773404926</v>
      </c>
      <c r="K57" s="59">
        <f t="shared" si="176"/>
        <v>18543778.44538787</v>
      </c>
      <c r="L57" s="59">
        <f t="shared" si="176"/>
        <v>-2305844.6175113581</v>
      </c>
      <c r="M57" s="59">
        <f t="shared" si="176"/>
        <v>18452537.47642608</v>
      </c>
      <c r="N57" s="59">
        <f t="shared" si="176"/>
        <v>18564522.384404328</v>
      </c>
      <c r="O57" s="59">
        <f t="shared" si="176"/>
        <v>1886404.1720688699</v>
      </c>
      <c r="P57" s="59">
        <f>+P53-P55</f>
        <v>112799220.11849159</v>
      </c>
      <c r="Q57" s="59">
        <f>+Q53-Q55</f>
        <v>6382802.2749380497</v>
      </c>
      <c r="R57" s="59">
        <f t="shared" ref="R57:AO57" si="177">+R53-R55</f>
        <v>-2891114.6969754552</v>
      </c>
      <c r="S57" s="59">
        <f t="shared" si="177"/>
        <v>6355298.7172892904</v>
      </c>
      <c r="T57" s="59">
        <f t="shared" si="177"/>
        <v>20476798.602052517</v>
      </c>
      <c r="U57" s="59">
        <f t="shared" si="177"/>
        <v>20473059.674661003</v>
      </c>
      <c r="V57" s="59">
        <f t="shared" si="177"/>
        <v>20469326.238394082</v>
      </c>
      <c r="W57" s="59">
        <f t="shared" si="177"/>
        <v>6260354.3840414463</v>
      </c>
      <c r="X57" s="59">
        <f t="shared" si="177"/>
        <v>20461876.633918174</v>
      </c>
      <c r="Y57" s="59">
        <f t="shared" si="177"/>
        <v>-2917245.9769962998</v>
      </c>
      <c r="Z57" s="59">
        <f t="shared" si="177"/>
        <v>20454451.40005935</v>
      </c>
      <c r="AA57" s="59">
        <f t="shared" si="177"/>
        <v>20350748.435441516</v>
      </c>
      <c r="AB57" s="59">
        <f t="shared" si="177"/>
        <v>1746726.7075543096</v>
      </c>
      <c r="AC57" s="59">
        <f>+AC53-AC55</f>
        <v>125904006.74441814</v>
      </c>
      <c r="AD57" s="59">
        <f t="shared" si="177"/>
        <v>7841241.7839711718</v>
      </c>
      <c r="AE57" s="59">
        <f t="shared" si="177"/>
        <v>-2652042.6419570148</v>
      </c>
      <c r="AF57" s="59">
        <f t="shared" si="177"/>
        <v>7907942.323962044</v>
      </c>
      <c r="AG57" s="59">
        <f t="shared" si="177"/>
        <v>23602452.353742991</v>
      </c>
      <c r="AH57" s="59">
        <f t="shared" si="177"/>
        <v>23592161.787521239</v>
      </c>
      <c r="AI57" s="59">
        <f t="shared" si="177"/>
        <v>23581807.605806824</v>
      </c>
      <c r="AJ57" s="59">
        <f t="shared" si="177"/>
        <v>7632645.4300966654</v>
      </c>
      <c r="AK57" s="59">
        <f t="shared" si="177"/>
        <v>23560906.837941699</v>
      </c>
      <c r="AL57" s="59">
        <f t="shared" si="177"/>
        <v>-2872547.182395428</v>
      </c>
      <c r="AM57" s="59">
        <f t="shared" si="177"/>
        <v>23539746.910704654</v>
      </c>
      <c r="AN57" s="59">
        <f t="shared" si="177"/>
        <v>23529068.770879745</v>
      </c>
      <c r="AO57" s="59">
        <f t="shared" si="177"/>
        <v>2379999.3272318039</v>
      </c>
      <c r="AP57" s="59">
        <f>+AP53-AP55</f>
        <v>151935884.24683273</v>
      </c>
      <c r="AQ57" s="58">
        <f t="shared" ref="AQ57:BB57" si="178">+AQ53-AQ55</f>
        <v>9713577.9991356768</v>
      </c>
      <c r="AR57" s="58">
        <f t="shared" si="178"/>
        <v>-2024899.8092806442</v>
      </c>
      <c r="AS57" s="58">
        <f t="shared" si="178"/>
        <v>10191484.660196409</v>
      </c>
      <c r="AT57" s="58">
        <f t="shared" si="178"/>
        <v>28523848.851125948</v>
      </c>
      <c r="AU57" s="58">
        <f t="shared" si="178"/>
        <v>28507673.236651361</v>
      </c>
      <c r="AV57" s="58">
        <f t="shared" si="178"/>
        <v>28491345.048312046</v>
      </c>
      <c r="AW57" s="58">
        <f t="shared" si="178"/>
        <v>9776474.2731994502</v>
      </c>
      <c r="AX57" s="58">
        <f t="shared" si="178"/>
        <v>28298717.93039836</v>
      </c>
      <c r="AY57" s="58">
        <f t="shared" si="178"/>
        <v>-2139216.6849216702</v>
      </c>
      <c r="AZ57" s="58">
        <f t="shared" si="178"/>
        <v>28424478.429898821</v>
      </c>
      <c r="BA57" s="58">
        <f t="shared" si="178"/>
        <v>28407366.166660458</v>
      </c>
      <c r="BB57" s="58">
        <f t="shared" si="178"/>
        <v>3766067.1838526479</v>
      </c>
      <c r="BC57" s="59">
        <f>+BC53-BC55</f>
        <v>192827334.26235408</v>
      </c>
      <c r="BD57" s="58">
        <f t="shared" ref="BD57:BO57" si="179">+BD53-BD55</f>
        <v>12025536.182076517</v>
      </c>
      <c r="BE57" s="58">
        <f t="shared" si="179"/>
        <v>-1558384.3728619255</v>
      </c>
      <c r="BF57" s="58">
        <f t="shared" si="179"/>
        <v>12357709.246139295</v>
      </c>
      <c r="BG57" s="58">
        <f t="shared" si="179"/>
        <v>33248592.983619548</v>
      </c>
      <c r="BH57" s="58">
        <f t="shared" si="179"/>
        <v>33213968.861196809</v>
      </c>
      <c r="BI57" s="58">
        <f t="shared" si="179"/>
        <v>33179056.204420544</v>
      </c>
      <c r="BJ57" s="58">
        <f t="shared" si="179"/>
        <v>11818630.898706902</v>
      </c>
      <c r="BK57" s="58">
        <f t="shared" si="179"/>
        <v>33108355.649958558</v>
      </c>
      <c r="BL57" s="58">
        <f t="shared" si="179"/>
        <v>-1802806.6337962036</v>
      </c>
      <c r="BM57" s="58">
        <f t="shared" si="179"/>
        <v>33036471.843161471</v>
      </c>
      <c r="BN57" s="58">
        <f t="shared" si="179"/>
        <v>33000080.044568248</v>
      </c>
      <c r="BO57" s="58">
        <f t="shared" si="179"/>
        <v>5063089.3674788773</v>
      </c>
      <c r="BP57" s="59">
        <f>+BP53-BP55</f>
        <v>234075718.24668336</v>
      </c>
      <c r="BQ57" s="58">
        <f t="shared" ref="BQ57:CB57" si="180">+BQ53-BQ55</f>
        <v>14744801.565244161</v>
      </c>
      <c r="BR57" s="58">
        <f t="shared" si="180"/>
        <v>-938414.87119682855</v>
      </c>
      <c r="BS57" s="58">
        <f t="shared" si="180"/>
        <v>15069872.262789808</v>
      </c>
      <c r="BT57" s="58">
        <f t="shared" si="180"/>
        <v>39100799.515990444</v>
      </c>
      <c r="BU57" s="58">
        <f t="shared" si="180"/>
        <v>39062549.795501351</v>
      </c>
      <c r="BV57" s="58">
        <f t="shared" si="180"/>
        <v>39023981.327341519</v>
      </c>
      <c r="BW57" s="58">
        <f t="shared" si="180"/>
        <v>14516230.594983108</v>
      </c>
      <c r="BX57" s="58">
        <f t="shared" si="180"/>
        <v>38945877.500952013</v>
      </c>
      <c r="BY57" s="58">
        <f t="shared" si="180"/>
        <v>-1208431.3368244688</v>
      </c>
      <c r="BZ57" s="58">
        <f t="shared" si="180"/>
        <v>38866466.52024585</v>
      </c>
      <c r="CA57" s="58">
        <f t="shared" si="180"/>
        <v>38826264.024792224</v>
      </c>
      <c r="CB57" s="58">
        <f t="shared" si="180"/>
        <v>6693912.0281468276</v>
      </c>
      <c r="CC57" s="59">
        <f>+CC53-CC55</f>
        <v>283418389.36892545</v>
      </c>
      <c r="CD57" s="58">
        <f t="shared" ref="CD57:CO57" si="181">+CD53-CD55</f>
        <v>18143181.567426741</v>
      </c>
      <c r="CE57" s="58">
        <f t="shared" si="181"/>
        <v>-122069.12810682086</v>
      </c>
      <c r="CF57" s="58">
        <f t="shared" si="181"/>
        <v>18460406.187871158</v>
      </c>
      <c r="CG57" s="58">
        <f t="shared" si="181"/>
        <v>46354552.544778906</v>
      </c>
      <c r="CH57" s="58">
        <f t="shared" si="181"/>
        <v>46312297.578728639</v>
      </c>
      <c r="CI57" s="58">
        <f t="shared" si="181"/>
        <v>46269690.487961277</v>
      </c>
      <c r="CJ57" s="58">
        <f t="shared" si="181"/>
        <v>17890676.229741618</v>
      </c>
      <c r="CK57" s="58">
        <f t="shared" si="181"/>
        <v>46183408.17033162</v>
      </c>
      <c r="CL57" s="58">
        <f t="shared" si="181"/>
        <v>-420359.84610998956</v>
      </c>
      <c r="CM57" s="58">
        <f t="shared" si="181"/>
        <v>46095681.8222472</v>
      </c>
      <c r="CN57" s="58">
        <f t="shared" si="181"/>
        <v>46051269.600175828</v>
      </c>
      <c r="CO57" s="58">
        <f t="shared" si="181"/>
        <v>8758417.7984371055</v>
      </c>
      <c r="CP57" s="59">
        <f>+CP53-CP55</f>
        <v>340691633.45444268</v>
      </c>
    </row>
    <row r="58" spans="2:103" ht="15.6" x14ac:dyDescent="0.3">
      <c r="B58" s="72" t="s">
        <v>102</v>
      </c>
      <c r="P58" s="76">
        <f>+P57/P7</f>
        <v>0.19205947775549637</v>
      </c>
      <c r="R58" s="31"/>
      <c r="S58" s="31"/>
      <c r="T58" s="31"/>
      <c r="AC58" s="76">
        <f>+AC57/AC7</f>
        <v>0.19079081681359711</v>
      </c>
      <c r="AP58" s="76">
        <f>+AP57/AP7</f>
        <v>0.20111694021931556</v>
      </c>
      <c r="BC58" s="76">
        <f>+BC57/BC7</f>
        <v>0.21673644523691607</v>
      </c>
      <c r="BP58" s="76">
        <f>+BP57/BP7</f>
        <v>0.22790169706053731</v>
      </c>
      <c r="CC58" s="76">
        <f>+CC57/CC7</f>
        <v>0.23665771650819784</v>
      </c>
      <c r="CP58" s="76">
        <f>+CP57/CP7</f>
        <v>0.24398075007631087</v>
      </c>
    </row>
    <row r="59" spans="2:103" ht="15.6" x14ac:dyDescent="0.3">
      <c r="B59" s="72" t="s">
        <v>941</v>
      </c>
      <c r="C59" s="58">
        <f>+-C99</f>
        <v>-72459397.918267772</v>
      </c>
      <c r="P59" s="59">
        <f>+P57+C59</f>
        <v>40339822.200223818</v>
      </c>
      <c r="AC59" s="59">
        <f>+AC57+P59</f>
        <v>166243828.94464195</v>
      </c>
      <c r="AP59" s="59">
        <f>+AP57+AC59</f>
        <v>318179713.19147468</v>
      </c>
      <c r="BC59" s="59">
        <f>+BC57+AP59</f>
        <v>511007047.45382875</v>
      </c>
      <c r="BP59" s="59">
        <f>+BP57+BC59</f>
        <v>745082765.70051217</v>
      </c>
      <c r="CC59" s="59">
        <f>+CC57+BP59</f>
        <v>1028501155.0694376</v>
      </c>
      <c r="CP59" s="59">
        <f>+CP57+CC59</f>
        <v>1369192788.5238802</v>
      </c>
    </row>
    <row r="60" spans="2:103" ht="15.6" x14ac:dyDescent="0.3">
      <c r="B60" s="72"/>
      <c r="BP60" s="59"/>
    </row>
    <row r="61" spans="2:103" x14ac:dyDescent="0.25">
      <c r="B61" s="67" t="s">
        <v>890</v>
      </c>
      <c r="P61" s="58">
        <v>16265146.148074221</v>
      </c>
      <c r="AC61" s="58">
        <v>19446904.296115134</v>
      </c>
      <c r="AP61" s="58">
        <v>23251072.155108646</v>
      </c>
      <c r="BC61" s="58">
        <v>27799404.374611221</v>
      </c>
      <c r="BP61" s="58">
        <v>33237473.026092473</v>
      </c>
      <c r="CC61" s="70">
        <v>0</v>
      </c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>
        <v>0</v>
      </c>
    </row>
    <row r="62" spans="2:103" x14ac:dyDescent="0.25">
      <c r="B62" s="67"/>
      <c r="P62" s="58"/>
      <c r="AC62" s="58"/>
      <c r="AP62" s="58"/>
      <c r="BC62" s="58"/>
    </row>
    <row r="63" spans="2:103" ht="15.6" x14ac:dyDescent="0.3">
      <c r="B63" s="72" t="s">
        <v>883</v>
      </c>
      <c r="C63" s="58">
        <f>+C65</f>
        <v>-72459397.918267772</v>
      </c>
      <c r="P63" s="58">
        <f>+P59-P61+P51</f>
        <v>24692498.852982931</v>
      </c>
      <c r="AC63" s="58">
        <f>+AC59-AC61+AC51</f>
        <v>147470913.15852681</v>
      </c>
      <c r="AD63" s="58">
        <f t="shared" ref="AD63:CN63" si="182">+AD59-AD61</f>
        <v>0</v>
      </c>
      <c r="AE63" s="58">
        <f t="shared" si="182"/>
        <v>0</v>
      </c>
      <c r="AF63" s="58">
        <f t="shared" si="182"/>
        <v>0</v>
      </c>
      <c r="AG63" s="58">
        <f t="shared" si="182"/>
        <v>0</v>
      </c>
      <c r="AH63" s="58">
        <f t="shared" si="182"/>
        <v>0</v>
      </c>
      <c r="AI63" s="58">
        <f t="shared" si="182"/>
        <v>0</v>
      </c>
      <c r="AJ63" s="58">
        <f t="shared" si="182"/>
        <v>0</v>
      </c>
      <c r="AK63" s="58">
        <f t="shared" si="182"/>
        <v>0</v>
      </c>
      <c r="AL63" s="58">
        <f t="shared" si="182"/>
        <v>0</v>
      </c>
      <c r="AM63" s="58">
        <f t="shared" si="182"/>
        <v>0</v>
      </c>
      <c r="AN63" s="58">
        <f t="shared" si="182"/>
        <v>0</v>
      </c>
      <c r="AO63" s="58">
        <f t="shared" si="182"/>
        <v>0</v>
      </c>
      <c r="AP63" s="58">
        <f>+AP59-AP61+AP51</f>
        <v>295602629.54636604</v>
      </c>
      <c r="AQ63" s="58">
        <f t="shared" si="182"/>
        <v>0</v>
      </c>
      <c r="AR63" s="58">
        <f t="shared" si="182"/>
        <v>0</v>
      </c>
      <c r="AS63" s="58">
        <f t="shared" si="182"/>
        <v>0</v>
      </c>
      <c r="AT63" s="58">
        <f t="shared" si="182"/>
        <v>0</v>
      </c>
      <c r="AU63" s="58">
        <f t="shared" si="182"/>
        <v>0</v>
      </c>
      <c r="AV63" s="58">
        <f t="shared" si="182"/>
        <v>0</v>
      </c>
      <c r="AW63" s="58">
        <f t="shared" si="182"/>
        <v>0</v>
      </c>
      <c r="AX63" s="58">
        <f t="shared" si="182"/>
        <v>0</v>
      </c>
      <c r="AY63" s="58">
        <f t="shared" si="182"/>
        <v>0</v>
      </c>
      <c r="AZ63" s="58">
        <f t="shared" si="182"/>
        <v>0</v>
      </c>
      <c r="BA63" s="58">
        <f t="shared" si="182"/>
        <v>0</v>
      </c>
      <c r="BB63" s="58">
        <f t="shared" si="182"/>
        <v>0</v>
      </c>
      <c r="BC63" s="58">
        <f>+BC59-BC61+BC51</f>
        <v>483881631.58921754</v>
      </c>
      <c r="BD63" s="58">
        <f t="shared" si="182"/>
        <v>0</v>
      </c>
      <c r="BE63" s="58">
        <f t="shared" si="182"/>
        <v>0</v>
      </c>
      <c r="BF63" s="58">
        <f t="shared" si="182"/>
        <v>0</v>
      </c>
      <c r="BG63" s="58">
        <f t="shared" si="182"/>
        <v>0</v>
      </c>
      <c r="BH63" s="58">
        <f t="shared" si="182"/>
        <v>0</v>
      </c>
      <c r="BI63" s="58">
        <f t="shared" si="182"/>
        <v>0</v>
      </c>
      <c r="BJ63" s="58">
        <f t="shared" si="182"/>
        <v>0</v>
      </c>
      <c r="BK63" s="58">
        <f t="shared" si="182"/>
        <v>0</v>
      </c>
      <c r="BL63" s="58">
        <f t="shared" si="182"/>
        <v>0</v>
      </c>
      <c r="BM63" s="58">
        <f t="shared" si="182"/>
        <v>0</v>
      </c>
      <c r="BN63" s="58">
        <f t="shared" si="182"/>
        <v>0</v>
      </c>
      <c r="BO63" s="58">
        <f t="shared" si="182"/>
        <v>0</v>
      </c>
      <c r="BP63" s="58">
        <f>+BP59-BP61+BP51</f>
        <v>712519281.18441963</v>
      </c>
      <c r="BQ63" s="58">
        <f t="shared" si="182"/>
        <v>0</v>
      </c>
      <c r="BR63" s="58">
        <f t="shared" si="182"/>
        <v>0</v>
      </c>
      <c r="BS63" s="58">
        <f t="shared" si="182"/>
        <v>0</v>
      </c>
      <c r="BT63" s="58">
        <f t="shared" si="182"/>
        <v>0</v>
      </c>
      <c r="BU63" s="58">
        <f t="shared" si="182"/>
        <v>0</v>
      </c>
      <c r="BV63" s="58">
        <f t="shared" si="182"/>
        <v>0</v>
      </c>
      <c r="BW63" s="58">
        <f t="shared" si="182"/>
        <v>0</v>
      </c>
      <c r="BX63" s="58">
        <f t="shared" si="182"/>
        <v>0</v>
      </c>
      <c r="BY63" s="58">
        <f t="shared" si="182"/>
        <v>0</v>
      </c>
      <c r="BZ63" s="58">
        <f t="shared" si="182"/>
        <v>0</v>
      </c>
      <c r="CA63" s="58">
        <f t="shared" si="182"/>
        <v>0</v>
      </c>
      <c r="CB63" s="58">
        <f t="shared" si="182"/>
        <v>0</v>
      </c>
      <c r="CC63" s="58">
        <f>+CC59-CC61+CC51</f>
        <v>1029175143.5794376</v>
      </c>
      <c r="CD63" s="58">
        <f t="shared" si="182"/>
        <v>0</v>
      </c>
      <c r="CE63" s="58">
        <f t="shared" si="182"/>
        <v>0</v>
      </c>
      <c r="CF63" s="58">
        <f t="shared" si="182"/>
        <v>0</v>
      </c>
      <c r="CG63" s="58">
        <f t="shared" si="182"/>
        <v>0</v>
      </c>
      <c r="CH63" s="58">
        <f t="shared" si="182"/>
        <v>0</v>
      </c>
      <c r="CI63" s="58">
        <f t="shared" si="182"/>
        <v>0</v>
      </c>
      <c r="CJ63" s="58">
        <f t="shared" si="182"/>
        <v>0</v>
      </c>
      <c r="CK63" s="58">
        <f t="shared" si="182"/>
        <v>0</v>
      </c>
      <c r="CL63" s="58">
        <f t="shared" si="182"/>
        <v>0</v>
      </c>
      <c r="CM63" s="58">
        <f t="shared" si="182"/>
        <v>0</v>
      </c>
      <c r="CN63" s="58">
        <f t="shared" si="182"/>
        <v>0</v>
      </c>
      <c r="CO63" s="58">
        <f t="shared" ref="CO63" si="183">+CO59-CO61</f>
        <v>0</v>
      </c>
      <c r="CP63" s="58">
        <f>+CP59-CP61+CP51</f>
        <v>1369866777.0338802</v>
      </c>
    </row>
    <row r="64" spans="2:103" ht="15.6" x14ac:dyDescent="0.3">
      <c r="B64" s="72"/>
      <c r="CR64" s="62">
        <v>0</v>
      </c>
      <c r="CS64" s="62">
        <v>1</v>
      </c>
      <c r="CT64" s="62">
        <v>2</v>
      </c>
      <c r="CU64" s="62">
        <v>3</v>
      </c>
      <c r="CV64" s="62">
        <v>4</v>
      </c>
      <c r="CW64" s="62">
        <v>5</v>
      </c>
      <c r="CX64" s="62">
        <v>6</v>
      </c>
      <c r="CY64" s="62">
        <v>7</v>
      </c>
    </row>
    <row r="65" spans="2:103" ht="15.6" x14ac:dyDescent="0.3">
      <c r="B65" s="72" t="s">
        <v>94</v>
      </c>
      <c r="C65" s="58">
        <f>+C59</f>
        <v>-72459397.918267772</v>
      </c>
      <c r="P65" s="59">
        <f>+P63/(1+$C$68)^P4</f>
        <v>20925846.485578757</v>
      </c>
      <c r="Q65" s="59">
        <f t="shared" ref="Q65:AB65" si="184">+Q61/(1+$C$68)^Q4</f>
        <v>0</v>
      </c>
      <c r="R65" s="59">
        <f t="shared" si="184"/>
        <v>0</v>
      </c>
      <c r="S65" s="59">
        <f t="shared" si="184"/>
        <v>0</v>
      </c>
      <c r="T65" s="59">
        <f t="shared" si="184"/>
        <v>0</v>
      </c>
      <c r="U65" s="59">
        <f t="shared" si="184"/>
        <v>0</v>
      </c>
      <c r="V65" s="59">
        <f t="shared" si="184"/>
        <v>0</v>
      </c>
      <c r="W65" s="59">
        <f t="shared" si="184"/>
        <v>0</v>
      </c>
      <c r="X65" s="59">
        <f t="shared" si="184"/>
        <v>0</v>
      </c>
      <c r="Y65" s="59">
        <f t="shared" si="184"/>
        <v>0</v>
      </c>
      <c r="Z65" s="59">
        <f t="shared" si="184"/>
        <v>0</v>
      </c>
      <c r="AA65" s="59">
        <f t="shared" si="184"/>
        <v>0</v>
      </c>
      <c r="AB65" s="59">
        <f t="shared" si="184"/>
        <v>0</v>
      </c>
      <c r="AC65" s="59">
        <f t="shared" ref="AC65:BH65" si="185">+AC63/(1+$C$68)^AC4</f>
        <v>105911313.67317353</v>
      </c>
      <c r="AD65" s="59">
        <f t="shared" si="185"/>
        <v>0</v>
      </c>
      <c r="AE65" s="59">
        <f t="shared" si="185"/>
        <v>0</v>
      </c>
      <c r="AF65" s="59">
        <f t="shared" si="185"/>
        <v>0</v>
      </c>
      <c r="AG65" s="59">
        <f t="shared" si="185"/>
        <v>0</v>
      </c>
      <c r="AH65" s="59">
        <f t="shared" si="185"/>
        <v>0</v>
      </c>
      <c r="AI65" s="59">
        <f t="shared" si="185"/>
        <v>0</v>
      </c>
      <c r="AJ65" s="59">
        <f t="shared" si="185"/>
        <v>0</v>
      </c>
      <c r="AK65" s="59">
        <f t="shared" si="185"/>
        <v>0</v>
      </c>
      <c r="AL65" s="59">
        <f t="shared" si="185"/>
        <v>0</v>
      </c>
      <c r="AM65" s="59">
        <f t="shared" si="185"/>
        <v>0</v>
      </c>
      <c r="AN65" s="59">
        <f t="shared" si="185"/>
        <v>0</v>
      </c>
      <c r="AO65" s="59">
        <f t="shared" si="185"/>
        <v>0</v>
      </c>
      <c r="AP65" s="59">
        <f t="shared" si="185"/>
        <v>179912886.38709781</v>
      </c>
      <c r="AQ65" s="59">
        <f t="shared" si="185"/>
        <v>0</v>
      </c>
      <c r="AR65" s="59">
        <f t="shared" si="185"/>
        <v>0</v>
      </c>
      <c r="AS65" s="59">
        <f t="shared" si="185"/>
        <v>0</v>
      </c>
      <c r="AT65" s="59">
        <f t="shared" si="185"/>
        <v>0</v>
      </c>
      <c r="AU65" s="59">
        <f t="shared" si="185"/>
        <v>0</v>
      </c>
      <c r="AV65" s="59">
        <f t="shared" si="185"/>
        <v>0</v>
      </c>
      <c r="AW65" s="59">
        <f t="shared" si="185"/>
        <v>0</v>
      </c>
      <c r="AX65" s="59">
        <f t="shared" si="185"/>
        <v>0</v>
      </c>
      <c r="AY65" s="59">
        <f t="shared" si="185"/>
        <v>0</v>
      </c>
      <c r="AZ65" s="59">
        <f t="shared" si="185"/>
        <v>0</v>
      </c>
      <c r="BA65" s="59">
        <f t="shared" si="185"/>
        <v>0</v>
      </c>
      <c r="BB65" s="59">
        <f t="shared" si="185"/>
        <v>0</v>
      </c>
      <c r="BC65" s="59">
        <f t="shared" si="185"/>
        <v>249580762.46408853</v>
      </c>
      <c r="BD65" s="59">
        <f t="shared" si="185"/>
        <v>0</v>
      </c>
      <c r="BE65" s="59">
        <f t="shared" si="185"/>
        <v>0</v>
      </c>
      <c r="BF65" s="59">
        <f t="shared" si="185"/>
        <v>0</v>
      </c>
      <c r="BG65" s="59">
        <f t="shared" si="185"/>
        <v>0</v>
      </c>
      <c r="BH65" s="59">
        <f t="shared" si="185"/>
        <v>0</v>
      </c>
      <c r="BI65" s="59">
        <f t="shared" ref="BI65:CP65" si="186">+BI63/(1+$C$68)^BI4</f>
        <v>0</v>
      </c>
      <c r="BJ65" s="59">
        <f t="shared" si="186"/>
        <v>0</v>
      </c>
      <c r="BK65" s="59">
        <f t="shared" si="186"/>
        <v>0</v>
      </c>
      <c r="BL65" s="59">
        <f t="shared" si="186"/>
        <v>0</v>
      </c>
      <c r="BM65" s="59">
        <f t="shared" si="186"/>
        <v>0</v>
      </c>
      <c r="BN65" s="59">
        <f t="shared" si="186"/>
        <v>0</v>
      </c>
      <c r="BO65" s="59">
        <f t="shared" si="186"/>
        <v>0</v>
      </c>
      <c r="BP65" s="59">
        <f t="shared" si="186"/>
        <v>311448744.54761147</v>
      </c>
      <c r="BQ65" s="59">
        <f t="shared" si="186"/>
        <v>0</v>
      </c>
      <c r="BR65" s="59">
        <f t="shared" si="186"/>
        <v>0</v>
      </c>
      <c r="BS65" s="59">
        <f t="shared" si="186"/>
        <v>0</v>
      </c>
      <c r="BT65" s="59">
        <f t="shared" si="186"/>
        <v>0</v>
      </c>
      <c r="BU65" s="59">
        <f t="shared" si="186"/>
        <v>0</v>
      </c>
      <c r="BV65" s="59">
        <f t="shared" si="186"/>
        <v>0</v>
      </c>
      <c r="BW65" s="59">
        <f t="shared" si="186"/>
        <v>0</v>
      </c>
      <c r="BX65" s="59">
        <f t="shared" si="186"/>
        <v>0</v>
      </c>
      <c r="BY65" s="59">
        <f t="shared" si="186"/>
        <v>0</v>
      </c>
      <c r="BZ65" s="59">
        <f t="shared" si="186"/>
        <v>0</v>
      </c>
      <c r="CA65" s="59">
        <f t="shared" si="186"/>
        <v>0</v>
      </c>
      <c r="CB65" s="59">
        <f t="shared" si="186"/>
        <v>0</v>
      </c>
      <c r="CC65" s="59">
        <f t="shared" si="186"/>
        <v>381238932.52023536</v>
      </c>
      <c r="CD65" s="59">
        <f t="shared" si="186"/>
        <v>0</v>
      </c>
      <c r="CE65" s="59">
        <f t="shared" si="186"/>
        <v>0</v>
      </c>
      <c r="CF65" s="59">
        <f t="shared" si="186"/>
        <v>0</v>
      </c>
      <c r="CG65" s="59">
        <f t="shared" si="186"/>
        <v>0</v>
      </c>
      <c r="CH65" s="59">
        <f t="shared" si="186"/>
        <v>0</v>
      </c>
      <c r="CI65" s="59">
        <f t="shared" si="186"/>
        <v>0</v>
      </c>
      <c r="CJ65" s="59">
        <f t="shared" si="186"/>
        <v>0</v>
      </c>
      <c r="CK65" s="59">
        <f t="shared" si="186"/>
        <v>0</v>
      </c>
      <c r="CL65" s="59">
        <f t="shared" si="186"/>
        <v>0</v>
      </c>
      <c r="CM65" s="59">
        <f t="shared" si="186"/>
        <v>0</v>
      </c>
      <c r="CN65" s="59">
        <f t="shared" si="186"/>
        <v>0</v>
      </c>
      <c r="CO65" s="59">
        <f t="shared" si="186"/>
        <v>0</v>
      </c>
      <c r="CP65" s="59">
        <f t="shared" si="186"/>
        <v>430035473.46267158</v>
      </c>
      <c r="CR65" s="58">
        <f>+C65</f>
        <v>-72459397.918267772</v>
      </c>
      <c r="CS65" s="58">
        <f>+P65</f>
        <v>20925846.485578757</v>
      </c>
      <c r="CT65" s="58">
        <f>+AC65</f>
        <v>105911313.67317353</v>
      </c>
      <c r="CU65" s="58">
        <f>+AP65</f>
        <v>179912886.38709781</v>
      </c>
      <c r="CV65" s="58">
        <f>+BC65</f>
        <v>249580762.46408853</v>
      </c>
      <c r="CW65" s="58">
        <f>+BP65</f>
        <v>311448744.54761147</v>
      </c>
      <c r="CX65" s="58">
        <f>+CC65</f>
        <v>381238932.52023536</v>
      </c>
      <c r="CY65" s="58">
        <f>+CP65</f>
        <v>430035473.46267158</v>
      </c>
    </row>
    <row r="66" spans="2:103" ht="15.6" x14ac:dyDescent="0.3">
      <c r="B66" s="72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</row>
    <row r="67" spans="2:103" x14ac:dyDescent="0.25">
      <c r="B67" s="2" t="s">
        <v>925</v>
      </c>
      <c r="C67" s="2" t="s">
        <v>926</v>
      </c>
      <c r="P67" s="59" t="b">
        <f>+IF(C68&lt;C69,TRUE)</f>
        <v>1</v>
      </c>
    </row>
    <row r="68" spans="2:103" ht="15.6" x14ac:dyDescent="0.3">
      <c r="B68" s="72" t="s">
        <v>897</v>
      </c>
      <c r="C68" s="68">
        <v>0.18</v>
      </c>
      <c r="P68" s="59">
        <v>1</v>
      </c>
    </row>
    <row r="69" spans="2:103" ht="15.6" x14ac:dyDescent="0.3">
      <c r="B69" s="72" t="s">
        <v>92</v>
      </c>
      <c r="C69" s="31">
        <f>+IRR(CR65:CY65,C68)+C68</f>
        <v>1.3555575316442423</v>
      </c>
    </row>
    <row r="70" spans="2:103" ht="15.6" x14ac:dyDescent="0.3">
      <c r="B70" s="72" t="s">
        <v>93</v>
      </c>
      <c r="C70" s="66">
        <f>+C65+P65+AC65+AP65+BC65+BP65+CC65+CP65</f>
        <v>1606594561.6221893</v>
      </c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</row>
    <row r="71" spans="2:103" ht="15.6" x14ac:dyDescent="0.3">
      <c r="B71" s="72" t="s">
        <v>0</v>
      </c>
      <c r="C71" s="69" t="e">
        <f>+P57/Balance!D37</f>
        <v>#DIV/0!</v>
      </c>
      <c r="P71" s="69"/>
      <c r="CC71" s="69"/>
    </row>
    <row r="72" spans="2:103" ht="15.6" x14ac:dyDescent="0.3">
      <c r="B72" s="72" t="s">
        <v>1</v>
      </c>
      <c r="C72" s="69" t="e">
        <f>+P57/Balance!G34</f>
        <v>#DIV/0!</v>
      </c>
      <c r="P72" s="69"/>
      <c r="CC72" s="69"/>
      <c r="CP72" s="69"/>
    </row>
    <row r="73" spans="2:103" ht="15.6" x14ac:dyDescent="0.3">
      <c r="B73" s="72" t="s">
        <v>877</v>
      </c>
      <c r="C73" s="77" t="e">
        <f>+Betas!F50+(1-0.25)*Balance!J34*Betas!F50</f>
        <v>#DIV/0!</v>
      </c>
      <c r="P73" s="78"/>
      <c r="AP73" s="79" t="s">
        <v>876</v>
      </c>
      <c r="CC73" s="78"/>
      <c r="CP73" s="78"/>
    </row>
    <row r="74" spans="2:103" ht="15.6" x14ac:dyDescent="0.3">
      <c r="B74" s="72"/>
    </row>
    <row r="75" spans="2:103" ht="15.6" x14ac:dyDescent="0.3">
      <c r="B75" s="72"/>
    </row>
    <row r="76" spans="2:103" ht="15.6" x14ac:dyDescent="0.3">
      <c r="B76" s="79" t="s">
        <v>11</v>
      </c>
    </row>
    <row r="78" spans="2:103" x14ac:dyDescent="0.25">
      <c r="B78" s="59"/>
    </row>
    <row r="79" spans="2:103" x14ac:dyDescent="0.25">
      <c r="B79" s="2" t="s">
        <v>922</v>
      </c>
      <c r="C79" s="2" t="s">
        <v>923</v>
      </c>
    </row>
    <row r="80" spans="2:103" x14ac:dyDescent="0.25">
      <c r="B80" s="112" t="s">
        <v>13</v>
      </c>
      <c r="C80" s="111"/>
    </row>
    <row r="81" spans="2:16" x14ac:dyDescent="0.25">
      <c r="B81" s="113" t="s">
        <v>80</v>
      </c>
      <c r="C81" s="111"/>
    </row>
    <row r="82" spans="2:16" x14ac:dyDescent="0.25">
      <c r="B82" s="113" t="s">
        <v>964</v>
      </c>
      <c r="C82" s="111"/>
    </row>
    <row r="83" spans="2:16" x14ac:dyDescent="0.25">
      <c r="B83" s="113" t="s">
        <v>965</v>
      </c>
      <c r="C83" s="111"/>
    </row>
    <row r="84" spans="2:16" x14ac:dyDescent="0.25">
      <c r="B84" s="113" t="s">
        <v>966</v>
      </c>
      <c r="C84" s="111"/>
    </row>
    <row r="85" spans="2:16" x14ac:dyDescent="0.25">
      <c r="B85" s="113" t="s">
        <v>967</v>
      </c>
      <c r="C85" s="111"/>
    </row>
    <row r="86" spans="2:16" x14ac:dyDescent="0.25">
      <c r="B86" s="113" t="s">
        <v>968</v>
      </c>
      <c r="C86" s="111"/>
    </row>
    <row r="87" spans="2:16" x14ac:dyDescent="0.25">
      <c r="B87" s="113" t="s">
        <v>79</v>
      </c>
      <c r="C87" s="111"/>
    </row>
    <row r="88" spans="2:16" x14ac:dyDescent="0.25">
      <c r="B88" s="113"/>
      <c r="C88" s="111"/>
    </row>
    <row r="89" spans="2:16" x14ac:dyDescent="0.25">
      <c r="B89" s="112" t="s">
        <v>81</v>
      </c>
      <c r="C89" s="111"/>
    </row>
    <row r="90" spans="2:16" x14ac:dyDescent="0.25">
      <c r="B90" s="113" t="s">
        <v>82</v>
      </c>
      <c r="C90" s="111"/>
    </row>
    <row r="91" spans="2:16" x14ac:dyDescent="0.25">
      <c r="B91" s="113" t="s">
        <v>83</v>
      </c>
      <c r="C91" s="111"/>
    </row>
    <row r="92" spans="2:16" x14ac:dyDescent="0.25">
      <c r="B92" s="113" t="s">
        <v>84</v>
      </c>
      <c r="C92" s="111"/>
    </row>
    <row r="93" spans="2:16" x14ac:dyDescent="0.25">
      <c r="B93" s="113" t="s">
        <v>87</v>
      </c>
      <c r="C93" s="111"/>
    </row>
    <row r="94" spans="2:16" x14ac:dyDescent="0.25">
      <c r="B94" s="113" t="s">
        <v>921</v>
      </c>
      <c r="C94" s="111"/>
      <c r="P94" s="80">
        <v>0.1</v>
      </c>
    </row>
    <row r="95" spans="2:16" x14ac:dyDescent="0.25">
      <c r="B95" s="113"/>
      <c r="C95" s="111"/>
    </row>
    <row r="96" spans="2:16" x14ac:dyDescent="0.25">
      <c r="B96" s="112" t="s">
        <v>12</v>
      </c>
      <c r="C96" s="111"/>
    </row>
    <row r="97" spans="2:3" x14ac:dyDescent="0.25">
      <c r="B97" s="113" t="s">
        <v>908</v>
      </c>
      <c r="C97" s="111">
        <f>+AVERAGE(D7:O7)+SUM(D40:G40)</f>
        <v>72459397.918267772</v>
      </c>
    </row>
    <row r="98" spans="2:3" x14ac:dyDescent="0.25">
      <c r="B98" s="113"/>
      <c r="C98" s="111"/>
    </row>
    <row r="99" spans="2:3" x14ac:dyDescent="0.25">
      <c r="B99" s="114" t="s">
        <v>85</v>
      </c>
      <c r="C99" s="114">
        <f>SUM(C81:C97)</f>
        <v>72459397.918267772</v>
      </c>
    </row>
    <row r="100" spans="2:3" x14ac:dyDescent="0.25">
      <c r="B100" s="59"/>
      <c r="C100" s="59"/>
    </row>
    <row r="101" spans="2:3" x14ac:dyDescent="0.25">
      <c r="B101" s="59"/>
      <c r="C101" s="5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W51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9" sqref="B19"/>
    </sheetView>
  </sheetViews>
  <sheetFormatPr defaultColWidth="11.44140625" defaultRowHeight="13.2" outlineLevelCol="1" x14ac:dyDescent="0.25"/>
  <cols>
    <col min="1" max="1" width="3.88671875" style="29" customWidth="1"/>
    <col min="2" max="2" width="31.109375" style="29" customWidth="1"/>
    <col min="3" max="3" width="13" style="29" customWidth="1"/>
    <col min="4" max="12" width="12" style="29" customWidth="1" outlineLevel="1"/>
    <col min="13" max="14" width="13" style="29" customWidth="1" outlineLevel="1"/>
    <col min="15" max="15" width="12" style="29" customWidth="1" outlineLevel="1"/>
    <col min="16" max="16" width="15.44140625" style="44" customWidth="1"/>
    <col min="17" max="28" width="13" style="29" customWidth="1" outlineLevel="1"/>
    <col min="29" max="29" width="15.44140625" style="44" customWidth="1"/>
    <col min="30" max="41" width="13" style="29" customWidth="1" outlineLevel="1"/>
    <col min="42" max="42" width="15.44140625" style="44" customWidth="1"/>
    <col min="43" max="51" width="12" style="29" customWidth="1" outlineLevel="1"/>
    <col min="52" max="53" width="13" style="29" customWidth="1" outlineLevel="1"/>
    <col min="54" max="54" width="12" style="29" customWidth="1" outlineLevel="1"/>
    <col min="55" max="55" width="15.44140625" style="44" customWidth="1"/>
    <col min="56" max="67" width="14.33203125" style="29" customWidth="1" outlineLevel="1"/>
    <col min="68" max="68" width="15.44140625" style="44" customWidth="1"/>
    <col min="69" max="80" width="14.33203125" style="29" customWidth="1" outlineLevel="1"/>
    <col min="81" max="81" width="15.44140625" style="44" customWidth="1"/>
    <col min="82" max="93" width="14.33203125" style="29" customWidth="1" outlineLevel="1"/>
    <col min="94" max="94" width="15.44140625" style="44" customWidth="1"/>
    <col min="95" max="16384" width="11.44140625" style="29"/>
  </cols>
  <sheetData>
    <row r="2" spans="1:101" x14ac:dyDescent="0.25">
      <c r="C2" s="32" t="s">
        <v>39</v>
      </c>
      <c r="D2" s="32" t="s">
        <v>27</v>
      </c>
      <c r="E2" s="32" t="s">
        <v>28</v>
      </c>
      <c r="F2" s="32" t="s">
        <v>29</v>
      </c>
      <c r="G2" s="32" t="s">
        <v>30</v>
      </c>
      <c r="H2" s="32" t="s">
        <v>31</v>
      </c>
      <c r="I2" s="32" t="s">
        <v>32</v>
      </c>
      <c r="J2" s="32" t="s">
        <v>33</v>
      </c>
      <c r="K2" s="32" t="s">
        <v>34</v>
      </c>
      <c r="L2" s="32" t="s">
        <v>35</v>
      </c>
      <c r="M2" s="32" t="s">
        <v>36</v>
      </c>
      <c r="N2" s="32" t="s">
        <v>37</v>
      </c>
      <c r="O2" s="32" t="s">
        <v>38</v>
      </c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</row>
    <row r="3" spans="1:101" s="27" customFormat="1" x14ac:dyDescent="0.25">
      <c r="B3" s="45"/>
      <c r="C3" s="46">
        <v>0</v>
      </c>
      <c r="D3" s="46">
        <v>1</v>
      </c>
      <c r="E3" s="46">
        <v>2</v>
      </c>
      <c r="F3" s="46">
        <v>3</v>
      </c>
      <c r="G3" s="46">
        <v>4</v>
      </c>
      <c r="H3" s="46">
        <v>5</v>
      </c>
      <c r="I3" s="46">
        <v>6</v>
      </c>
      <c r="J3" s="46">
        <v>7</v>
      </c>
      <c r="K3" s="46">
        <v>8</v>
      </c>
      <c r="L3" s="46">
        <v>9</v>
      </c>
      <c r="M3" s="46">
        <v>10</v>
      </c>
      <c r="N3" s="46">
        <v>11</v>
      </c>
      <c r="O3" s="46">
        <v>12</v>
      </c>
      <c r="P3" s="56">
        <v>1</v>
      </c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56">
        <v>2</v>
      </c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56">
        <v>3</v>
      </c>
      <c r="AQ3" s="47">
        <v>1</v>
      </c>
      <c r="AR3" s="47">
        <v>2</v>
      </c>
      <c r="AS3" s="47">
        <v>3</v>
      </c>
      <c r="AT3" s="47">
        <v>4</v>
      </c>
      <c r="AU3" s="47">
        <v>5</v>
      </c>
      <c r="AV3" s="47">
        <v>6</v>
      </c>
      <c r="AW3" s="47">
        <v>7</v>
      </c>
      <c r="AX3" s="47">
        <v>8</v>
      </c>
      <c r="AY3" s="47">
        <v>9</v>
      </c>
      <c r="AZ3" s="47">
        <v>10</v>
      </c>
      <c r="BA3" s="47">
        <v>11</v>
      </c>
      <c r="BB3" s="47">
        <v>12</v>
      </c>
      <c r="BC3" s="56">
        <v>4</v>
      </c>
      <c r="BD3" s="47">
        <v>1</v>
      </c>
      <c r="BE3" s="47">
        <v>2</v>
      </c>
      <c r="BF3" s="47">
        <v>3</v>
      </c>
      <c r="BG3" s="47">
        <v>4</v>
      </c>
      <c r="BH3" s="47">
        <v>5</v>
      </c>
      <c r="BI3" s="47">
        <v>6</v>
      </c>
      <c r="BJ3" s="47">
        <v>7</v>
      </c>
      <c r="BK3" s="47">
        <v>8</v>
      </c>
      <c r="BL3" s="47">
        <v>9</v>
      </c>
      <c r="BM3" s="47">
        <v>10</v>
      </c>
      <c r="BN3" s="47">
        <v>11</v>
      </c>
      <c r="BO3" s="47">
        <v>12</v>
      </c>
      <c r="BP3" s="56">
        <v>5</v>
      </c>
      <c r="BQ3" s="47">
        <v>1</v>
      </c>
      <c r="BR3" s="47">
        <v>2</v>
      </c>
      <c r="BS3" s="47">
        <v>3</v>
      </c>
      <c r="BT3" s="47">
        <v>4</v>
      </c>
      <c r="BU3" s="47">
        <v>5</v>
      </c>
      <c r="BV3" s="47">
        <v>6</v>
      </c>
      <c r="BW3" s="47">
        <v>7</v>
      </c>
      <c r="BX3" s="47">
        <v>8</v>
      </c>
      <c r="BY3" s="47">
        <v>9</v>
      </c>
      <c r="BZ3" s="47">
        <v>10</v>
      </c>
      <c r="CA3" s="47">
        <v>11</v>
      </c>
      <c r="CB3" s="47">
        <v>12</v>
      </c>
      <c r="CC3" s="56">
        <v>6</v>
      </c>
      <c r="CD3" s="47">
        <v>1</v>
      </c>
      <c r="CE3" s="47">
        <v>2</v>
      </c>
      <c r="CF3" s="47">
        <v>3</v>
      </c>
      <c r="CG3" s="47">
        <v>4</v>
      </c>
      <c r="CH3" s="47">
        <v>5</v>
      </c>
      <c r="CI3" s="47">
        <v>6</v>
      </c>
      <c r="CJ3" s="47">
        <v>7</v>
      </c>
      <c r="CK3" s="47">
        <v>8</v>
      </c>
      <c r="CL3" s="47">
        <v>9</v>
      </c>
      <c r="CM3" s="47">
        <v>10</v>
      </c>
      <c r="CN3" s="47">
        <v>11</v>
      </c>
      <c r="CO3" s="47">
        <v>12</v>
      </c>
      <c r="CP3" s="56">
        <v>7</v>
      </c>
    </row>
    <row r="4" spans="1:101" s="27" customFormat="1" ht="15.6" x14ac:dyDescent="0.3">
      <c r="B4" s="48" t="s">
        <v>4</v>
      </c>
      <c r="D4" s="27">
        <f>+D23+D42</f>
        <v>35958000</v>
      </c>
      <c r="E4" s="27">
        <f t="shared" ref="E4:BO4" si="0">+E23+E42</f>
        <v>11986000</v>
      </c>
      <c r="F4" s="27">
        <f t="shared" si="0"/>
        <v>35958000</v>
      </c>
      <c r="G4" s="27">
        <f t="shared" si="0"/>
        <v>71916000</v>
      </c>
      <c r="H4" s="27">
        <f t="shared" si="0"/>
        <v>71916000</v>
      </c>
      <c r="I4" s="27">
        <f t="shared" si="0"/>
        <v>71916000</v>
      </c>
      <c r="J4" s="27">
        <f t="shared" si="0"/>
        <v>35958000</v>
      </c>
      <c r="K4" s="27">
        <f t="shared" si="0"/>
        <v>71916000</v>
      </c>
      <c r="L4" s="27">
        <f t="shared" si="0"/>
        <v>11986000</v>
      </c>
      <c r="M4" s="27">
        <f t="shared" si="0"/>
        <v>71916000</v>
      </c>
      <c r="N4" s="27">
        <f t="shared" si="0"/>
        <v>71916000</v>
      </c>
      <c r="O4" s="27">
        <f t="shared" si="0"/>
        <v>23972000</v>
      </c>
      <c r="P4" s="49">
        <f>+SUM(D4:O4)</f>
        <v>587314000</v>
      </c>
      <c r="Q4" s="27">
        <f t="shared" si="0"/>
        <v>40402408.800000004</v>
      </c>
      <c r="R4" s="27">
        <f t="shared" si="0"/>
        <v>13467469.600000003</v>
      </c>
      <c r="S4" s="27">
        <f t="shared" si="0"/>
        <v>40402408.800000004</v>
      </c>
      <c r="T4" s="27">
        <f t="shared" si="0"/>
        <v>80804817.600000009</v>
      </c>
      <c r="U4" s="27">
        <f t="shared" si="0"/>
        <v>80804817.600000009</v>
      </c>
      <c r="V4" s="27">
        <f t="shared" si="0"/>
        <v>80804817.600000009</v>
      </c>
      <c r="W4" s="27">
        <f t="shared" si="0"/>
        <v>40402408.800000004</v>
      </c>
      <c r="X4" s="27">
        <f t="shared" si="0"/>
        <v>80804817.600000009</v>
      </c>
      <c r="Y4" s="27">
        <f t="shared" si="0"/>
        <v>13467469.600000003</v>
      </c>
      <c r="Z4" s="27">
        <f t="shared" si="0"/>
        <v>80804817.600000009</v>
      </c>
      <c r="AA4" s="27">
        <f t="shared" si="0"/>
        <v>80804817.600000009</v>
      </c>
      <c r="AB4" s="27">
        <f t="shared" si="0"/>
        <v>26934939.200000007</v>
      </c>
      <c r="AC4" s="49">
        <f>+SUM(Q4:AB4)</f>
        <v>659906010.40000021</v>
      </c>
      <c r="AD4" s="27">
        <f t="shared" si="0"/>
        <v>46252677.594240017</v>
      </c>
      <c r="AE4" s="27">
        <f t="shared" si="0"/>
        <v>15417559.198080007</v>
      </c>
      <c r="AF4" s="27">
        <f t="shared" si="0"/>
        <v>46252677.594240017</v>
      </c>
      <c r="AG4" s="27">
        <f t="shared" si="0"/>
        <v>92505355.188480034</v>
      </c>
      <c r="AH4" s="27">
        <f t="shared" si="0"/>
        <v>92505355.188480034</v>
      </c>
      <c r="AI4" s="27">
        <f t="shared" si="0"/>
        <v>92505355.188480034</v>
      </c>
      <c r="AJ4" s="27">
        <f t="shared" si="0"/>
        <v>46252677.594240017</v>
      </c>
      <c r="AK4" s="27">
        <f t="shared" si="0"/>
        <v>92505355.188480034</v>
      </c>
      <c r="AL4" s="27">
        <f t="shared" si="0"/>
        <v>15417559.198080007</v>
      </c>
      <c r="AM4" s="27">
        <f t="shared" si="0"/>
        <v>92505355.188480034</v>
      </c>
      <c r="AN4" s="27">
        <f t="shared" si="0"/>
        <v>92505355.188480034</v>
      </c>
      <c r="AO4" s="27">
        <f t="shared" si="0"/>
        <v>30835118.396160014</v>
      </c>
      <c r="AP4" s="49">
        <f>+SUM(AD4:AO4)</f>
        <v>755460400.70592022</v>
      </c>
      <c r="AQ4" s="27">
        <f t="shared" si="0"/>
        <v>54470558.221136667</v>
      </c>
      <c r="AR4" s="27">
        <f t="shared" si="0"/>
        <v>18156852.740378886</v>
      </c>
      <c r="AS4" s="27">
        <f t="shared" si="0"/>
        <v>54470558.221136667</v>
      </c>
      <c r="AT4" s="27">
        <f t="shared" si="0"/>
        <v>108941116.44227333</v>
      </c>
      <c r="AU4" s="27">
        <f t="shared" si="0"/>
        <v>108941116.44227333</v>
      </c>
      <c r="AV4" s="27">
        <f t="shared" si="0"/>
        <v>108941116.44227333</v>
      </c>
      <c r="AW4" s="27">
        <f t="shared" si="0"/>
        <v>54470558.221136667</v>
      </c>
      <c r="AX4" s="27">
        <f t="shared" si="0"/>
        <v>108941116.44227333</v>
      </c>
      <c r="AY4" s="27">
        <f t="shared" si="0"/>
        <v>18156852.740378886</v>
      </c>
      <c r="AZ4" s="27">
        <f t="shared" si="0"/>
        <v>108941116.44227333</v>
      </c>
      <c r="BA4" s="27">
        <f t="shared" si="0"/>
        <v>108941116.44227333</v>
      </c>
      <c r="BB4" s="27">
        <f t="shared" si="0"/>
        <v>36313705.480757773</v>
      </c>
      <c r="BC4" s="49">
        <f>+SUM(AQ4:BB4)</f>
        <v>889685784.27856565</v>
      </c>
      <c r="BD4" s="27">
        <f t="shared" si="0"/>
        <v>62883105.33931458</v>
      </c>
      <c r="BE4" s="27">
        <f t="shared" si="0"/>
        <v>20961035.113104865</v>
      </c>
      <c r="BF4" s="27">
        <f t="shared" si="0"/>
        <v>62883105.33931458</v>
      </c>
      <c r="BG4" s="27">
        <f t="shared" si="0"/>
        <v>125766210.67862916</v>
      </c>
      <c r="BH4" s="27">
        <f t="shared" si="0"/>
        <v>125766210.67862916</v>
      </c>
      <c r="BI4" s="27">
        <f t="shared" si="0"/>
        <v>125766210.67862916</v>
      </c>
      <c r="BJ4" s="27">
        <f t="shared" si="0"/>
        <v>62883105.33931458</v>
      </c>
      <c r="BK4" s="27">
        <f t="shared" si="0"/>
        <v>125766210.67862916</v>
      </c>
      <c r="BL4" s="27">
        <f t="shared" si="0"/>
        <v>20961035.113104865</v>
      </c>
      <c r="BM4" s="27">
        <f t="shared" si="0"/>
        <v>125766210.67862916</v>
      </c>
      <c r="BN4" s="27">
        <f t="shared" si="0"/>
        <v>125766210.67862916</v>
      </c>
      <c r="BO4" s="27">
        <f t="shared" si="0"/>
        <v>41922070.22620973</v>
      </c>
      <c r="BP4" s="49">
        <f>+SUM(BD4:BO4)</f>
        <v>1027090720.5421382</v>
      </c>
      <c r="BQ4" s="27">
        <f t="shared" ref="BQ4:CB4" si="1">+BQ23+BQ42</f>
        <v>73321700.825640798</v>
      </c>
      <c r="BR4" s="27">
        <f t="shared" si="1"/>
        <v>24440566.941880271</v>
      </c>
      <c r="BS4" s="27">
        <f t="shared" si="1"/>
        <v>73321700.825640798</v>
      </c>
      <c r="BT4" s="27">
        <f t="shared" si="1"/>
        <v>146643401.6512816</v>
      </c>
      <c r="BU4" s="27">
        <f t="shared" si="1"/>
        <v>146643401.6512816</v>
      </c>
      <c r="BV4" s="27">
        <f t="shared" si="1"/>
        <v>146643401.6512816</v>
      </c>
      <c r="BW4" s="27">
        <f t="shared" si="1"/>
        <v>73321700.825640798</v>
      </c>
      <c r="BX4" s="27">
        <f t="shared" si="1"/>
        <v>146643401.6512816</v>
      </c>
      <c r="BY4" s="27">
        <f t="shared" si="1"/>
        <v>24440566.941880271</v>
      </c>
      <c r="BZ4" s="27">
        <f t="shared" si="1"/>
        <v>146643401.6512816</v>
      </c>
      <c r="CA4" s="27">
        <f t="shared" si="1"/>
        <v>146643401.6512816</v>
      </c>
      <c r="CB4" s="27">
        <f t="shared" si="1"/>
        <v>48881133.883760542</v>
      </c>
      <c r="CC4" s="49">
        <f>+SUM(BQ4:CB4)</f>
        <v>1197587780.152133</v>
      </c>
      <c r="CD4" s="27">
        <f t="shared" ref="CD4:CO4" si="2">+CD23+CD42</f>
        <v>85493103.162697196</v>
      </c>
      <c r="CE4" s="27">
        <f t="shared" si="2"/>
        <v>28497701.054232411</v>
      </c>
      <c r="CF4" s="27">
        <f t="shared" si="2"/>
        <v>85493103.162697196</v>
      </c>
      <c r="CG4" s="27">
        <f t="shared" si="2"/>
        <v>170986206.32539439</v>
      </c>
      <c r="CH4" s="27">
        <f t="shared" si="2"/>
        <v>170986206.32539439</v>
      </c>
      <c r="CI4" s="27">
        <f t="shared" si="2"/>
        <v>170986206.32539439</v>
      </c>
      <c r="CJ4" s="27">
        <f t="shared" si="2"/>
        <v>85493103.162697196</v>
      </c>
      <c r="CK4" s="27">
        <f t="shared" si="2"/>
        <v>170986206.32539439</v>
      </c>
      <c r="CL4" s="27">
        <f t="shared" si="2"/>
        <v>28497701.054232411</v>
      </c>
      <c r="CM4" s="27">
        <f t="shared" si="2"/>
        <v>170986206.32539439</v>
      </c>
      <c r="CN4" s="27">
        <f t="shared" si="2"/>
        <v>170986206.32539439</v>
      </c>
      <c r="CO4" s="27">
        <f t="shared" si="2"/>
        <v>56995402.108464822</v>
      </c>
      <c r="CP4" s="49">
        <f>+SUM(CD4:CO4)</f>
        <v>1396387351.6573875</v>
      </c>
      <c r="CT4" s="27" t="s">
        <v>929</v>
      </c>
      <c r="CU4" s="27" t="s">
        <v>930</v>
      </c>
    </row>
    <row r="5" spans="1:101" s="27" customFormat="1" ht="15.6" x14ac:dyDescent="0.3">
      <c r="B5" s="48"/>
      <c r="P5" s="49"/>
      <c r="AC5" s="49"/>
      <c r="AP5" s="49"/>
      <c r="AQ5" s="50"/>
      <c r="BC5" s="49"/>
      <c r="BD5" s="50"/>
      <c r="BP5" s="49"/>
      <c r="BQ5" s="50"/>
      <c r="CC5" s="49"/>
      <c r="CD5" s="50"/>
      <c r="CP5" s="49"/>
      <c r="CS5" s="27" t="s">
        <v>927</v>
      </c>
      <c r="CT5" s="27">
        <v>50000</v>
      </c>
      <c r="CU5" s="27">
        <v>45</v>
      </c>
      <c r="CV5" s="27">
        <f>+CT5/CU5</f>
        <v>1111.1111111111111</v>
      </c>
      <c r="CW5" s="27" t="s">
        <v>931</v>
      </c>
    </row>
    <row r="6" spans="1:101" s="27" customFormat="1" x14ac:dyDescent="0.25">
      <c r="B6" s="51"/>
      <c r="D6" s="102" t="s">
        <v>934</v>
      </c>
      <c r="P6" s="56">
        <v>1</v>
      </c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56">
        <v>2</v>
      </c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56">
        <v>3</v>
      </c>
      <c r="AQ6" s="47">
        <v>1</v>
      </c>
      <c r="AR6" s="47">
        <v>2</v>
      </c>
      <c r="AS6" s="47">
        <v>3</v>
      </c>
      <c r="AT6" s="47">
        <v>4</v>
      </c>
      <c r="AU6" s="47">
        <v>5</v>
      </c>
      <c r="AV6" s="47">
        <v>6</v>
      </c>
      <c r="AW6" s="47">
        <v>7</v>
      </c>
      <c r="AX6" s="47">
        <v>8</v>
      </c>
      <c r="AY6" s="47">
        <v>9</v>
      </c>
      <c r="AZ6" s="47">
        <v>10</v>
      </c>
      <c r="BA6" s="47">
        <v>11</v>
      </c>
      <c r="BB6" s="47">
        <v>12</v>
      </c>
      <c r="BC6" s="56">
        <v>4</v>
      </c>
      <c r="BD6" s="47">
        <v>1</v>
      </c>
      <c r="BE6" s="47">
        <v>2</v>
      </c>
      <c r="BF6" s="47">
        <v>3</v>
      </c>
      <c r="BG6" s="47">
        <v>4</v>
      </c>
      <c r="BH6" s="47">
        <v>5</v>
      </c>
      <c r="BI6" s="47">
        <v>6</v>
      </c>
      <c r="BJ6" s="47">
        <v>7</v>
      </c>
      <c r="BK6" s="47">
        <v>8</v>
      </c>
      <c r="BL6" s="47">
        <v>9</v>
      </c>
      <c r="BM6" s="47">
        <v>10</v>
      </c>
      <c r="BN6" s="47">
        <v>11</v>
      </c>
      <c r="BO6" s="47">
        <v>12</v>
      </c>
      <c r="BP6" s="56">
        <v>5</v>
      </c>
      <c r="BQ6" s="47">
        <v>1</v>
      </c>
      <c r="BR6" s="47">
        <v>2</v>
      </c>
      <c r="BS6" s="47">
        <v>3</v>
      </c>
      <c r="BT6" s="47">
        <v>4</v>
      </c>
      <c r="BU6" s="47">
        <v>5</v>
      </c>
      <c r="BV6" s="47">
        <v>6</v>
      </c>
      <c r="BW6" s="47">
        <v>7</v>
      </c>
      <c r="BX6" s="47">
        <v>8</v>
      </c>
      <c r="BY6" s="47">
        <v>9</v>
      </c>
      <c r="BZ6" s="47">
        <v>10</v>
      </c>
      <c r="CA6" s="47">
        <v>11</v>
      </c>
      <c r="CB6" s="47">
        <v>12</v>
      </c>
      <c r="CC6" s="56">
        <v>6</v>
      </c>
      <c r="CD6" s="47">
        <v>1</v>
      </c>
      <c r="CE6" s="47">
        <v>2</v>
      </c>
      <c r="CF6" s="47">
        <v>3</v>
      </c>
      <c r="CG6" s="47">
        <v>4</v>
      </c>
      <c r="CH6" s="47">
        <v>5</v>
      </c>
      <c r="CI6" s="47">
        <v>6</v>
      </c>
      <c r="CJ6" s="47">
        <v>7</v>
      </c>
      <c r="CK6" s="47">
        <v>8</v>
      </c>
      <c r="CL6" s="47">
        <v>9</v>
      </c>
      <c r="CM6" s="47">
        <v>10</v>
      </c>
      <c r="CN6" s="47">
        <v>11</v>
      </c>
      <c r="CO6" s="47">
        <v>12</v>
      </c>
      <c r="CP6" s="56">
        <v>7</v>
      </c>
      <c r="CS6" s="27" t="s">
        <v>928</v>
      </c>
      <c r="CT6" s="27">
        <v>1300000</v>
      </c>
      <c r="CU6" s="27">
        <f>15+30+15+45+15+30+15+15+30+15</f>
        <v>225</v>
      </c>
      <c r="CV6" s="27">
        <f>+CT6/CU6</f>
        <v>5777.7777777777774</v>
      </c>
      <c r="CW6" s="27" t="s">
        <v>931</v>
      </c>
    </row>
    <row r="7" spans="1:101" s="27" customFormat="1" x14ac:dyDescent="0.25">
      <c r="A7" s="27">
        <v>1</v>
      </c>
      <c r="B7" s="52"/>
      <c r="C7" s="27">
        <v>80</v>
      </c>
      <c r="D7" s="27">
        <v>30</v>
      </c>
      <c r="E7" s="27">
        <v>10</v>
      </c>
      <c r="F7" s="27">
        <v>30</v>
      </c>
      <c r="G7" s="27">
        <v>60</v>
      </c>
      <c r="H7" s="27">
        <v>60</v>
      </c>
      <c r="I7" s="27">
        <v>60</v>
      </c>
      <c r="J7" s="27">
        <v>30</v>
      </c>
      <c r="K7" s="27">
        <v>60</v>
      </c>
      <c r="L7" s="27">
        <v>10</v>
      </c>
      <c r="M7" s="27">
        <v>60</v>
      </c>
      <c r="N7" s="27">
        <v>60</v>
      </c>
      <c r="O7" s="27">
        <v>20</v>
      </c>
      <c r="P7" s="49">
        <f>+SUM(D7:O7)</f>
        <v>490</v>
      </c>
      <c r="Q7" s="27">
        <f>+D7*(1+Parámetros!$D$28)</f>
        <v>31.8</v>
      </c>
      <c r="R7" s="27">
        <f>+E7*(1+Parámetros!$D$28)</f>
        <v>10.600000000000001</v>
      </c>
      <c r="S7" s="27">
        <f>+F7*(1+Parámetros!$D$28)</f>
        <v>31.8</v>
      </c>
      <c r="T7" s="27">
        <f>+G7*(1+Parámetros!$D$28)</f>
        <v>63.6</v>
      </c>
      <c r="U7" s="27">
        <f>+H7*(1+Parámetros!$D$28)</f>
        <v>63.6</v>
      </c>
      <c r="V7" s="27">
        <f>+I7*(1+Parámetros!$D$28)</f>
        <v>63.6</v>
      </c>
      <c r="W7" s="27">
        <f>+J7*(1+Parámetros!$D$28)</f>
        <v>31.8</v>
      </c>
      <c r="X7" s="27">
        <f>+K7*(1+Parámetros!$D$28)</f>
        <v>63.6</v>
      </c>
      <c r="Y7" s="27">
        <f>+L7*(1+Parámetros!$D$28)</f>
        <v>10.600000000000001</v>
      </c>
      <c r="Z7" s="27">
        <f>+M7*(1+Parámetros!$D$28)</f>
        <v>63.6</v>
      </c>
      <c r="AA7" s="27">
        <f>+N7*(1+Parámetros!$D$28)</f>
        <v>63.6</v>
      </c>
      <c r="AB7" s="27">
        <f>+O7*(1+Parámetros!$D$28)</f>
        <v>21.200000000000003</v>
      </c>
      <c r="AC7" s="49">
        <f>+SUM(Q7:AB7)</f>
        <v>519.40000000000009</v>
      </c>
      <c r="AD7" s="27">
        <f>+Q7*(1+Parámetros!$D$28)</f>
        <v>33.708000000000006</v>
      </c>
      <c r="AE7" s="27">
        <f>+R7*(1+Parámetros!$D$28)</f>
        <v>11.236000000000002</v>
      </c>
      <c r="AF7" s="27">
        <f>+S7*(1+Parámetros!$D$28)</f>
        <v>33.708000000000006</v>
      </c>
      <c r="AG7" s="27">
        <f>+T7*(1+Parámetros!$D$28)</f>
        <v>67.416000000000011</v>
      </c>
      <c r="AH7" s="27">
        <f>+U7*(1+Parámetros!$D$28)</f>
        <v>67.416000000000011</v>
      </c>
      <c r="AI7" s="27">
        <f>+V7*(1+Parámetros!$D$28)</f>
        <v>67.416000000000011</v>
      </c>
      <c r="AJ7" s="27">
        <f>+W7*(1+Parámetros!$D$28)</f>
        <v>33.708000000000006</v>
      </c>
      <c r="AK7" s="27">
        <f>+X7*(1+Parámetros!$D$28)</f>
        <v>67.416000000000011</v>
      </c>
      <c r="AL7" s="27">
        <f>+Y7*(1+Parámetros!$D$28)</f>
        <v>11.236000000000002</v>
      </c>
      <c r="AM7" s="27">
        <f>+Z7*(1+Parámetros!$D$28)</f>
        <v>67.416000000000011</v>
      </c>
      <c r="AN7" s="27">
        <f>+AA7*(1+Parámetros!$D$28)</f>
        <v>67.416000000000011</v>
      </c>
      <c r="AO7" s="27">
        <f>+AB7*(1+Parámetros!$D$28)</f>
        <v>22.472000000000005</v>
      </c>
      <c r="AP7" s="49">
        <f>+SUM(AD7:AO7)</f>
        <v>550.56400000000008</v>
      </c>
      <c r="AQ7" s="27">
        <f>+AD7*(1+Parámetros!$D$28)</f>
        <v>35.730480000000007</v>
      </c>
      <c r="AR7" s="27">
        <f>+AE7*(1+Parámetros!$D$28)</f>
        <v>11.910160000000003</v>
      </c>
      <c r="AS7" s="27">
        <f>+AF7*(1+Parámetros!$D$28)</f>
        <v>35.730480000000007</v>
      </c>
      <c r="AT7" s="27">
        <f>+AG7*(1+Parámetros!$D$28)</f>
        <v>71.460960000000014</v>
      </c>
      <c r="AU7" s="27">
        <f>+AH7*(1+Parámetros!$D$28)</f>
        <v>71.460960000000014</v>
      </c>
      <c r="AV7" s="27">
        <f>+AI7*(1+Parámetros!$D$28)</f>
        <v>71.460960000000014</v>
      </c>
      <c r="AW7" s="27">
        <f>+AJ7*(1+Parámetros!$D$28)</f>
        <v>35.730480000000007</v>
      </c>
      <c r="AX7" s="27">
        <f>+AK7*(1+Parámetros!$D$28)</f>
        <v>71.460960000000014</v>
      </c>
      <c r="AY7" s="27">
        <f>+AL7*(1+Parámetros!$D$28)</f>
        <v>11.910160000000003</v>
      </c>
      <c r="AZ7" s="27">
        <f>+AM7*(1+Parámetros!$D$28)</f>
        <v>71.460960000000014</v>
      </c>
      <c r="BA7" s="27">
        <f>+AN7*(1+Parámetros!$D$28)</f>
        <v>71.460960000000014</v>
      </c>
      <c r="BB7" s="27">
        <f>+AO7*(1+Parámetros!$D$28)</f>
        <v>23.820320000000006</v>
      </c>
      <c r="BC7" s="49">
        <f>+SUM(AQ7:BB7)</f>
        <v>583.59784000000013</v>
      </c>
      <c r="BD7" s="27">
        <f>+AQ7*(1+Parámetros!$D$28)</f>
        <v>37.874308800000009</v>
      </c>
      <c r="BE7" s="27">
        <f>+AR7*(1+Parámetros!$D$28)</f>
        <v>12.624769600000004</v>
      </c>
      <c r="BF7" s="27">
        <f>+AS7*(1+Parámetros!$D$28)</f>
        <v>37.874308800000009</v>
      </c>
      <c r="BG7" s="27">
        <f>+AT7*(1+Parámetros!$D$28)</f>
        <v>75.748617600000017</v>
      </c>
      <c r="BH7" s="27">
        <f>+AU7*(1+Parámetros!$D$28)</f>
        <v>75.748617600000017</v>
      </c>
      <c r="BI7" s="27">
        <f>+AV7*(1+Parámetros!$D$28)</f>
        <v>75.748617600000017</v>
      </c>
      <c r="BJ7" s="27">
        <f>+AW7*(1+Parámetros!$D$28)</f>
        <v>37.874308800000009</v>
      </c>
      <c r="BK7" s="27">
        <f>+AX7*(1+Parámetros!$D$28)</f>
        <v>75.748617600000017</v>
      </c>
      <c r="BL7" s="27">
        <f>+AY7*(1+Parámetros!$D$28)</f>
        <v>12.624769600000004</v>
      </c>
      <c r="BM7" s="27">
        <f>+AZ7*(1+Parámetros!$D$28)</f>
        <v>75.748617600000017</v>
      </c>
      <c r="BN7" s="27">
        <f>+BA7*(1+Parámetros!$D$28)</f>
        <v>75.748617600000017</v>
      </c>
      <c r="BO7" s="27">
        <f>+BB7*(1+Parámetros!$D$28)</f>
        <v>25.249539200000008</v>
      </c>
      <c r="BP7" s="49">
        <f>+SUM(BD7:BO7)</f>
        <v>618.61371040000006</v>
      </c>
      <c r="BQ7" s="27">
        <f>+BD7*(1+Parámetros!$D$28)</f>
        <v>40.14676732800001</v>
      </c>
      <c r="BR7" s="27">
        <f>+BE7*(1+Parámetros!$D$28)</f>
        <v>13.382255776000004</v>
      </c>
      <c r="BS7" s="27">
        <f>+BF7*(1+Parámetros!$D$28)</f>
        <v>40.14676732800001</v>
      </c>
      <c r="BT7" s="27">
        <f>+BG7*(1+Parámetros!$D$28)</f>
        <v>80.29353465600002</v>
      </c>
      <c r="BU7" s="27">
        <f>+BH7*(1+Parámetros!$D$28)</f>
        <v>80.29353465600002</v>
      </c>
      <c r="BV7" s="27">
        <f>+BI7*(1+Parámetros!$D$28)</f>
        <v>80.29353465600002</v>
      </c>
      <c r="BW7" s="27">
        <f>+BJ7*(1+Parámetros!$D$28)</f>
        <v>40.14676732800001</v>
      </c>
      <c r="BX7" s="27">
        <f>+BK7*(1+Parámetros!$D$28)</f>
        <v>80.29353465600002</v>
      </c>
      <c r="BY7" s="27">
        <f>+BL7*(1+Parámetros!$D$28)</f>
        <v>13.382255776000004</v>
      </c>
      <c r="BZ7" s="27">
        <f>+BM7*(1+Parámetros!$D$28)</f>
        <v>80.29353465600002</v>
      </c>
      <c r="CA7" s="27">
        <f>+BN7*(1+Parámetros!$D$28)</f>
        <v>80.29353465600002</v>
      </c>
      <c r="CB7" s="27">
        <f>+BO7*(1+Parámetros!$D$28)</f>
        <v>26.764511552000009</v>
      </c>
      <c r="CC7" s="49">
        <f>+SUM(BQ7:CB7)</f>
        <v>655.73053302400024</v>
      </c>
      <c r="CD7" s="27">
        <f>+BQ7*(1+Parámetros!$D$28)</f>
        <v>42.555573367680012</v>
      </c>
      <c r="CE7" s="27">
        <f>+BR7*(1+Parámetros!$D$28)</f>
        <v>14.185191122560006</v>
      </c>
      <c r="CF7" s="27">
        <f>+BS7*(1+Parámetros!$D$28)</f>
        <v>42.555573367680012</v>
      </c>
      <c r="CG7" s="27">
        <f>+BT7*(1+Parámetros!$D$28)</f>
        <v>85.111146735360023</v>
      </c>
      <c r="CH7" s="27">
        <f>+BU7*(1+Parámetros!$D$28)</f>
        <v>85.111146735360023</v>
      </c>
      <c r="CI7" s="27">
        <f>+BV7*(1+Parámetros!$D$28)</f>
        <v>85.111146735360023</v>
      </c>
      <c r="CJ7" s="27">
        <f>+BW7*(1+Parámetros!$D$28)</f>
        <v>42.555573367680012</v>
      </c>
      <c r="CK7" s="27">
        <f>+BX7*(1+Parámetros!$D$28)</f>
        <v>85.111146735360023</v>
      </c>
      <c r="CL7" s="27">
        <f>+BY7*(1+Parámetros!$D$28)</f>
        <v>14.185191122560006</v>
      </c>
      <c r="CM7" s="27">
        <f>+BZ7*(1+Parámetros!$D$28)</f>
        <v>85.111146735360023</v>
      </c>
      <c r="CN7" s="27">
        <f>+CA7*(1+Parámetros!$D$28)</f>
        <v>85.111146735360023</v>
      </c>
      <c r="CO7" s="27">
        <f>+CB7*(1+Parámetros!$D$28)</f>
        <v>28.370382245120012</v>
      </c>
      <c r="CP7" s="49">
        <f>+SUM(CD7:CO7)</f>
        <v>695.07436500544031</v>
      </c>
      <c r="CS7" s="27" t="s">
        <v>932</v>
      </c>
      <c r="CT7" s="27">
        <v>240000</v>
      </c>
      <c r="CU7" s="101">
        <v>30</v>
      </c>
      <c r="CV7" s="27">
        <f>+CT7/CU7</f>
        <v>8000</v>
      </c>
      <c r="CW7" s="27" t="s">
        <v>931</v>
      </c>
    </row>
    <row r="8" spans="1:101" s="27" customFormat="1" x14ac:dyDescent="0.25">
      <c r="B8" s="52"/>
      <c r="C8" s="27">
        <v>50000</v>
      </c>
      <c r="D8" s="27">
        <f>+Parámetros!$C$5</f>
        <v>50000</v>
      </c>
      <c r="E8" s="27">
        <f>+Parámetros!$C$5</f>
        <v>50000</v>
      </c>
      <c r="F8" s="27">
        <f>+Parámetros!$C$5</f>
        <v>50000</v>
      </c>
      <c r="G8" s="27">
        <f>+Parámetros!$C$5</f>
        <v>50000</v>
      </c>
      <c r="H8" s="27">
        <f>+Parámetros!$C$5</f>
        <v>50000</v>
      </c>
      <c r="I8" s="27">
        <f>+Parámetros!$C$5</f>
        <v>50000</v>
      </c>
      <c r="J8" s="27">
        <f>+Parámetros!$C$5</f>
        <v>50000</v>
      </c>
      <c r="K8" s="27">
        <f>+Parámetros!$C$5</f>
        <v>50000</v>
      </c>
      <c r="L8" s="27">
        <f>+Parámetros!$C$5</f>
        <v>50000</v>
      </c>
      <c r="M8" s="27">
        <f>+Parámetros!$C$5</f>
        <v>50000</v>
      </c>
      <c r="N8" s="27">
        <f>+Parámetros!$C$5</f>
        <v>50000</v>
      </c>
      <c r="O8" s="27">
        <f>+Parámetros!$C$5</f>
        <v>50000</v>
      </c>
      <c r="P8" s="49"/>
      <c r="Q8" s="27">
        <f>+Parámetros!$D$5</f>
        <v>53000</v>
      </c>
      <c r="R8" s="27">
        <f>+Parámetros!$D$5</f>
        <v>53000</v>
      </c>
      <c r="S8" s="27">
        <f>+Parámetros!$D$5</f>
        <v>53000</v>
      </c>
      <c r="T8" s="27">
        <f>+Parámetros!$D$5</f>
        <v>53000</v>
      </c>
      <c r="U8" s="27">
        <f>+Parámetros!$D$5</f>
        <v>53000</v>
      </c>
      <c r="V8" s="27">
        <f>+Parámetros!$D$5</f>
        <v>53000</v>
      </c>
      <c r="W8" s="27">
        <f>+Parámetros!$D$5</f>
        <v>53000</v>
      </c>
      <c r="X8" s="27">
        <f>+Parámetros!$D$5</f>
        <v>53000</v>
      </c>
      <c r="Y8" s="27">
        <f>+Parámetros!$D$5</f>
        <v>53000</v>
      </c>
      <c r="Z8" s="27">
        <f>+Parámetros!$D$5</f>
        <v>53000</v>
      </c>
      <c r="AA8" s="27">
        <f>+Parámetros!$D$5</f>
        <v>53000</v>
      </c>
      <c r="AB8" s="27">
        <f>+Parámetros!$D$5</f>
        <v>53000</v>
      </c>
      <c r="AC8" s="49"/>
      <c r="AD8" s="27">
        <f>+Parámetros!$E$5</f>
        <v>57240.000000000007</v>
      </c>
      <c r="AE8" s="27">
        <f>+Parámetros!$E$5</f>
        <v>57240.000000000007</v>
      </c>
      <c r="AF8" s="27">
        <f>+Parámetros!$E$5</f>
        <v>57240.000000000007</v>
      </c>
      <c r="AG8" s="27">
        <f>+Parámetros!$E$5</f>
        <v>57240.000000000007</v>
      </c>
      <c r="AH8" s="27">
        <f>+Parámetros!$E$5</f>
        <v>57240.000000000007</v>
      </c>
      <c r="AI8" s="27">
        <f>+Parámetros!$E$5</f>
        <v>57240.000000000007</v>
      </c>
      <c r="AJ8" s="27">
        <f>+Parámetros!$E$5</f>
        <v>57240.000000000007</v>
      </c>
      <c r="AK8" s="27">
        <f>+Parámetros!$E$5</f>
        <v>57240.000000000007</v>
      </c>
      <c r="AL8" s="27">
        <f>+Parámetros!$E$5</f>
        <v>57240.000000000007</v>
      </c>
      <c r="AM8" s="27">
        <f>+Parámetros!$E$5</f>
        <v>57240.000000000007</v>
      </c>
      <c r="AN8" s="27">
        <f>+Parámetros!$E$5</f>
        <v>57240.000000000007</v>
      </c>
      <c r="AO8" s="27">
        <f>+Parámetros!$E$5</f>
        <v>57240.000000000007</v>
      </c>
      <c r="AP8" s="49"/>
      <c r="AQ8" s="27">
        <f>+Parámetros!$F$5</f>
        <v>62964.000000000015</v>
      </c>
      <c r="AR8" s="27">
        <f>+Parámetros!$F$5</f>
        <v>62964.000000000015</v>
      </c>
      <c r="AS8" s="27">
        <f>+Parámetros!$F$5</f>
        <v>62964.000000000015</v>
      </c>
      <c r="AT8" s="27">
        <f>+Parámetros!$F$5</f>
        <v>62964.000000000015</v>
      </c>
      <c r="AU8" s="27">
        <f>+Parámetros!$F$5</f>
        <v>62964.000000000015</v>
      </c>
      <c r="AV8" s="27">
        <f>+Parámetros!$F$5</f>
        <v>62964.000000000015</v>
      </c>
      <c r="AW8" s="27">
        <f>+Parámetros!$F$5</f>
        <v>62964.000000000015</v>
      </c>
      <c r="AX8" s="27">
        <f>+Parámetros!$F$5</f>
        <v>62964.000000000015</v>
      </c>
      <c r="AY8" s="27">
        <f>+Parámetros!$F$5</f>
        <v>62964.000000000015</v>
      </c>
      <c r="AZ8" s="27">
        <f>+Parámetros!$F$5</f>
        <v>62964.000000000015</v>
      </c>
      <c r="BA8" s="27">
        <f>+Parámetros!$F$5</f>
        <v>62964.000000000015</v>
      </c>
      <c r="BB8" s="27">
        <f>+Parámetros!$F$5</f>
        <v>62964.000000000015</v>
      </c>
      <c r="BC8" s="49"/>
      <c r="BD8" s="27">
        <f>+Parámetros!$G$5</f>
        <v>69260.400000000023</v>
      </c>
      <c r="BE8" s="27">
        <f>+Parámetros!$G$5</f>
        <v>69260.400000000023</v>
      </c>
      <c r="BF8" s="27">
        <f>+Parámetros!$G$5</f>
        <v>69260.400000000023</v>
      </c>
      <c r="BG8" s="27">
        <f>+Parámetros!$G$5</f>
        <v>69260.400000000023</v>
      </c>
      <c r="BH8" s="27">
        <f>+Parámetros!$G$5</f>
        <v>69260.400000000023</v>
      </c>
      <c r="BI8" s="27">
        <f>+Parámetros!$G$5</f>
        <v>69260.400000000023</v>
      </c>
      <c r="BJ8" s="27">
        <f>+Parámetros!$G$5</f>
        <v>69260.400000000023</v>
      </c>
      <c r="BK8" s="27">
        <f>+Parámetros!$G$5</f>
        <v>69260.400000000023</v>
      </c>
      <c r="BL8" s="27">
        <f>+Parámetros!$G$5</f>
        <v>69260.400000000023</v>
      </c>
      <c r="BM8" s="27">
        <f>+Parámetros!$G$5</f>
        <v>69260.400000000023</v>
      </c>
      <c r="BN8" s="27">
        <f>+Parámetros!$G$5</f>
        <v>69260.400000000023</v>
      </c>
      <c r="BO8" s="27">
        <f>+Parámetros!$G$5</f>
        <v>69260.400000000023</v>
      </c>
      <c r="BP8" s="49"/>
      <c r="BQ8" s="27">
        <f>+Parámetros!$H$5</f>
        <v>76186.440000000031</v>
      </c>
      <c r="BR8" s="27">
        <f>+Parámetros!$H$5</f>
        <v>76186.440000000031</v>
      </c>
      <c r="BS8" s="27">
        <f>+Parámetros!$H$5</f>
        <v>76186.440000000031</v>
      </c>
      <c r="BT8" s="27">
        <f>+Parámetros!$H$5</f>
        <v>76186.440000000031</v>
      </c>
      <c r="BU8" s="27">
        <f>+Parámetros!$H$5</f>
        <v>76186.440000000031</v>
      </c>
      <c r="BV8" s="27">
        <f>+Parámetros!$H$5</f>
        <v>76186.440000000031</v>
      </c>
      <c r="BW8" s="27">
        <f>+Parámetros!$H$5</f>
        <v>76186.440000000031</v>
      </c>
      <c r="BX8" s="27">
        <f>+Parámetros!$H$5</f>
        <v>76186.440000000031</v>
      </c>
      <c r="BY8" s="27">
        <f>+Parámetros!$H$5</f>
        <v>76186.440000000031</v>
      </c>
      <c r="BZ8" s="27">
        <f>+Parámetros!$H$5</f>
        <v>76186.440000000031</v>
      </c>
      <c r="CA8" s="27">
        <f>+Parámetros!$H$5</f>
        <v>76186.440000000031</v>
      </c>
      <c r="CB8" s="27">
        <f>+Parámetros!$H$5</f>
        <v>76186.440000000031</v>
      </c>
      <c r="CC8" s="49"/>
      <c r="CD8" s="27">
        <f>+Parámetros!$I$5</f>
        <v>83805.084000000046</v>
      </c>
      <c r="CE8" s="27">
        <f>+Parámetros!$I$5</f>
        <v>83805.084000000046</v>
      </c>
      <c r="CF8" s="27">
        <f>+Parámetros!$I$5</f>
        <v>83805.084000000046</v>
      </c>
      <c r="CG8" s="27">
        <f>+Parámetros!$I$5</f>
        <v>83805.084000000046</v>
      </c>
      <c r="CH8" s="27">
        <f>+Parámetros!$I$5</f>
        <v>83805.084000000046</v>
      </c>
      <c r="CI8" s="27">
        <f>+Parámetros!$I$5</f>
        <v>83805.084000000046</v>
      </c>
      <c r="CJ8" s="27">
        <f>+Parámetros!$I$5</f>
        <v>83805.084000000046</v>
      </c>
      <c r="CK8" s="27">
        <f>+Parámetros!$I$5</f>
        <v>83805.084000000046</v>
      </c>
      <c r="CL8" s="27">
        <f>+Parámetros!$I$5</f>
        <v>83805.084000000046</v>
      </c>
      <c r="CM8" s="27">
        <f>+Parámetros!$I$5</f>
        <v>83805.084000000046</v>
      </c>
      <c r="CN8" s="27">
        <f>+Parámetros!$I$5</f>
        <v>83805.084000000046</v>
      </c>
      <c r="CO8" s="27">
        <f>+Parámetros!$I$5</f>
        <v>83805.084000000046</v>
      </c>
      <c r="CP8" s="49"/>
    </row>
    <row r="9" spans="1:101" s="27" customFormat="1" x14ac:dyDescent="0.25">
      <c r="B9" s="52"/>
      <c r="C9" s="51">
        <f t="shared" ref="C9:O9" si="3">+C8*C7</f>
        <v>4000000</v>
      </c>
      <c r="D9" s="51">
        <f t="shared" si="3"/>
        <v>1500000</v>
      </c>
      <c r="E9" s="51">
        <f t="shared" si="3"/>
        <v>500000</v>
      </c>
      <c r="F9" s="51">
        <f t="shared" si="3"/>
        <v>1500000</v>
      </c>
      <c r="G9" s="51">
        <f t="shared" si="3"/>
        <v>3000000</v>
      </c>
      <c r="H9" s="51">
        <f t="shared" si="3"/>
        <v>3000000</v>
      </c>
      <c r="I9" s="51">
        <f t="shared" si="3"/>
        <v>3000000</v>
      </c>
      <c r="J9" s="51">
        <f t="shared" si="3"/>
        <v>1500000</v>
      </c>
      <c r="K9" s="51">
        <f t="shared" si="3"/>
        <v>3000000</v>
      </c>
      <c r="L9" s="51">
        <f t="shared" si="3"/>
        <v>500000</v>
      </c>
      <c r="M9" s="51">
        <f t="shared" si="3"/>
        <v>3000000</v>
      </c>
      <c r="N9" s="51">
        <f t="shared" si="3"/>
        <v>3000000</v>
      </c>
      <c r="O9" s="51">
        <f t="shared" si="3"/>
        <v>1000000</v>
      </c>
      <c r="P9" s="49">
        <f>SUM(D9:O9)</f>
        <v>24500000</v>
      </c>
      <c r="Q9" s="51">
        <f t="shared" ref="Q9:AB9" si="4">+Q8*Q7</f>
        <v>1685400</v>
      </c>
      <c r="R9" s="51">
        <f t="shared" si="4"/>
        <v>561800.00000000012</v>
      </c>
      <c r="S9" s="51">
        <f t="shared" si="4"/>
        <v>1685400</v>
      </c>
      <c r="T9" s="51">
        <f t="shared" si="4"/>
        <v>3370800</v>
      </c>
      <c r="U9" s="51">
        <f t="shared" si="4"/>
        <v>3370800</v>
      </c>
      <c r="V9" s="51">
        <f t="shared" si="4"/>
        <v>3370800</v>
      </c>
      <c r="W9" s="51">
        <f t="shared" si="4"/>
        <v>1685400</v>
      </c>
      <c r="X9" s="51">
        <f t="shared" si="4"/>
        <v>3370800</v>
      </c>
      <c r="Y9" s="51">
        <f t="shared" si="4"/>
        <v>561800.00000000012</v>
      </c>
      <c r="Z9" s="51">
        <f t="shared" si="4"/>
        <v>3370800</v>
      </c>
      <c r="AA9" s="51">
        <f t="shared" si="4"/>
        <v>3370800</v>
      </c>
      <c r="AB9" s="51">
        <f t="shared" si="4"/>
        <v>1123600.0000000002</v>
      </c>
      <c r="AC9" s="49">
        <f>SUM(Q9:AB9)</f>
        <v>27528200</v>
      </c>
      <c r="AD9" s="51">
        <f t="shared" ref="AD9:AO9" si="5">+AD8*AD7</f>
        <v>1929445.9200000006</v>
      </c>
      <c r="AE9" s="51">
        <f t="shared" si="5"/>
        <v>643148.64000000025</v>
      </c>
      <c r="AF9" s="51">
        <f t="shared" si="5"/>
        <v>1929445.9200000006</v>
      </c>
      <c r="AG9" s="51">
        <f t="shared" si="5"/>
        <v>3858891.8400000012</v>
      </c>
      <c r="AH9" s="51">
        <f t="shared" si="5"/>
        <v>3858891.8400000012</v>
      </c>
      <c r="AI9" s="51">
        <f t="shared" si="5"/>
        <v>3858891.8400000012</v>
      </c>
      <c r="AJ9" s="51">
        <f t="shared" si="5"/>
        <v>1929445.9200000006</v>
      </c>
      <c r="AK9" s="51">
        <f t="shared" si="5"/>
        <v>3858891.8400000012</v>
      </c>
      <c r="AL9" s="51">
        <f t="shared" si="5"/>
        <v>643148.64000000025</v>
      </c>
      <c r="AM9" s="51">
        <f t="shared" si="5"/>
        <v>3858891.8400000012</v>
      </c>
      <c r="AN9" s="51">
        <f t="shared" si="5"/>
        <v>3858891.8400000012</v>
      </c>
      <c r="AO9" s="51">
        <f t="shared" si="5"/>
        <v>1286297.2800000005</v>
      </c>
      <c r="AP9" s="49">
        <f>SUM(AD9:AO9)</f>
        <v>31514283.360000007</v>
      </c>
      <c r="AQ9" s="51">
        <f t="shared" ref="AQ9:BB9" si="6">+AQ8*AQ7</f>
        <v>2249733.9427200011</v>
      </c>
      <c r="AR9" s="51">
        <f t="shared" si="6"/>
        <v>749911.31424000033</v>
      </c>
      <c r="AS9" s="51">
        <f t="shared" si="6"/>
        <v>2249733.9427200011</v>
      </c>
      <c r="AT9" s="51">
        <f t="shared" si="6"/>
        <v>4499467.8854400022</v>
      </c>
      <c r="AU9" s="51">
        <f t="shared" si="6"/>
        <v>4499467.8854400022</v>
      </c>
      <c r="AV9" s="51">
        <f t="shared" si="6"/>
        <v>4499467.8854400022</v>
      </c>
      <c r="AW9" s="51">
        <f t="shared" si="6"/>
        <v>2249733.9427200011</v>
      </c>
      <c r="AX9" s="51">
        <f t="shared" si="6"/>
        <v>4499467.8854400022</v>
      </c>
      <c r="AY9" s="51">
        <f t="shared" si="6"/>
        <v>749911.31424000033</v>
      </c>
      <c r="AZ9" s="51">
        <f t="shared" si="6"/>
        <v>4499467.8854400022</v>
      </c>
      <c r="BA9" s="51">
        <f t="shared" si="6"/>
        <v>4499467.8854400022</v>
      </c>
      <c r="BB9" s="51">
        <f t="shared" si="6"/>
        <v>1499822.6284800007</v>
      </c>
      <c r="BC9" s="49">
        <f>SUM(AQ9:BB9)</f>
        <v>36745654.397760019</v>
      </c>
      <c r="BD9" s="51">
        <f t="shared" ref="BD9:BO9" si="7">+BD8*BD7</f>
        <v>2623189.7772115213</v>
      </c>
      <c r="BE9" s="51">
        <f t="shared" si="7"/>
        <v>874396.59240384062</v>
      </c>
      <c r="BF9" s="51">
        <f t="shared" si="7"/>
        <v>2623189.7772115213</v>
      </c>
      <c r="BG9" s="51">
        <f t="shared" si="7"/>
        <v>5246379.5544230426</v>
      </c>
      <c r="BH9" s="51">
        <f t="shared" si="7"/>
        <v>5246379.5544230426</v>
      </c>
      <c r="BI9" s="51">
        <f t="shared" si="7"/>
        <v>5246379.5544230426</v>
      </c>
      <c r="BJ9" s="51">
        <f t="shared" si="7"/>
        <v>2623189.7772115213</v>
      </c>
      <c r="BK9" s="51">
        <f t="shared" si="7"/>
        <v>5246379.5544230426</v>
      </c>
      <c r="BL9" s="51">
        <f t="shared" si="7"/>
        <v>874396.59240384062</v>
      </c>
      <c r="BM9" s="51">
        <f t="shared" si="7"/>
        <v>5246379.5544230426</v>
      </c>
      <c r="BN9" s="51">
        <f t="shared" si="7"/>
        <v>5246379.5544230426</v>
      </c>
      <c r="BO9" s="51">
        <f t="shared" si="7"/>
        <v>1748793.1848076812</v>
      </c>
      <c r="BP9" s="49">
        <f>SUM(BD9:BO9)</f>
        <v>42845433.027788177</v>
      </c>
      <c r="BQ9" s="51">
        <f t="shared" ref="BQ9:CB9" si="8">+BQ8*BQ7</f>
        <v>3058639.2802286344</v>
      </c>
      <c r="BR9" s="51">
        <f t="shared" si="8"/>
        <v>1019546.4267428782</v>
      </c>
      <c r="BS9" s="51">
        <f t="shared" si="8"/>
        <v>3058639.2802286344</v>
      </c>
      <c r="BT9" s="51">
        <f t="shared" si="8"/>
        <v>6117278.5604572687</v>
      </c>
      <c r="BU9" s="51">
        <f t="shared" si="8"/>
        <v>6117278.5604572687</v>
      </c>
      <c r="BV9" s="51">
        <f t="shared" si="8"/>
        <v>6117278.5604572687</v>
      </c>
      <c r="BW9" s="51">
        <f t="shared" si="8"/>
        <v>3058639.2802286344</v>
      </c>
      <c r="BX9" s="51">
        <f t="shared" si="8"/>
        <v>6117278.5604572687</v>
      </c>
      <c r="BY9" s="51">
        <f t="shared" si="8"/>
        <v>1019546.4267428782</v>
      </c>
      <c r="BZ9" s="51">
        <f t="shared" si="8"/>
        <v>6117278.5604572687</v>
      </c>
      <c r="CA9" s="51">
        <f t="shared" si="8"/>
        <v>6117278.5604572687</v>
      </c>
      <c r="CB9" s="51">
        <f t="shared" si="8"/>
        <v>2039092.8534857563</v>
      </c>
      <c r="CC9" s="49">
        <f>SUM(BQ9:CB9)</f>
        <v>49957774.910401024</v>
      </c>
      <c r="CD9" s="51">
        <f t="shared" ref="CD9:CO9" si="9">+CD8*CD7</f>
        <v>3566373.4007465881</v>
      </c>
      <c r="CE9" s="51">
        <f t="shared" si="9"/>
        <v>1188791.1335821962</v>
      </c>
      <c r="CF9" s="51">
        <f t="shared" si="9"/>
        <v>3566373.4007465881</v>
      </c>
      <c r="CG9" s="51">
        <f t="shared" si="9"/>
        <v>7132746.8014931763</v>
      </c>
      <c r="CH9" s="51">
        <f t="shared" si="9"/>
        <v>7132746.8014931763</v>
      </c>
      <c r="CI9" s="51">
        <f t="shared" si="9"/>
        <v>7132746.8014931763</v>
      </c>
      <c r="CJ9" s="51">
        <f t="shared" si="9"/>
        <v>3566373.4007465881</v>
      </c>
      <c r="CK9" s="51">
        <f t="shared" si="9"/>
        <v>7132746.8014931763</v>
      </c>
      <c r="CL9" s="51">
        <f t="shared" si="9"/>
        <v>1188791.1335821962</v>
      </c>
      <c r="CM9" s="51">
        <f t="shared" si="9"/>
        <v>7132746.8014931763</v>
      </c>
      <c r="CN9" s="51">
        <f t="shared" si="9"/>
        <v>7132746.8014931763</v>
      </c>
      <c r="CO9" s="51">
        <f t="shared" si="9"/>
        <v>2377582.2671643924</v>
      </c>
      <c r="CP9" s="49">
        <f>SUM(CD9:CO9)</f>
        <v>58250765.545527607</v>
      </c>
    </row>
    <row r="10" spans="1:101" s="27" customFormat="1" x14ac:dyDescent="0.25">
      <c r="B10" s="52"/>
      <c r="P10" s="49"/>
      <c r="AC10" s="49"/>
      <c r="AP10" s="49"/>
      <c r="BC10" s="49"/>
      <c r="BP10" s="49"/>
      <c r="CC10" s="49"/>
      <c r="CP10" s="49"/>
    </row>
    <row r="11" spans="1:101" s="27" customFormat="1" x14ac:dyDescent="0.25">
      <c r="A11" s="27">
        <v>2</v>
      </c>
      <c r="B11" s="52"/>
      <c r="C11" s="27">
        <f t="shared" ref="C11" si="10">+C7*0.8*0.8</f>
        <v>51.2</v>
      </c>
      <c r="D11" s="27">
        <f>+D7*0.8*Parámetros!$C$14</f>
        <v>19.200000000000003</v>
      </c>
      <c r="E11" s="27">
        <f>+E7*0.8*Parámetros!$C$14</f>
        <v>6.4</v>
      </c>
      <c r="F11" s="27">
        <f>+F7*0.8*Parámetros!$C$14</f>
        <v>19.200000000000003</v>
      </c>
      <c r="G11" s="27">
        <f>+G7*0.8*Parámetros!$C$14</f>
        <v>38.400000000000006</v>
      </c>
      <c r="H11" s="27">
        <f>+H7*0.8*Parámetros!$C$14</f>
        <v>38.400000000000006</v>
      </c>
      <c r="I11" s="27">
        <f>+I7*0.8*Parámetros!$C$14</f>
        <v>38.400000000000006</v>
      </c>
      <c r="J11" s="27">
        <f>+J7*0.8*Parámetros!$C$14</f>
        <v>19.200000000000003</v>
      </c>
      <c r="K11" s="27">
        <f>+K7*0.8*Parámetros!$C$14</f>
        <v>38.400000000000006</v>
      </c>
      <c r="L11" s="27">
        <f>+L7*0.8*Parámetros!$C$14</f>
        <v>6.4</v>
      </c>
      <c r="M11" s="27">
        <f>+M7*0.8*Parámetros!$C$14</f>
        <v>38.400000000000006</v>
      </c>
      <c r="N11" s="27">
        <f>+N7*0.8*Parámetros!$C$14</f>
        <v>38.400000000000006</v>
      </c>
      <c r="O11" s="27">
        <f>+O7*0.8*Parámetros!$C$14</f>
        <v>12.8</v>
      </c>
      <c r="P11" s="49">
        <f>+SUM(D11:O11)</f>
        <v>313.60000000000008</v>
      </c>
      <c r="Q11" s="27">
        <f>+Q7*0.8*Parámetros!$D$14</f>
        <v>20.352000000000004</v>
      </c>
      <c r="R11" s="27">
        <f>+R7*0.8*Parámetros!$D$14</f>
        <v>6.7840000000000025</v>
      </c>
      <c r="S11" s="27">
        <f>+S7*0.8*Parámetros!$D$14</f>
        <v>20.352000000000004</v>
      </c>
      <c r="T11" s="27">
        <f>+T7*0.8*Parámetros!$D$14</f>
        <v>40.704000000000008</v>
      </c>
      <c r="U11" s="27">
        <f>+U7*0.8*Parámetros!$D$14</f>
        <v>40.704000000000008</v>
      </c>
      <c r="V11" s="27">
        <f>+V7*0.8*Parámetros!$D$14</f>
        <v>40.704000000000008</v>
      </c>
      <c r="W11" s="27">
        <f>+W7*0.8*Parámetros!$D$14</f>
        <v>20.352000000000004</v>
      </c>
      <c r="X11" s="27">
        <f>+X7*0.8*Parámetros!$D$14</f>
        <v>40.704000000000008</v>
      </c>
      <c r="Y11" s="27">
        <f>+Y7*0.8*Parámetros!$D$14</f>
        <v>6.7840000000000025</v>
      </c>
      <c r="Z11" s="27">
        <f>+Z7*0.8*Parámetros!$D$14</f>
        <v>40.704000000000008</v>
      </c>
      <c r="AA11" s="27">
        <f>+AA7*0.8*Parámetros!$D$14</f>
        <v>40.704000000000008</v>
      </c>
      <c r="AB11" s="27">
        <f>+AB7*0.8*Parámetros!$D$14</f>
        <v>13.568000000000005</v>
      </c>
      <c r="AC11" s="49">
        <f>+SUM(Q11:AB11)</f>
        <v>332.416</v>
      </c>
      <c r="AD11" s="27">
        <f>+AD7*0.8*Parámetros!$E$14</f>
        <v>21.573120000000007</v>
      </c>
      <c r="AE11" s="27">
        <f>+AE7*0.8*Parámetros!$E$14</f>
        <v>7.1910400000000028</v>
      </c>
      <c r="AF11" s="27">
        <f>+AF7*0.8*Parámetros!$E$14</f>
        <v>21.573120000000007</v>
      </c>
      <c r="AG11" s="27">
        <f>+AG7*0.8*Parámetros!$E$14</f>
        <v>43.146240000000013</v>
      </c>
      <c r="AH11" s="27">
        <f>+AH7*0.8*Parámetros!$E$14</f>
        <v>43.146240000000013</v>
      </c>
      <c r="AI11" s="27">
        <f>+AI7*0.8*Parámetros!$E$14</f>
        <v>43.146240000000013</v>
      </c>
      <c r="AJ11" s="27">
        <f>+AJ7*0.8*Parámetros!$E$14</f>
        <v>21.573120000000007</v>
      </c>
      <c r="AK11" s="27">
        <f>+AK7*0.8*Parámetros!$E$14</f>
        <v>43.146240000000013</v>
      </c>
      <c r="AL11" s="27">
        <f>+AL7*0.8*Parámetros!$E$14</f>
        <v>7.1910400000000028</v>
      </c>
      <c r="AM11" s="27">
        <f>+AM7*0.8*Parámetros!$E$14</f>
        <v>43.146240000000013</v>
      </c>
      <c r="AN11" s="27">
        <f>+AN7*0.8*Parámetros!$E$14</f>
        <v>43.146240000000013</v>
      </c>
      <c r="AO11" s="27">
        <f>+AO7*0.8*Parámetros!$E$14</f>
        <v>14.382080000000006</v>
      </c>
      <c r="AP11" s="49">
        <f>+SUM(AD11:AO11)</f>
        <v>352.36096000000015</v>
      </c>
      <c r="AQ11" s="27">
        <f>+AQ7*0.8*Parámetros!$F$14</f>
        <v>22.867507200000006</v>
      </c>
      <c r="AR11" s="27">
        <f>+AR7*0.8*Parámetros!$F$14</f>
        <v>7.6225024000000019</v>
      </c>
      <c r="AS11" s="27">
        <f>+AS7*0.8*Parámetros!$F$14</f>
        <v>22.867507200000006</v>
      </c>
      <c r="AT11" s="27">
        <f>+AT7*0.8*Parámetros!$F$14</f>
        <v>45.735014400000011</v>
      </c>
      <c r="AU11" s="27">
        <f>+AU7*0.8*Parámetros!$F$14</f>
        <v>45.735014400000011</v>
      </c>
      <c r="AV11" s="27">
        <f>+AV7*0.8*Parámetros!$F$14</f>
        <v>45.735014400000011</v>
      </c>
      <c r="AW11" s="27">
        <f>+AW7*0.8*Parámetros!$F$14</f>
        <v>22.867507200000006</v>
      </c>
      <c r="AX11" s="27">
        <f>+AX7*0.8*Parámetros!$F$14</f>
        <v>45.735014400000011</v>
      </c>
      <c r="AY11" s="27">
        <f>+AY7*0.8*Parámetros!$F$14</f>
        <v>7.6225024000000019</v>
      </c>
      <c r="AZ11" s="27">
        <f>+AZ7*0.8*Parámetros!$F$14</f>
        <v>45.735014400000011</v>
      </c>
      <c r="BA11" s="27">
        <f>+BA7*0.8*Parámetros!$F$14</f>
        <v>45.735014400000011</v>
      </c>
      <c r="BB11" s="27">
        <f>+BB7*0.8*Parámetros!$F$14</f>
        <v>15.245004800000004</v>
      </c>
      <c r="BC11" s="49">
        <f>+SUM(AQ11:BB11)</f>
        <v>373.50261760000006</v>
      </c>
      <c r="BD11" s="27">
        <f>+BD7*0.8*Parámetros!$G$14</f>
        <v>24.239557632000007</v>
      </c>
      <c r="BE11" s="27">
        <f>+BE7*0.8*Parámetros!$G$14</f>
        <v>8.0798525440000031</v>
      </c>
      <c r="BF11" s="27">
        <f>+BF7*0.8*Parámetros!$G$14</f>
        <v>24.239557632000007</v>
      </c>
      <c r="BG11" s="27">
        <f>+BG7*0.8*Parámetros!$G$14</f>
        <v>48.479115264000015</v>
      </c>
      <c r="BH11" s="27">
        <f>+BH7*0.8*Parámetros!$G$14</f>
        <v>48.479115264000015</v>
      </c>
      <c r="BI11" s="27">
        <f>+BI7*0.8*Parámetros!$G$14</f>
        <v>48.479115264000015</v>
      </c>
      <c r="BJ11" s="27">
        <f>+BJ7*0.8*Parámetros!$G$14</f>
        <v>24.239557632000007</v>
      </c>
      <c r="BK11" s="27">
        <f>+BK7*0.8*Parámetros!$G$14</f>
        <v>48.479115264000015</v>
      </c>
      <c r="BL11" s="27">
        <f>+BL7*0.8*Parámetros!$G$14</f>
        <v>8.0798525440000031</v>
      </c>
      <c r="BM11" s="27">
        <f>+BM7*0.8*Parámetros!$G$14</f>
        <v>48.479115264000015</v>
      </c>
      <c r="BN11" s="27">
        <f>+BN7*0.8*Parámetros!$G$14</f>
        <v>48.479115264000015</v>
      </c>
      <c r="BO11" s="27">
        <f>+BO7*0.8*Parámetros!$G$14</f>
        <v>16.159705088000006</v>
      </c>
      <c r="BP11" s="49">
        <f>+SUM(BD11:BO11)</f>
        <v>395.91277465600018</v>
      </c>
      <c r="BQ11" s="27">
        <f>+BQ7*0.8*Parámetros!$H$14</f>
        <v>25.693931089920007</v>
      </c>
      <c r="BR11" s="27">
        <f>+BR7*0.8*Parámetros!$H$14</f>
        <v>8.5646436966400028</v>
      </c>
      <c r="BS11" s="27">
        <f>+BS7*0.8*Parámetros!$H$14</f>
        <v>25.693931089920007</v>
      </c>
      <c r="BT11" s="27">
        <f>+BT7*0.8*Parámetros!$H$14</f>
        <v>51.387862179840013</v>
      </c>
      <c r="BU11" s="27">
        <f>+BU7*0.8*Parámetros!$H$14</f>
        <v>51.387862179840013</v>
      </c>
      <c r="BV11" s="27">
        <f>+BV7*0.8*Parámetros!$H$14</f>
        <v>51.387862179840013</v>
      </c>
      <c r="BW11" s="27">
        <f>+BW7*0.8*Parámetros!$H$14</f>
        <v>25.693931089920007</v>
      </c>
      <c r="BX11" s="27">
        <f>+BX7*0.8*Parámetros!$H$14</f>
        <v>51.387862179840013</v>
      </c>
      <c r="BY11" s="27">
        <f>+BY7*0.8*Parámetros!$H$14</f>
        <v>8.5646436966400028</v>
      </c>
      <c r="BZ11" s="27">
        <f>+BZ7*0.8*Parámetros!$H$14</f>
        <v>51.387862179840013</v>
      </c>
      <c r="CA11" s="27">
        <f>+CA7*0.8*Parámetros!$H$14</f>
        <v>51.387862179840013</v>
      </c>
      <c r="CB11" s="27">
        <f>+CB7*0.8*Parámetros!$H$14</f>
        <v>17.129287393280006</v>
      </c>
      <c r="CC11" s="49">
        <f>+SUM(BQ11:CB11)</f>
        <v>419.66754113536007</v>
      </c>
      <c r="CD11" s="27">
        <f>+CD7*0.8*Parámetros!$I$14</f>
        <v>27.23556695531521</v>
      </c>
      <c r="CE11" s="27">
        <f>+CE7*0.8*Parámetros!$I$14</f>
        <v>9.0785223184384058</v>
      </c>
      <c r="CF11" s="27">
        <f>+CF7*0.8*Parámetros!$I$14</f>
        <v>27.23556695531521</v>
      </c>
      <c r="CG11" s="27">
        <f>+CG7*0.8*Parámetros!$I$14</f>
        <v>54.471133910630421</v>
      </c>
      <c r="CH11" s="27">
        <f>+CH7*0.8*Parámetros!$I$14</f>
        <v>54.471133910630421</v>
      </c>
      <c r="CI11" s="27">
        <f>+CI7*0.8*Parámetros!$I$14</f>
        <v>54.471133910630421</v>
      </c>
      <c r="CJ11" s="27">
        <f>+CJ7*0.8*Parámetros!$I$14</f>
        <v>27.23556695531521</v>
      </c>
      <c r="CK11" s="27">
        <f>+CK7*0.8*Parámetros!$I$14</f>
        <v>54.471133910630421</v>
      </c>
      <c r="CL11" s="27">
        <f>+CL7*0.8*Parámetros!$I$14</f>
        <v>9.0785223184384058</v>
      </c>
      <c r="CM11" s="27">
        <f>+CM7*0.8*Parámetros!$I$14</f>
        <v>54.471133910630421</v>
      </c>
      <c r="CN11" s="27">
        <f>+CN7*0.8*Parámetros!$I$14</f>
        <v>54.471133910630421</v>
      </c>
      <c r="CO11" s="27">
        <f>+CO7*0.8*Parámetros!$I$14</f>
        <v>18.157044636876812</v>
      </c>
      <c r="CP11" s="49">
        <f>+SUM(CD11:CO11)</f>
        <v>444.84759360348181</v>
      </c>
    </row>
    <row r="12" spans="1:101" s="27" customFormat="1" x14ac:dyDescent="0.25">
      <c r="B12" s="52"/>
      <c r="C12" s="27">
        <v>1300000</v>
      </c>
      <c r="D12" s="27">
        <f>+Parámetros!$C$6</f>
        <v>1500000</v>
      </c>
      <c r="E12" s="27">
        <f>+Parámetros!$C$6</f>
        <v>1500000</v>
      </c>
      <c r="F12" s="27">
        <f>+Parámetros!$C$6</f>
        <v>1500000</v>
      </c>
      <c r="G12" s="27">
        <f>+Parámetros!$C$6</f>
        <v>1500000</v>
      </c>
      <c r="H12" s="27">
        <f>+Parámetros!$C$6</f>
        <v>1500000</v>
      </c>
      <c r="I12" s="27">
        <f>+Parámetros!$C$6</f>
        <v>1500000</v>
      </c>
      <c r="J12" s="27">
        <f>+Parámetros!$C$6</f>
        <v>1500000</v>
      </c>
      <c r="K12" s="27">
        <f>+Parámetros!$C$6</f>
        <v>1500000</v>
      </c>
      <c r="L12" s="27">
        <f>+Parámetros!$C$6</f>
        <v>1500000</v>
      </c>
      <c r="M12" s="27">
        <f>+Parámetros!$C$6</f>
        <v>1500000</v>
      </c>
      <c r="N12" s="27">
        <f>+Parámetros!$C$6</f>
        <v>1500000</v>
      </c>
      <c r="O12" s="27">
        <f>+Parámetros!$C$6</f>
        <v>1500000</v>
      </c>
      <c r="P12" s="49"/>
      <c r="Q12" s="27">
        <f>+Parámetros!$D$6</f>
        <v>1590000</v>
      </c>
      <c r="R12" s="27">
        <f>+Parámetros!$D$6</f>
        <v>1590000</v>
      </c>
      <c r="S12" s="27">
        <f>+Parámetros!$D$6</f>
        <v>1590000</v>
      </c>
      <c r="T12" s="27">
        <f>+Parámetros!$D$6</f>
        <v>1590000</v>
      </c>
      <c r="U12" s="27">
        <f>+Parámetros!$D$6</f>
        <v>1590000</v>
      </c>
      <c r="V12" s="27">
        <f>+Parámetros!$D$6</f>
        <v>1590000</v>
      </c>
      <c r="W12" s="27">
        <f>+Parámetros!$D$6</f>
        <v>1590000</v>
      </c>
      <c r="X12" s="27">
        <f>+Parámetros!$D$6</f>
        <v>1590000</v>
      </c>
      <c r="Y12" s="27">
        <f>+Parámetros!$D$6</f>
        <v>1590000</v>
      </c>
      <c r="Z12" s="27">
        <f>+Parámetros!$D$6</f>
        <v>1590000</v>
      </c>
      <c r="AA12" s="27">
        <f>+Parámetros!$D$6</f>
        <v>1590000</v>
      </c>
      <c r="AB12" s="27">
        <f>+Parámetros!$D$6</f>
        <v>1590000</v>
      </c>
      <c r="AC12" s="49"/>
      <c r="AD12" s="27">
        <f>+Parámetros!$E$6</f>
        <v>1717200</v>
      </c>
      <c r="AE12" s="27">
        <f>+Parámetros!$E$6</f>
        <v>1717200</v>
      </c>
      <c r="AF12" s="27">
        <f>+Parámetros!$E$6</f>
        <v>1717200</v>
      </c>
      <c r="AG12" s="27">
        <f>+Parámetros!$E$6</f>
        <v>1717200</v>
      </c>
      <c r="AH12" s="27">
        <f>+Parámetros!$E$6</f>
        <v>1717200</v>
      </c>
      <c r="AI12" s="27">
        <f>+Parámetros!$E$6</f>
        <v>1717200</v>
      </c>
      <c r="AJ12" s="27">
        <f>+Parámetros!$E$6</f>
        <v>1717200</v>
      </c>
      <c r="AK12" s="27">
        <f>+Parámetros!$E$6</f>
        <v>1717200</v>
      </c>
      <c r="AL12" s="27">
        <f>+Parámetros!$E$6</f>
        <v>1717200</v>
      </c>
      <c r="AM12" s="27">
        <f>+Parámetros!$E$6</f>
        <v>1717200</v>
      </c>
      <c r="AN12" s="27">
        <f>+Parámetros!$E$6</f>
        <v>1717200</v>
      </c>
      <c r="AO12" s="27">
        <f>+Parámetros!$E$6</f>
        <v>1717200</v>
      </c>
      <c r="AP12" s="49"/>
      <c r="AQ12" s="27">
        <f>+Parámetros!$F$6</f>
        <v>1888920.0000000002</v>
      </c>
      <c r="AR12" s="27">
        <f>+Parámetros!$F$6</f>
        <v>1888920.0000000002</v>
      </c>
      <c r="AS12" s="27">
        <f>+Parámetros!$F$6</f>
        <v>1888920.0000000002</v>
      </c>
      <c r="AT12" s="27">
        <f>+Parámetros!$F$6</f>
        <v>1888920.0000000002</v>
      </c>
      <c r="AU12" s="27">
        <f>+Parámetros!$F$6</f>
        <v>1888920.0000000002</v>
      </c>
      <c r="AV12" s="27">
        <f>+Parámetros!$F$6</f>
        <v>1888920.0000000002</v>
      </c>
      <c r="AW12" s="27">
        <f>+Parámetros!$F$6</f>
        <v>1888920.0000000002</v>
      </c>
      <c r="AX12" s="27">
        <f>+Parámetros!$F$6</f>
        <v>1888920.0000000002</v>
      </c>
      <c r="AY12" s="27">
        <f>+Parámetros!$F$6</f>
        <v>1888920.0000000002</v>
      </c>
      <c r="AZ12" s="27">
        <f>+Parámetros!$F$6</f>
        <v>1888920.0000000002</v>
      </c>
      <c r="BA12" s="27">
        <f>+Parámetros!$F$6</f>
        <v>1888920.0000000002</v>
      </c>
      <c r="BB12" s="27">
        <f>+Parámetros!$F$6</f>
        <v>1888920.0000000002</v>
      </c>
      <c r="BC12" s="49"/>
      <c r="BD12" s="27">
        <f>+Parámetros!$G$6</f>
        <v>2077812.0000000005</v>
      </c>
      <c r="BE12" s="27">
        <f>+Parámetros!$G$6</f>
        <v>2077812.0000000005</v>
      </c>
      <c r="BF12" s="27">
        <f>+Parámetros!$G$6</f>
        <v>2077812.0000000005</v>
      </c>
      <c r="BG12" s="27">
        <f>+Parámetros!$G$6</f>
        <v>2077812.0000000005</v>
      </c>
      <c r="BH12" s="27">
        <f>+Parámetros!$G$6</f>
        <v>2077812.0000000005</v>
      </c>
      <c r="BI12" s="27">
        <f>+Parámetros!$G$6</f>
        <v>2077812.0000000005</v>
      </c>
      <c r="BJ12" s="27">
        <f>+Parámetros!$G$6</f>
        <v>2077812.0000000005</v>
      </c>
      <c r="BK12" s="27">
        <f>+Parámetros!$G$6</f>
        <v>2077812.0000000005</v>
      </c>
      <c r="BL12" s="27">
        <f>+Parámetros!$G$6</f>
        <v>2077812.0000000005</v>
      </c>
      <c r="BM12" s="27">
        <f>+Parámetros!$G$6</f>
        <v>2077812.0000000005</v>
      </c>
      <c r="BN12" s="27">
        <f>+Parámetros!$G$6</f>
        <v>2077812.0000000005</v>
      </c>
      <c r="BO12" s="27">
        <f>+Parámetros!$G$6</f>
        <v>2077812.0000000005</v>
      </c>
      <c r="BP12" s="49"/>
      <c r="BQ12" s="27">
        <f>+Parámetros!$H$6</f>
        <v>2285593.2000000007</v>
      </c>
      <c r="BR12" s="27">
        <f>+Parámetros!$H$6</f>
        <v>2285593.2000000007</v>
      </c>
      <c r="BS12" s="27">
        <f>+Parámetros!$H$6</f>
        <v>2285593.2000000007</v>
      </c>
      <c r="BT12" s="27">
        <f>+Parámetros!$H$6</f>
        <v>2285593.2000000007</v>
      </c>
      <c r="BU12" s="27">
        <f>+Parámetros!$H$6</f>
        <v>2285593.2000000007</v>
      </c>
      <c r="BV12" s="27">
        <f>+Parámetros!$H$6</f>
        <v>2285593.2000000007</v>
      </c>
      <c r="BW12" s="27">
        <f>+Parámetros!$H$6</f>
        <v>2285593.2000000007</v>
      </c>
      <c r="BX12" s="27">
        <f>+Parámetros!$H$6</f>
        <v>2285593.2000000007</v>
      </c>
      <c r="BY12" s="27">
        <f>+Parámetros!$H$6</f>
        <v>2285593.2000000007</v>
      </c>
      <c r="BZ12" s="27">
        <f>+Parámetros!$H$6</f>
        <v>2285593.2000000007</v>
      </c>
      <c r="CA12" s="27">
        <f>+Parámetros!$H$6</f>
        <v>2285593.2000000007</v>
      </c>
      <c r="CB12" s="27">
        <f>+Parámetros!$H$6</f>
        <v>2285593.2000000007</v>
      </c>
      <c r="CC12" s="49"/>
      <c r="CD12" s="27">
        <f>+Parámetros!$I$6</f>
        <v>2514152.5200000009</v>
      </c>
      <c r="CE12" s="27">
        <f>+Parámetros!$I$6</f>
        <v>2514152.5200000009</v>
      </c>
      <c r="CF12" s="27">
        <f>+Parámetros!$I$6</f>
        <v>2514152.5200000009</v>
      </c>
      <c r="CG12" s="27">
        <f>+Parámetros!$I$6</f>
        <v>2514152.5200000009</v>
      </c>
      <c r="CH12" s="27">
        <f>+Parámetros!$I$6</f>
        <v>2514152.5200000009</v>
      </c>
      <c r="CI12" s="27">
        <f>+Parámetros!$I$6</f>
        <v>2514152.5200000009</v>
      </c>
      <c r="CJ12" s="27">
        <f>+Parámetros!$I$6</f>
        <v>2514152.5200000009</v>
      </c>
      <c r="CK12" s="27">
        <f>+Parámetros!$I$6</f>
        <v>2514152.5200000009</v>
      </c>
      <c r="CL12" s="27">
        <f>+Parámetros!$I$6</f>
        <v>2514152.5200000009</v>
      </c>
      <c r="CM12" s="27">
        <f>+Parámetros!$I$6</f>
        <v>2514152.5200000009</v>
      </c>
      <c r="CN12" s="27">
        <f>+Parámetros!$I$6</f>
        <v>2514152.5200000009</v>
      </c>
      <c r="CO12" s="27">
        <f>+Parámetros!$I$6</f>
        <v>2514152.5200000009</v>
      </c>
      <c r="CP12" s="49"/>
    </row>
    <row r="13" spans="1:101" s="27" customFormat="1" x14ac:dyDescent="0.25">
      <c r="B13" s="52"/>
      <c r="C13" s="51">
        <f>+C11*C12</f>
        <v>66560000</v>
      </c>
      <c r="D13" s="51">
        <f t="shared" ref="D13:O13" si="11">+D11*D12</f>
        <v>28800000.000000004</v>
      </c>
      <c r="E13" s="51">
        <f t="shared" si="11"/>
        <v>9600000</v>
      </c>
      <c r="F13" s="51">
        <f t="shared" si="11"/>
        <v>28800000.000000004</v>
      </c>
      <c r="G13" s="51">
        <f t="shared" si="11"/>
        <v>57600000.000000007</v>
      </c>
      <c r="H13" s="51">
        <f t="shared" si="11"/>
        <v>57600000.000000007</v>
      </c>
      <c r="I13" s="51">
        <f t="shared" si="11"/>
        <v>57600000.000000007</v>
      </c>
      <c r="J13" s="51">
        <f t="shared" si="11"/>
        <v>28800000.000000004</v>
      </c>
      <c r="K13" s="51">
        <f t="shared" si="11"/>
        <v>57600000.000000007</v>
      </c>
      <c r="L13" s="51">
        <f t="shared" si="11"/>
        <v>9600000</v>
      </c>
      <c r="M13" s="51">
        <f t="shared" si="11"/>
        <v>57600000.000000007</v>
      </c>
      <c r="N13" s="51">
        <f t="shared" si="11"/>
        <v>57600000.000000007</v>
      </c>
      <c r="O13" s="51">
        <f t="shared" si="11"/>
        <v>19200000</v>
      </c>
      <c r="P13" s="49">
        <f>SUM(D13:O13)</f>
        <v>470400000</v>
      </c>
      <c r="Q13" s="51">
        <f t="shared" ref="Q13:AB13" si="12">+Q11*Q12</f>
        <v>32359680.000000007</v>
      </c>
      <c r="R13" s="51">
        <f t="shared" si="12"/>
        <v>10786560.000000004</v>
      </c>
      <c r="S13" s="51">
        <f t="shared" si="12"/>
        <v>32359680.000000007</v>
      </c>
      <c r="T13" s="51">
        <f t="shared" si="12"/>
        <v>64719360.000000015</v>
      </c>
      <c r="U13" s="51">
        <f t="shared" si="12"/>
        <v>64719360.000000015</v>
      </c>
      <c r="V13" s="51">
        <f t="shared" si="12"/>
        <v>64719360.000000015</v>
      </c>
      <c r="W13" s="51">
        <f t="shared" si="12"/>
        <v>32359680.000000007</v>
      </c>
      <c r="X13" s="51">
        <f t="shared" si="12"/>
        <v>64719360.000000015</v>
      </c>
      <c r="Y13" s="51">
        <f t="shared" si="12"/>
        <v>10786560.000000004</v>
      </c>
      <c r="Z13" s="51">
        <f t="shared" si="12"/>
        <v>64719360.000000015</v>
      </c>
      <c r="AA13" s="51">
        <f t="shared" si="12"/>
        <v>64719360.000000015</v>
      </c>
      <c r="AB13" s="51">
        <f t="shared" si="12"/>
        <v>21573120.000000007</v>
      </c>
      <c r="AC13" s="49">
        <f>SUM(Q13:AB13)</f>
        <v>528541440.00000006</v>
      </c>
      <c r="AD13" s="51">
        <f t="shared" ref="AD13:AO13" si="13">+AD11*AD12</f>
        <v>37045361.664000012</v>
      </c>
      <c r="AE13" s="51">
        <f t="shared" si="13"/>
        <v>12348453.888000004</v>
      </c>
      <c r="AF13" s="51">
        <f t="shared" si="13"/>
        <v>37045361.664000012</v>
      </c>
      <c r="AG13" s="51">
        <f t="shared" si="13"/>
        <v>74090723.328000024</v>
      </c>
      <c r="AH13" s="51">
        <f t="shared" si="13"/>
        <v>74090723.328000024</v>
      </c>
      <c r="AI13" s="51">
        <f t="shared" si="13"/>
        <v>74090723.328000024</v>
      </c>
      <c r="AJ13" s="51">
        <f t="shared" si="13"/>
        <v>37045361.664000012</v>
      </c>
      <c r="AK13" s="51">
        <f t="shared" si="13"/>
        <v>74090723.328000024</v>
      </c>
      <c r="AL13" s="51">
        <f t="shared" si="13"/>
        <v>12348453.888000004</v>
      </c>
      <c r="AM13" s="51">
        <f t="shared" si="13"/>
        <v>74090723.328000024</v>
      </c>
      <c r="AN13" s="51">
        <f t="shared" si="13"/>
        <v>74090723.328000024</v>
      </c>
      <c r="AO13" s="51">
        <f t="shared" si="13"/>
        <v>24696907.776000008</v>
      </c>
      <c r="AP13" s="49">
        <f>SUM(AD13:AO13)</f>
        <v>605074240.5120002</v>
      </c>
      <c r="AQ13" s="51">
        <f t="shared" ref="AQ13:BB13" si="14">+AQ11*AQ12</f>
        <v>43194891.70022402</v>
      </c>
      <c r="AR13" s="51">
        <f t="shared" si="14"/>
        <v>14398297.233408006</v>
      </c>
      <c r="AS13" s="51">
        <f t="shared" si="14"/>
        <v>43194891.70022402</v>
      </c>
      <c r="AT13" s="51">
        <f t="shared" si="14"/>
        <v>86389783.400448039</v>
      </c>
      <c r="AU13" s="51">
        <f t="shared" si="14"/>
        <v>86389783.400448039</v>
      </c>
      <c r="AV13" s="51">
        <f t="shared" si="14"/>
        <v>86389783.400448039</v>
      </c>
      <c r="AW13" s="51">
        <f t="shared" si="14"/>
        <v>43194891.70022402</v>
      </c>
      <c r="AX13" s="51">
        <f t="shared" si="14"/>
        <v>86389783.400448039</v>
      </c>
      <c r="AY13" s="51">
        <f t="shared" si="14"/>
        <v>14398297.233408006</v>
      </c>
      <c r="AZ13" s="51">
        <f t="shared" si="14"/>
        <v>86389783.400448039</v>
      </c>
      <c r="BA13" s="51">
        <f t="shared" si="14"/>
        <v>86389783.400448039</v>
      </c>
      <c r="BB13" s="51">
        <f t="shared" si="14"/>
        <v>28796594.466816012</v>
      </c>
      <c r="BC13" s="49">
        <f>SUM(AQ13:BB13)</f>
        <v>705516564.43699241</v>
      </c>
      <c r="BD13" s="51">
        <f t="shared" ref="BD13:BO13" si="15">+BD11*BD12</f>
        <v>50365243.722461209</v>
      </c>
      <c r="BE13" s="51">
        <f t="shared" si="15"/>
        <v>16788414.57415374</v>
      </c>
      <c r="BF13" s="51">
        <f t="shared" si="15"/>
        <v>50365243.722461209</v>
      </c>
      <c r="BG13" s="51">
        <f t="shared" si="15"/>
        <v>100730487.44492242</v>
      </c>
      <c r="BH13" s="51">
        <f t="shared" si="15"/>
        <v>100730487.44492242</v>
      </c>
      <c r="BI13" s="51">
        <f t="shared" si="15"/>
        <v>100730487.44492242</v>
      </c>
      <c r="BJ13" s="51">
        <f t="shared" si="15"/>
        <v>50365243.722461209</v>
      </c>
      <c r="BK13" s="51">
        <f t="shared" si="15"/>
        <v>100730487.44492242</v>
      </c>
      <c r="BL13" s="51">
        <f t="shared" si="15"/>
        <v>16788414.57415374</v>
      </c>
      <c r="BM13" s="51">
        <f t="shared" si="15"/>
        <v>100730487.44492242</v>
      </c>
      <c r="BN13" s="51">
        <f t="shared" si="15"/>
        <v>100730487.44492242</v>
      </c>
      <c r="BO13" s="51">
        <f t="shared" si="15"/>
        <v>33576829.14830748</v>
      </c>
      <c r="BP13" s="49">
        <f>SUM(BD13:BO13)</f>
        <v>822632314.13353324</v>
      </c>
      <c r="BQ13" s="51">
        <f t="shared" ref="BQ13:CB13" si="16">+BQ11*BQ12</f>
        <v>58725874.180389769</v>
      </c>
      <c r="BR13" s="51">
        <f t="shared" si="16"/>
        <v>19575291.393463258</v>
      </c>
      <c r="BS13" s="51">
        <f t="shared" si="16"/>
        <v>58725874.180389769</v>
      </c>
      <c r="BT13" s="51">
        <f t="shared" si="16"/>
        <v>117451748.36077954</v>
      </c>
      <c r="BU13" s="51">
        <f t="shared" si="16"/>
        <v>117451748.36077954</v>
      </c>
      <c r="BV13" s="51">
        <f t="shared" si="16"/>
        <v>117451748.36077954</v>
      </c>
      <c r="BW13" s="51">
        <f t="shared" si="16"/>
        <v>58725874.180389769</v>
      </c>
      <c r="BX13" s="51">
        <f t="shared" si="16"/>
        <v>117451748.36077954</v>
      </c>
      <c r="BY13" s="51">
        <f t="shared" si="16"/>
        <v>19575291.393463258</v>
      </c>
      <c r="BZ13" s="51">
        <f t="shared" si="16"/>
        <v>117451748.36077954</v>
      </c>
      <c r="CA13" s="51">
        <f t="shared" si="16"/>
        <v>117451748.36077954</v>
      </c>
      <c r="CB13" s="51">
        <f t="shared" si="16"/>
        <v>39150582.786926515</v>
      </c>
      <c r="CC13" s="49">
        <f>SUM(BQ13:CB13)</f>
        <v>959189278.27969956</v>
      </c>
      <c r="CD13" s="51">
        <f t="shared" ref="CD13:CO13" si="17">+CD11*CD12</f>
        <v>68474369.294334486</v>
      </c>
      <c r="CE13" s="51">
        <f t="shared" si="17"/>
        <v>22824789.764778171</v>
      </c>
      <c r="CF13" s="51">
        <f t="shared" si="17"/>
        <v>68474369.294334486</v>
      </c>
      <c r="CG13" s="51">
        <f t="shared" si="17"/>
        <v>136948738.58866897</v>
      </c>
      <c r="CH13" s="51">
        <f t="shared" si="17"/>
        <v>136948738.58866897</v>
      </c>
      <c r="CI13" s="51">
        <f t="shared" si="17"/>
        <v>136948738.58866897</v>
      </c>
      <c r="CJ13" s="51">
        <f t="shared" si="17"/>
        <v>68474369.294334486</v>
      </c>
      <c r="CK13" s="51">
        <f t="shared" si="17"/>
        <v>136948738.58866897</v>
      </c>
      <c r="CL13" s="51">
        <f t="shared" si="17"/>
        <v>22824789.764778171</v>
      </c>
      <c r="CM13" s="51">
        <f t="shared" si="17"/>
        <v>136948738.58866897</v>
      </c>
      <c r="CN13" s="51">
        <f t="shared" si="17"/>
        <v>136948738.58866897</v>
      </c>
      <c r="CO13" s="51">
        <f t="shared" si="17"/>
        <v>45649579.529556341</v>
      </c>
      <c r="CP13" s="49">
        <f>SUM(CD13:CO13)</f>
        <v>1118414698.4741299</v>
      </c>
    </row>
    <row r="14" spans="1:101" s="27" customFormat="1" x14ac:dyDescent="0.25">
      <c r="B14" s="5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49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49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49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49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49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49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49"/>
    </row>
    <row r="15" spans="1:101" s="27" customFormat="1" x14ac:dyDescent="0.25">
      <c r="A15" s="27">
        <v>3</v>
      </c>
      <c r="B15" s="52"/>
      <c r="C15" s="27">
        <f t="shared" ref="C15:O15" si="18">+C7*0.8*0.15</f>
        <v>9.6</v>
      </c>
      <c r="D15" s="27">
        <f t="shared" si="18"/>
        <v>3.5999999999999996</v>
      </c>
      <c r="E15" s="27">
        <f t="shared" si="18"/>
        <v>1.2</v>
      </c>
      <c r="F15" s="27">
        <f t="shared" si="18"/>
        <v>3.5999999999999996</v>
      </c>
      <c r="G15" s="27">
        <f t="shared" si="18"/>
        <v>7.1999999999999993</v>
      </c>
      <c r="H15" s="27">
        <f t="shared" si="18"/>
        <v>7.1999999999999993</v>
      </c>
      <c r="I15" s="27">
        <f t="shared" si="18"/>
        <v>7.1999999999999993</v>
      </c>
      <c r="J15" s="27">
        <f t="shared" si="18"/>
        <v>3.5999999999999996</v>
      </c>
      <c r="K15" s="27">
        <f t="shared" si="18"/>
        <v>7.1999999999999993</v>
      </c>
      <c r="L15" s="27">
        <f t="shared" si="18"/>
        <v>1.2</v>
      </c>
      <c r="M15" s="27">
        <f t="shared" si="18"/>
        <v>7.1999999999999993</v>
      </c>
      <c r="N15" s="27">
        <f t="shared" si="18"/>
        <v>7.1999999999999993</v>
      </c>
      <c r="O15" s="27">
        <f t="shared" si="18"/>
        <v>2.4</v>
      </c>
      <c r="P15" s="49"/>
      <c r="Q15" s="27">
        <f t="shared" ref="Q15:AB15" si="19">+Q7*0.8*0.15</f>
        <v>3.8159999999999998</v>
      </c>
      <c r="R15" s="27">
        <f t="shared" si="19"/>
        <v>1.2720000000000002</v>
      </c>
      <c r="S15" s="27">
        <f t="shared" si="19"/>
        <v>3.8159999999999998</v>
      </c>
      <c r="T15" s="27">
        <f t="shared" si="19"/>
        <v>7.6319999999999997</v>
      </c>
      <c r="U15" s="27">
        <f t="shared" si="19"/>
        <v>7.6319999999999997</v>
      </c>
      <c r="V15" s="27">
        <f t="shared" si="19"/>
        <v>7.6319999999999997</v>
      </c>
      <c r="W15" s="27">
        <f t="shared" si="19"/>
        <v>3.8159999999999998</v>
      </c>
      <c r="X15" s="27">
        <f t="shared" si="19"/>
        <v>7.6319999999999997</v>
      </c>
      <c r="Y15" s="27">
        <f t="shared" si="19"/>
        <v>1.2720000000000002</v>
      </c>
      <c r="Z15" s="27">
        <f t="shared" si="19"/>
        <v>7.6319999999999997</v>
      </c>
      <c r="AA15" s="27">
        <f t="shared" si="19"/>
        <v>7.6319999999999997</v>
      </c>
      <c r="AB15" s="27">
        <f t="shared" si="19"/>
        <v>2.5440000000000005</v>
      </c>
      <c r="AC15" s="49"/>
      <c r="AD15" s="27">
        <f t="shared" ref="AD15:AO15" si="20">+AD7*0.8*0.15</f>
        <v>4.0449600000000006</v>
      </c>
      <c r="AE15" s="27">
        <f t="shared" si="20"/>
        <v>1.3483200000000004</v>
      </c>
      <c r="AF15" s="27">
        <f t="shared" si="20"/>
        <v>4.0449600000000006</v>
      </c>
      <c r="AG15" s="27">
        <f t="shared" si="20"/>
        <v>8.0899200000000011</v>
      </c>
      <c r="AH15" s="27">
        <f t="shared" si="20"/>
        <v>8.0899200000000011</v>
      </c>
      <c r="AI15" s="27">
        <f t="shared" si="20"/>
        <v>8.0899200000000011</v>
      </c>
      <c r="AJ15" s="27">
        <f t="shared" si="20"/>
        <v>4.0449600000000006</v>
      </c>
      <c r="AK15" s="27">
        <f t="shared" si="20"/>
        <v>8.0899200000000011</v>
      </c>
      <c r="AL15" s="27">
        <f t="shared" si="20"/>
        <v>1.3483200000000004</v>
      </c>
      <c r="AM15" s="27">
        <f t="shared" si="20"/>
        <v>8.0899200000000011</v>
      </c>
      <c r="AN15" s="27">
        <f t="shared" si="20"/>
        <v>8.0899200000000011</v>
      </c>
      <c r="AO15" s="27">
        <f t="shared" si="20"/>
        <v>2.6966400000000008</v>
      </c>
      <c r="AP15" s="49"/>
      <c r="AQ15" s="27">
        <f t="shared" ref="AQ15:BB15" si="21">+AQ7*0.8*0.15</f>
        <v>4.2876576000000011</v>
      </c>
      <c r="AR15" s="27">
        <f t="shared" si="21"/>
        <v>1.4292192000000004</v>
      </c>
      <c r="AS15" s="27">
        <f t="shared" si="21"/>
        <v>4.2876576000000011</v>
      </c>
      <c r="AT15" s="27">
        <f t="shared" si="21"/>
        <v>8.5753152000000021</v>
      </c>
      <c r="AU15" s="27">
        <f t="shared" si="21"/>
        <v>8.5753152000000021</v>
      </c>
      <c r="AV15" s="27">
        <f t="shared" si="21"/>
        <v>8.5753152000000021</v>
      </c>
      <c r="AW15" s="27">
        <f t="shared" si="21"/>
        <v>4.2876576000000011</v>
      </c>
      <c r="AX15" s="27">
        <f t="shared" si="21"/>
        <v>8.5753152000000021</v>
      </c>
      <c r="AY15" s="27">
        <f t="shared" si="21"/>
        <v>1.4292192000000004</v>
      </c>
      <c r="AZ15" s="27">
        <f t="shared" si="21"/>
        <v>8.5753152000000021</v>
      </c>
      <c r="BA15" s="27">
        <f t="shared" si="21"/>
        <v>8.5753152000000021</v>
      </c>
      <c r="BB15" s="27">
        <f t="shared" si="21"/>
        <v>2.8584384000000007</v>
      </c>
      <c r="BC15" s="49"/>
      <c r="BD15" s="27">
        <f t="shared" ref="BD15:BO15" si="22">+BD7*0.8*0.15</f>
        <v>4.544917056000001</v>
      </c>
      <c r="BE15" s="27">
        <f t="shared" si="22"/>
        <v>1.5149723520000007</v>
      </c>
      <c r="BF15" s="27">
        <f t="shared" si="22"/>
        <v>4.544917056000001</v>
      </c>
      <c r="BG15" s="27">
        <f t="shared" si="22"/>
        <v>9.0898341120000019</v>
      </c>
      <c r="BH15" s="27">
        <f t="shared" si="22"/>
        <v>9.0898341120000019</v>
      </c>
      <c r="BI15" s="27">
        <f t="shared" si="22"/>
        <v>9.0898341120000019</v>
      </c>
      <c r="BJ15" s="27">
        <f t="shared" si="22"/>
        <v>4.544917056000001</v>
      </c>
      <c r="BK15" s="27">
        <f t="shared" si="22"/>
        <v>9.0898341120000019</v>
      </c>
      <c r="BL15" s="27">
        <f t="shared" si="22"/>
        <v>1.5149723520000007</v>
      </c>
      <c r="BM15" s="27">
        <f t="shared" si="22"/>
        <v>9.0898341120000019</v>
      </c>
      <c r="BN15" s="27">
        <f t="shared" si="22"/>
        <v>9.0898341120000019</v>
      </c>
      <c r="BO15" s="27">
        <f t="shared" si="22"/>
        <v>3.0299447040000014</v>
      </c>
      <c r="BP15" s="49"/>
      <c r="BQ15" s="27">
        <f t="shared" ref="BQ15:CB15" si="23">+BQ7*0.8*0.15</f>
        <v>4.8176120793600008</v>
      </c>
      <c r="BR15" s="27">
        <f t="shared" si="23"/>
        <v>1.6058706931200006</v>
      </c>
      <c r="BS15" s="27">
        <f t="shared" si="23"/>
        <v>4.8176120793600008</v>
      </c>
      <c r="BT15" s="27">
        <f t="shared" si="23"/>
        <v>9.6352241587200016</v>
      </c>
      <c r="BU15" s="27">
        <f t="shared" si="23"/>
        <v>9.6352241587200016</v>
      </c>
      <c r="BV15" s="27">
        <f t="shared" si="23"/>
        <v>9.6352241587200016</v>
      </c>
      <c r="BW15" s="27">
        <f t="shared" si="23"/>
        <v>4.8176120793600008</v>
      </c>
      <c r="BX15" s="27">
        <f t="shared" si="23"/>
        <v>9.6352241587200016</v>
      </c>
      <c r="BY15" s="27">
        <f t="shared" si="23"/>
        <v>1.6058706931200006</v>
      </c>
      <c r="BZ15" s="27">
        <f t="shared" si="23"/>
        <v>9.6352241587200016</v>
      </c>
      <c r="CA15" s="27">
        <f t="shared" si="23"/>
        <v>9.6352241587200016</v>
      </c>
      <c r="CB15" s="27">
        <f t="shared" si="23"/>
        <v>3.2117413862400013</v>
      </c>
      <c r="CC15" s="49"/>
      <c r="CD15" s="27">
        <f t="shared" ref="CD15:CO15" si="24">+CD7*0.8*0.15</f>
        <v>5.1066688041216013</v>
      </c>
      <c r="CE15" s="27">
        <f t="shared" si="24"/>
        <v>1.7022229347072009</v>
      </c>
      <c r="CF15" s="27">
        <f t="shared" si="24"/>
        <v>5.1066688041216013</v>
      </c>
      <c r="CG15" s="27">
        <f t="shared" si="24"/>
        <v>10.213337608243203</v>
      </c>
      <c r="CH15" s="27">
        <f t="shared" si="24"/>
        <v>10.213337608243203</v>
      </c>
      <c r="CI15" s="27">
        <f t="shared" si="24"/>
        <v>10.213337608243203</v>
      </c>
      <c r="CJ15" s="27">
        <f t="shared" si="24"/>
        <v>5.1066688041216013</v>
      </c>
      <c r="CK15" s="27">
        <f t="shared" si="24"/>
        <v>10.213337608243203</v>
      </c>
      <c r="CL15" s="27">
        <f t="shared" si="24"/>
        <v>1.7022229347072009</v>
      </c>
      <c r="CM15" s="27">
        <f t="shared" si="24"/>
        <v>10.213337608243203</v>
      </c>
      <c r="CN15" s="27">
        <f t="shared" si="24"/>
        <v>10.213337608243203</v>
      </c>
      <c r="CO15" s="27">
        <f t="shared" si="24"/>
        <v>3.4044458694144017</v>
      </c>
      <c r="CP15" s="49">
        <f>+SUM(CD15:CO15)</f>
        <v>83.408923800652829</v>
      </c>
    </row>
    <row r="16" spans="1:101" s="27" customFormat="1" x14ac:dyDescent="0.25">
      <c r="B16" s="52"/>
      <c r="C16" s="27">
        <v>900000</v>
      </c>
      <c r="D16" s="27">
        <f>+Parámetros!$C$7</f>
        <v>1000000</v>
      </c>
      <c r="E16" s="27">
        <f>+Parámetros!$C$7</f>
        <v>1000000</v>
      </c>
      <c r="F16" s="27">
        <f>+Parámetros!$C$7</f>
        <v>1000000</v>
      </c>
      <c r="G16" s="27">
        <f>+Parámetros!$C$7</f>
        <v>1000000</v>
      </c>
      <c r="H16" s="27">
        <f>+Parámetros!$C$7</f>
        <v>1000000</v>
      </c>
      <c r="I16" s="27">
        <f>+Parámetros!$C$7</f>
        <v>1000000</v>
      </c>
      <c r="J16" s="27">
        <f>+Parámetros!$C$7</f>
        <v>1000000</v>
      </c>
      <c r="K16" s="27">
        <f>+Parámetros!$C$7</f>
        <v>1000000</v>
      </c>
      <c r="L16" s="27">
        <f>+Parámetros!$C$7</f>
        <v>1000000</v>
      </c>
      <c r="M16" s="27">
        <f>+Parámetros!$C$7</f>
        <v>1000000</v>
      </c>
      <c r="N16" s="27">
        <f>+Parámetros!$C$7</f>
        <v>1000000</v>
      </c>
      <c r="O16" s="27">
        <f>+Parámetros!$C$7</f>
        <v>1000000</v>
      </c>
      <c r="P16" s="49"/>
      <c r="Q16" s="27">
        <f>+Parámetros!$D$7</f>
        <v>1060000</v>
      </c>
      <c r="R16" s="27">
        <f>+Parámetros!$D$7</f>
        <v>1060000</v>
      </c>
      <c r="S16" s="27">
        <f>+Parámetros!$D$7</f>
        <v>1060000</v>
      </c>
      <c r="T16" s="27">
        <f>+Parámetros!$D$7</f>
        <v>1060000</v>
      </c>
      <c r="U16" s="27">
        <f>+Parámetros!$D$7</f>
        <v>1060000</v>
      </c>
      <c r="V16" s="27">
        <f>+Parámetros!$D$7</f>
        <v>1060000</v>
      </c>
      <c r="W16" s="27">
        <f>+Parámetros!$D$7</f>
        <v>1060000</v>
      </c>
      <c r="X16" s="27">
        <f>+Parámetros!$D$7</f>
        <v>1060000</v>
      </c>
      <c r="Y16" s="27">
        <f>+Parámetros!$D$7</f>
        <v>1060000</v>
      </c>
      <c r="Z16" s="27">
        <f>+Parámetros!$D$7</f>
        <v>1060000</v>
      </c>
      <c r="AA16" s="27">
        <f>+Parámetros!$D$7</f>
        <v>1060000</v>
      </c>
      <c r="AB16" s="27">
        <f>+Parámetros!$D$7</f>
        <v>1060000</v>
      </c>
      <c r="AC16" s="49"/>
      <c r="AD16" s="27">
        <f>+Parámetros!$E$7</f>
        <v>1144800</v>
      </c>
      <c r="AE16" s="27">
        <f>+Parámetros!$E$7</f>
        <v>1144800</v>
      </c>
      <c r="AF16" s="27">
        <f>+Parámetros!$E$7</f>
        <v>1144800</v>
      </c>
      <c r="AG16" s="27">
        <f>+Parámetros!$E$7</f>
        <v>1144800</v>
      </c>
      <c r="AH16" s="27">
        <f>+Parámetros!$E$7</f>
        <v>1144800</v>
      </c>
      <c r="AI16" s="27">
        <f>+Parámetros!$E$7</f>
        <v>1144800</v>
      </c>
      <c r="AJ16" s="27">
        <f>+Parámetros!$E$7</f>
        <v>1144800</v>
      </c>
      <c r="AK16" s="27">
        <f>+Parámetros!$E$7</f>
        <v>1144800</v>
      </c>
      <c r="AL16" s="27">
        <f>+Parámetros!$E$7</f>
        <v>1144800</v>
      </c>
      <c r="AM16" s="27">
        <f>+Parámetros!$E$7</f>
        <v>1144800</v>
      </c>
      <c r="AN16" s="27">
        <f>+Parámetros!$E$7</f>
        <v>1144800</v>
      </c>
      <c r="AO16" s="27">
        <f>+Parámetros!$E$7</f>
        <v>1144800</v>
      </c>
      <c r="AP16" s="49"/>
      <c r="AQ16" s="27">
        <f>+Parámetros!$G$7</f>
        <v>1385208</v>
      </c>
      <c r="AR16" s="27">
        <f>+Parámetros!$G$7</f>
        <v>1385208</v>
      </c>
      <c r="AS16" s="27">
        <f>+Parámetros!$G$7</f>
        <v>1385208</v>
      </c>
      <c r="AT16" s="27">
        <f>+Parámetros!$G$7</f>
        <v>1385208</v>
      </c>
      <c r="AU16" s="27">
        <f>+Parámetros!$G$7</f>
        <v>1385208</v>
      </c>
      <c r="AV16" s="27">
        <f>+Parámetros!$G$7</f>
        <v>1385208</v>
      </c>
      <c r="AW16" s="27">
        <f>+Parámetros!$G$7</f>
        <v>1385208</v>
      </c>
      <c r="AX16" s="27">
        <f>+Parámetros!$G$7</f>
        <v>1385208</v>
      </c>
      <c r="AY16" s="27">
        <f>+Parámetros!$G$7</f>
        <v>1385208</v>
      </c>
      <c r="AZ16" s="27">
        <f>+Parámetros!$G$7</f>
        <v>1385208</v>
      </c>
      <c r="BA16" s="27">
        <f>+Parámetros!$G$7</f>
        <v>1385208</v>
      </c>
      <c r="BB16" s="27">
        <f>+Parámetros!$G$7</f>
        <v>1385208</v>
      </c>
      <c r="BC16" s="49"/>
      <c r="BD16" s="27">
        <f>+Parámetros!$G$7</f>
        <v>1385208</v>
      </c>
      <c r="BE16" s="27">
        <f>+Parámetros!$G$7</f>
        <v>1385208</v>
      </c>
      <c r="BF16" s="27">
        <f>+Parámetros!$G$7</f>
        <v>1385208</v>
      </c>
      <c r="BG16" s="27">
        <f>+Parámetros!$G$7</f>
        <v>1385208</v>
      </c>
      <c r="BH16" s="27">
        <f>+Parámetros!$G$7</f>
        <v>1385208</v>
      </c>
      <c r="BI16" s="27">
        <f>+Parámetros!$G$7</f>
        <v>1385208</v>
      </c>
      <c r="BJ16" s="27">
        <f>+Parámetros!$G$7</f>
        <v>1385208</v>
      </c>
      <c r="BK16" s="27">
        <f>+Parámetros!$G$7</f>
        <v>1385208</v>
      </c>
      <c r="BL16" s="27">
        <f>+Parámetros!$G$7</f>
        <v>1385208</v>
      </c>
      <c r="BM16" s="27">
        <f>+Parámetros!$G$7</f>
        <v>1385208</v>
      </c>
      <c r="BN16" s="27">
        <f>+Parámetros!$G$7</f>
        <v>1385208</v>
      </c>
      <c r="BO16" s="27">
        <f>+Parámetros!$G$7</f>
        <v>1385208</v>
      </c>
      <c r="BP16" s="49"/>
      <c r="BQ16" s="27">
        <f>+Parámetros!$H$7</f>
        <v>1523728.8</v>
      </c>
      <c r="BR16" s="27">
        <f>+Parámetros!$H$7</f>
        <v>1523728.8</v>
      </c>
      <c r="BS16" s="27">
        <f>+Parámetros!$H$7</f>
        <v>1523728.8</v>
      </c>
      <c r="BT16" s="27">
        <f>+Parámetros!$H$7</f>
        <v>1523728.8</v>
      </c>
      <c r="BU16" s="27">
        <f>+Parámetros!$H$7</f>
        <v>1523728.8</v>
      </c>
      <c r="BV16" s="27">
        <f>+Parámetros!$H$7</f>
        <v>1523728.8</v>
      </c>
      <c r="BW16" s="27">
        <f>+Parámetros!$H$7</f>
        <v>1523728.8</v>
      </c>
      <c r="BX16" s="27">
        <f>+Parámetros!$H$7</f>
        <v>1523728.8</v>
      </c>
      <c r="BY16" s="27">
        <f>+Parámetros!$H$7</f>
        <v>1523728.8</v>
      </c>
      <c r="BZ16" s="27">
        <f>+Parámetros!$H$7</f>
        <v>1523728.8</v>
      </c>
      <c r="CA16" s="27">
        <f>+Parámetros!$H$7</f>
        <v>1523728.8</v>
      </c>
      <c r="CB16" s="27">
        <f>+Parámetros!$H$7</f>
        <v>1523728.8</v>
      </c>
      <c r="CC16" s="49"/>
      <c r="CD16" s="27">
        <f>+Parámetros!$I$7</f>
        <v>1676101.6800000002</v>
      </c>
      <c r="CE16" s="27">
        <f>+Parámetros!$I$7</f>
        <v>1676101.6800000002</v>
      </c>
      <c r="CF16" s="27">
        <f>+Parámetros!$I$7</f>
        <v>1676101.6800000002</v>
      </c>
      <c r="CG16" s="27">
        <f>+Parámetros!$I$7</f>
        <v>1676101.6800000002</v>
      </c>
      <c r="CH16" s="27">
        <f>+Parámetros!$I$7</f>
        <v>1676101.6800000002</v>
      </c>
      <c r="CI16" s="27">
        <f>+Parámetros!$I$7</f>
        <v>1676101.6800000002</v>
      </c>
      <c r="CJ16" s="27">
        <f>+Parámetros!$I$7</f>
        <v>1676101.6800000002</v>
      </c>
      <c r="CK16" s="27">
        <f>+Parámetros!$I$7</f>
        <v>1676101.6800000002</v>
      </c>
      <c r="CL16" s="27">
        <f>+Parámetros!$I$7</f>
        <v>1676101.6800000002</v>
      </c>
      <c r="CM16" s="27">
        <f>+Parámetros!$I$7</f>
        <v>1676101.6800000002</v>
      </c>
      <c r="CN16" s="27">
        <f>+Parámetros!$I$7</f>
        <v>1676101.6800000002</v>
      </c>
      <c r="CO16" s="27">
        <f>+Parámetros!$I$7</f>
        <v>1676101.6800000002</v>
      </c>
      <c r="CP16" s="49"/>
    </row>
    <row r="17" spans="1:94" s="27" customFormat="1" x14ac:dyDescent="0.25">
      <c r="B17" s="52"/>
      <c r="C17" s="51">
        <f>+C15*C16</f>
        <v>8640000</v>
      </c>
      <c r="D17" s="51">
        <f t="shared" ref="D17:O17" si="25">+D15*D16</f>
        <v>3599999.9999999995</v>
      </c>
      <c r="E17" s="51">
        <f t="shared" si="25"/>
        <v>1200000</v>
      </c>
      <c r="F17" s="51">
        <f t="shared" si="25"/>
        <v>3599999.9999999995</v>
      </c>
      <c r="G17" s="51">
        <f t="shared" si="25"/>
        <v>7199999.9999999991</v>
      </c>
      <c r="H17" s="51">
        <f t="shared" si="25"/>
        <v>7199999.9999999991</v>
      </c>
      <c r="I17" s="51">
        <f t="shared" si="25"/>
        <v>7199999.9999999991</v>
      </c>
      <c r="J17" s="51">
        <f t="shared" si="25"/>
        <v>3599999.9999999995</v>
      </c>
      <c r="K17" s="51">
        <f t="shared" si="25"/>
        <v>7199999.9999999991</v>
      </c>
      <c r="L17" s="51">
        <f t="shared" si="25"/>
        <v>1200000</v>
      </c>
      <c r="M17" s="51">
        <f t="shared" si="25"/>
        <v>7199999.9999999991</v>
      </c>
      <c r="N17" s="51">
        <f t="shared" si="25"/>
        <v>7199999.9999999991</v>
      </c>
      <c r="O17" s="51">
        <f t="shared" si="25"/>
        <v>2400000</v>
      </c>
      <c r="P17" s="49">
        <f>SUM(D17:O17)</f>
        <v>58800000</v>
      </c>
      <c r="Q17" s="51">
        <f t="shared" ref="Q17:AB17" si="26">+Q15*Q16</f>
        <v>4044960</v>
      </c>
      <c r="R17" s="51">
        <f t="shared" si="26"/>
        <v>1348320.0000000002</v>
      </c>
      <c r="S17" s="51">
        <f t="shared" si="26"/>
        <v>4044960</v>
      </c>
      <c r="T17" s="51">
        <f t="shared" si="26"/>
        <v>8089920</v>
      </c>
      <c r="U17" s="51">
        <f t="shared" si="26"/>
        <v>8089920</v>
      </c>
      <c r="V17" s="51">
        <f t="shared" si="26"/>
        <v>8089920</v>
      </c>
      <c r="W17" s="51">
        <f t="shared" si="26"/>
        <v>4044960</v>
      </c>
      <c r="X17" s="51">
        <f t="shared" si="26"/>
        <v>8089920</v>
      </c>
      <c r="Y17" s="51">
        <f t="shared" si="26"/>
        <v>1348320.0000000002</v>
      </c>
      <c r="Z17" s="51">
        <f t="shared" si="26"/>
        <v>8089920</v>
      </c>
      <c r="AA17" s="51">
        <f t="shared" si="26"/>
        <v>8089920</v>
      </c>
      <c r="AB17" s="51">
        <f t="shared" si="26"/>
        <v>2696640.0000000005</v>
      </c>
      <c r="AC17" s="49">
        <f>SUM(Q17:AB17)</f>
        <v>66067680</v>
      </c>
      <c r="AD17" s="51">
        <f t="shared" ref="AD17:AO17" si="27">+AD15*AD16</f>
        <v>4630670.2080000006</v>
      </c>
      <c r="AE17" s="51">
        <f t="shared" si="27"/>
        <v>1543556.7360000005</v>
      </c>
      <c r="AF17" s="51">
        <f t="shared" si="27"/>
        <v>4630670.2080000006</v>
      </c>
      <c r="AG17" s="51">
        <f t="shared" si="27"/>
        <v>9261340.4160000011</v>
      </c>
      <c r="AH17" s="51">
        <f t="shared" si="27"/>
        <v>9261340.4160000011</v>
      </c>
      <c r="AI17" s="51">
        <f t="shared" si="27"/>
        <v>9261340.4160000011</v>
      </c>
      <c r="AJ17" s="51">
        <f t="shared" si="27"/>
        <v>4630670.2080000006</v>
      </c>
      <c r="AK17" s="51">
        <f t="shared" si="27"/>
        <v>9261340.4160000011</v>
      </c>
      <c r="AL17" s="51">
        <f t="shared" si="27"/>
        <v>1543556.7360000005</v>
      </c>
      <c r="AM17" s="51">
        <f t="shared" si="27"/>
        <v>9261340.4160000011</v>
      </c>
      <c r="AN17" s="51">
        <f t="shared" si="27"/>
        <v>9261340.4160000011</v>
      </c>
      <c r="AO17" s="51">
        <f t="shared" si="27"/>
        <v>3087113.472000001</v>
      </c>
      <c r="AP17" s="49">
        <f>SUM(AD17:AO17)</f>
        <v>75634280.06400001</v>
      </c>
      <c r="AQ17" s="51">
        <f t="shared" ref="AQ17:BB17" si="28">+AQ15*AQ16</f>
        <v>5939297.6087808013</v>
      </c>
      <c r="AR17" s="51">
        <f t="shared" si="28"/>
        <v>1979765.8695936005</v>
      </c>
      <c r="AS17" s="51">
        <f t="shared" si="28"/>
        <v>5939297.6087808013</v>
      </c>
      <c r="AT17" s="51">
        <f t="shared" si="28"/>
        <v>11878595.217561603</v>
      </c>
      <c r="AU17" s="51">
        <f t="shared" si="28"/>
        <v>11878595.217561603</v>
      </c>
      <c r="AV17" s="51">
        <f t="shared" si="28"/>
        <v>11878595.217561603</v>
      </c>
      <c r="AW17" s="51">
        <f t="shared" si="28"/>
        <v>5939297.6087808013</v>
      </c>
      <c r="AX17" s="51">
        <f t="shared" si="28"/>
        <v>11878595.217561603</v>
      </c>
      <c r="AY17" s="51">
        <f t="shared" si="28"/>
        <v>1979765.8695936005</v>
      </c>
      <c r="AZ17" s="51">
        <f t="shared" si="28"/>
        <v>11878595.217561603</v>
      </c>
      <c r="BA17" s="51">
        <f t="shared" si="28"/>
        <v>11878595.217561603</v>
      </c>
      <c r="BB17" s="51">
        <f t="shared" si="28"/>
        <v>3959531.739187201</v>
      </c>
      <c r="BC17" s="49">
        <f>SUM(AQ17:BB17)</f>
        <v>97008527.610086426</v>
      </c>
      <c r="BD17" s="51">
        <f t="shared" ref="BD17:BO17" si="29">+BD15*BD16</f>
        <v>6295655.4653076492</v>
      </c>
      <c r="BE17" s="51">
        <f t="shared" si="29"/>
        <v>2098551.821769217</v>
      </c>
      <c r="BF17" s="51">
        <f t="shared" si="29"/>
        <v>6295655.4653076492</v>
      </c>
      <c r="BG17" s="51">
        <f t="shared" si="29"/>
        <v>12591310.930615298</v>
      </c>
      <c r="BH17" s="51">
        <f t="shared" si="29"/>
        <v>12591310.930615298</v>
      </c>
      <c r="BI17" s="51">
        <f t="shared" si="29"/>
        <v>12591310.930615298</v>
      </c>
      <c r="BJ17" s="51">
        <f t="shared" si="29"/>
        <v>6295655.4653076492</v>
      </c>
      <c r="BK17" s="51">
        <f t="shared" si="29"/>
        <v>12591310.930615298</v>
      </c>
      <c r="BL17" s="51">
        <f t="shared" si="29"/>
        <v>2098551.821769217</v>
      </c>
      <c r="BM17" s="51">
        <f t="shared" si="29"/>
        <v>12591310.930615298</v>
      </c>
      <c r="BN17" s="51">
        <f t="shared" si="29"/>
        <v>12591310.930615298</v>
      </c>
      <c r="BO17" s="51">
        <f t="shared" si="29"/>
        <v>4197103.6435384341</v>
      </c>
      <c r="BP17" s="49">
        <f>SUM(BD17:BO17)</f>
        <v>102829039.26669161</v>
      </c>
      <c r="BQ17" s="51">
        <f t="shared" ref="BQ17:CB17" si="30">+BQ15*BQ16</f>
        <v>7340734.2725487193</v>
      </c>
      <c r="BR17" s="51">
        <f t="shared" si="30"/>
        <v>2446911.4241829067</v>
      </c>
      <c r="BS17" s="51">
        <f t="shared" si="30"/>
        <v>7340734.2725487193</v>
      </c>
      <c r="BT17" s="51">
        <f t="shared" si="30"/>
        <v>14681468.545097439</v>
      </c>
      <c r="BU17" s="51">
        <f t="shared" si="30"/>
        <v>14681468.545097439</v>
      </c>
      <c r="BV17" s="51">
        <f t="shared" si="30"/>
        <v>14681468.545097439</v>
      </c>
      <c r="BW17" s="51">
        <f t="shared" si="30"/>
        <v>7340734.2725487193</v>
      </c>
      <c r="BX17" s="51">
        <f t="shared" si="30"/>
        <v>14681468.545097439</v>
      </c>
      <c r="BY17" s="51">
        <f t="shared" si="30"/>
        <v>2446911.4241829067</v>
      </c>
      <c r="BZ17" s="51">
        <f t="shared" si="30"/>
        <v>14681468.545097439</v>
      </c>
      <c r="CA17" s="51">
        <f t="shared" si="30"/>
        <v>14681468.545097439</v>
      </c>
      <c r="CB17" s="51">
        <f t="shared" si="30"/>
        <v>4893822.8483658135</v>
      </c>
      <c r="CC17" s="49">
        <f>SUM(BQ17:CB17)</f>
        <v>119898659.78496243</v>
      </c>
      <c r="CD17" s="51">
        <f t="shared" ref="CD17:CO17" si="31">+CD15*CD16</f>
        <v>8559296.161791807</v>
      </c>
      <c r="CE17" s="51">
        <f t="shared" si="31"/>
        <v>2853098.7205972699</v>
      </c>
      <c r="CF17" s="51">
        <f t="shared" si="31"/>
        <v>8559296.161791807</v>
      </c>
      <c r="CG17" s="51">
        <f t="shared" si="31"/>
        <v>17118592.323583614</v>
      </c>
      <c r="CH17" s="51">
        <f t="shared" si="31"/>
        <v>17118592.323583614</v>
      </c>
      <c r="CI17" s="51">
        <f t="shared" si="31"/>
        <v>17118592.323583614</v>
      </c>
      <c r="CJ17" s="51">
        <f t="shared" si="31"/>
        <v>8559296.161791807</v>
      </c>
      <c r="CK17" s="51">
        <f t="shared" si="31"/>
        <v>17118592.323583614</v>
      </c>
      <c r="CL17" s="51">
        <f t="shared" si="31"/>
        <v>2853098.7205972699</v>
      </c>
      <c r="CM17" s="51">
        <f t="shared" si="31"/>
        <v>17118592.323583614</v>
      </c>
      <c r="CN17" s="51">
        <f t="shared" si="31"/>
        <v>17118592.323583614</v>
      </c>
      <c r="CO17" s="51">
        <f t="shared" si="31"/>
        <v>5706197.4411945399</v>
      </c>
      <c r="CP17" s="49">
        <f>SUM(CD17:CO17)</f>
        <v>139801837.30926621</v>
      </c>
    </row>
    <row r="18" spans="1:94" s="27" customFormat="1" x14ac:dyDescent="0.25">
      <c r="B18" s="52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49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49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49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49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49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49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49"/>
    </row>
    <row r="19" spans="1:94" s="27" customFormat="1" x14ac:dyDescent="0.25">
      <c r="A19" s="27">
        <v>4</v>
      </c>
      <c r="B19" s="52"/>
      <c r="C19" s="27">
        <f t="shared" ref="C19:O19" si="32">+C7*0.8*0.05</f>
        <v>3.2</v>
      </c>
      <c r="D19" s="27">
        <f t="shared" si="32"/>
        <v>1.2000000000000002</v>
      </c>
      <c r="E19" s="27">
        <f t="shared" si="32"/>
        <v>0.4</v>
      </c>
      <c r="F19" s="27">
        <f t="shared" si="32"/>
        <v>1.2000000000000002</v>
      </c>
      <c r="G19" s="27">
        <f t="shared" si="32"/>
        <v>2.4000000000000004</v>
      </c>
      <c r="H19" s="27">
        <f t="shared" si="32"/>
        <v>2.4000000000000004</v>
      </c>
      <c r="I19" s="27">
        <f t="shared" si="32"/>
        <v>2.4000000000000004</v>
      </c>
      <c r="J19" s="27">
        <f t="shared" si="32"/>
        <v>1.2000000000000002</v>
      </c>
      <c r="K19" s="27">
        <f t="shared" si="32"/>
        <v>2.4000000000000004</v>
      </c>
      <c r="L19" s="27">
        <f t="shared" si="32"/>
        <v>0.4</v>
      </c>
      <c r="M19" s="27">
        <f t="shared" si="32"/>
        <v>2.4000000000000004</v>
      </c>
      <c r="N19" s="27">
        <f t="shared" si="32"/>
        <v>2.4000000000000004</v>
      </c>
      <c r="O19" s="27">
        <f t="shared" si="32"/>
        <v>0.8</v>
      </c>
      <c r="P19" s="49">
        <f>+SUM(E19:O19)</f>
        <v>18.400000000000002</v>
      </c>
      <c r="Q19" s="27">
        <f t="shared" ref="Q19:AB19" si="33">+Q7*0.8*0.05</f>
        <v>1.2720000000000002</v>
      </c>
      <c r="R19" s="27">
        <f t="shared" si="33"/>
        <v>0.42400000000000015</v>
      </c>
      <c r="S19" s="27">
        <f t="shared" si="33"/>
        <v>1.2720000000000002</v>
      </c>
      <c r="T19" s="27">
        <f t="shared" si="33"/>
        <v>2.5440000000000005</v>
      </c>
      <c r="U19" s="27">
        <f t="shared" si="33"/>
        <v>2.5440000000000005</v>
      </c>
      <c r="V19" s="27">
        <f t="shared" si="33"/>
        <v>2.5440000000000005</v>
      </c>
      <c r="W19" s="27">
        <f t="shared" si="33"/>
        <v>1.2720000000000002</v>
      </c>
      <c r="X19" s="27">
        <f t="shared" si="33"/>
        <v>2.5440000000000005</v>
      </c>
      <c r="Y19" s="27">
        <f t="shared" si="33"/>
        <v>0.42400000000000015</v>
      </c>
      <c r="Z19" s="27">
        <f t="shared" si="33"/>
        <v>2.5440000000000005</v>
      </c>
      <c r="AA19" s="27">
        <f t="shared" si="33"/>
        <v>2.5440000000000005</v>
      </c>
      <c r="AB19" s="27">
        <f t="shared" si="33"/>
        <v>0.84800000000000031</v>
      </c>
      <c r="AC19" s="49">
        <f>+SUM(Q19:AB19)</f>
        <v>20.776</v>
      </c>
      <c r="AD19" s="27">
        <f t="shared" ref="AD19:AO19" si="34">+AD7*0.8*0.05</f>
        <v>1.3483200000000004</v>
      </c>
      <c r="AE19" s="27">
        <f t="shared" si="34"/>
        <v>0.44944000000000017</v>
      </c>
      <c r="AF19" s="27">
        <f t="shared" si="34"/>
        <v>1.3483200000000004</v>
      </c>
      <c r="AG19" s="27">
        <f t="shared" si="34"/>
        <v>2.6966400000000008</v>
      </c>
      <c r="AH19" s="27">
        <f t="shared" si="34"/>
        <v>2.6966400000000008</v>
      </c>
      <c r="AI19" s="27">
        <f t="shared" si="34"/>
        <v>2.6966400000000008</v>
      </c>
      <c r="AJ19" s="27">
        <f t="shared" si="34"/>
        <v>1.3483200000000004</v>
      </c>
      <c r="AK19" s="27">
        <f t="shared" si="34"/>
        <v>2.6966400000000008</v>
      </c>
      <c r="AL19" s="27">
        <f t="shared" si="34"/>
        <v>0.44944000000000017</v>
      </c>
      <c r="AM19" s="27">
        <f t="shared" si="34"/>
        <v>2.6966400000000008</v>
      </c>
      <c r="AN19" s="27">
        <f t="shared" si="34"/>
        <v>2.6966400000000008</v>
      </c>
      <c r="AO19" s="27">
        <f t="shared" si="34"/>
        <v>0.89888000000000035</v>
      </c>
      <c r="AP19" s="49">
        <f>+SUM(AD19:AO19)</f>
        <v>22.022560000000009</v>
      </c>
      <c r="AQ19" s="27">
        <f t="shared" ref="AQ19:BB19" si="35">+AQ7*0.8*0.05</f>
        <v>1.4292192000000004</v>
      </c>
      <c r="AR19" s="27">
        <f t="shared" si="35"/>
        <v>0.47640640000000012</v>
      </c>
      <c r="AS19" s="27">
        <f t="shared" si="35"/>
        <v>1.4292192000000004</v>
      </c>
      <c r="AT19" s="27">
        <f t="shared" si="35"/>
        <v>2.8584384000000007</v>
      </c>
      <c r="AU19" s="27">
        <f t="shared" si="35"/>
        <v>2.8584384000000007</v>
      </c>
      <c r="AV19" s="27">
        <f t="shared" si="35"/>
        <v>2.8584384000000007</v>
      </c>
      <c r="AW19" s="27">
        <f t="shared" si="35"/>
        <v>1.4292192000000004</v>
      </c>
      <c r="AX19" s="27">
        <f t="shared" si="35"/>
        <v>2.8584384000000007</v>
      </c>
      <c r="AY19" s="27">
        <f t="shared" si="35"/>
        <v>0.47640640000000012</v>
      </c>
      <c r="AZ19" s="27">
        <f t="shared" si="35"/>
        <v>2.8584384000000007</v>
      </c>
      <c r="BA19" s="27">
        <f t="shared" si="35"/>
        <v>2.8584384000000007</v>
      </c>
      <c r="BB19" s="27">
        <f t="shared" si="35"/>
        <v>0.95281280000000024</v>
      </c>
      <c r="BC19" s="49">
        <f>+SUM(AQ19:BB19)</f>
        <v>23.343913600000004</v>
      </c>
      <c r="BD19" s="27">
        <f t="shared" ref="BD19:BO19" si="36">+BD7*0.8*0.05</f>
        <v>1.5149723520000005</v>
      </c>
      <c r="BE19" s="27">
        <f t="shared" si="36"/>
        <v>0.50499078400000019</v>
      </c>
      <c r="BF19" s="27">
        <f t="shared" si="36"/>
        <v>1.5149723520000005</v>
      </c>
      <c r="BG19" s="27">
        <f t="shared" si="36"/>
        <v>3.0299447040000009</v>
      </c>
      <c r="BH19" s="27">
        <f t="shared" si="36"/>
        <v>3.0299447040000009</v>
      </c>
      <c r="BI19" s="27">
        <f t="shared" si="36"/>
        <v>3.0299447040000009</v>
      </c>
      <c r="BJ19" s="27">
        <f t="shared" si="36"/>
        <v>1.5149723520000005</v>
      </c>
      <c r="BK19" s="27">
        <f t="shared" si="36"/>
        <v>3.0299447040000009</v>
      </c>
      <c r="BL19" s="27">
        <f t="shared" si="36"/>
        <v>0.50499078400000019</v>
      </c>
      <c r="BM19" s="27">
        <f t="shared" si="36"/>
        <v>3.0299447040000009</v>
      </c>
      <c r="BN19" s="27">
        <f t="shared" si="36"/>
        <v>3.0299447040000009</v>
      </c>
      <c r="BO19" s="27">
        <f t="shared" si="36"/>
        <v>1.0099815680000004</v>
      </c>
      <c r="BP19" s="49">
        <f>+SUM(BD19:BO19)</f>
        <v>24.744548416000011</v>
      </c>
      <c r="BQ19" s="27">
        <f t="shared" ref="BQ19:CB19" si="37">+BQ7*0.8*0.05</f>
        <v>1.6058706931200004</v>
      </c>
      <c r="BR19" s="27">
        <f t="shared" si="37"/>
        <v>0.53529023104000018</v>
      </c>
      <c r="BS19" s="27">
        <f t="shared" si="37"/>
        <v>1.6058706931200004</v>
      </c>
      <c r="BT19" s="27">
        <f t="shared" si="37"/>
        <v>3.2117413862400008</v>
      </c>
      <c r="BU19" s="27">
        <f t="shared" si="37"/>
        <v>3.2117413862400008</v>
      </c>
      <c r="BV19" s="27">
        <f t="shared" si="37"/>
        <v>3.2117413862400008</v>
      </c>
      <c r="BW19" s="27">
        <f t="shared" si="37"/>
        <v>1.6058706931200004</v>
      </c>
      <c r="BX19" s="27">
        <f t="shared" si="37"/>
        <v>3.2117413862400008</v>
      </c>
      <c r="BY19" s="27">
        <f t="shared" si="37"/>
        <v>0.53529023104000018</v>
      </c>
      <c r="BZ19" s="27">
        <f t="shared" si="37"/>
        <v>3.2117413862400008</v>
      </c>
      <c r="CA19" s="27">
        <f t="shared" si="37"/>
        <v>3.2117413862400008</v>
      </c>
      <c r="CB19" s="27">
        <f t="shared" si="37"/>
        <v>1.0705804620800004</v>
      </c>
      <c r="CC19" s="49">
        <f>+SUM(BQ19:CB19)</f>
        <v>26.229221320960004</v>
      </c>
      <c r="CD19" s="27">
        <f t="shared" ref="CD19:CO19" si="38">+CD7*0.8*0.05</f>
        <v>1.7022229347072007</v>
      </c>
      <c r="CE19" s="27">
        <f t="shared" si="38"/>
        <v>0.56740764490240037</v>
      </c>
      <c r="CF19" s="27">
        <f t="shared" si="38"/>
        <v>1.7022229347072007</v>
      </c>
      <c r="CG19" s="27">
        <f t="shared" si="38"/>
        <v>3.4044458694144013</v>
      </c>
      <c r="CH19" s="27">
        <f t="shared" si="38"/>
        <v>3.4044458694144013</v>
      </c>
      <c r="CI19" s="27">
        <f t="shared" si="38"/>
        <v>3.4044458694144013</v>
      </c>
      <c r="CJ19" s="27">
        <f t="shared" si="38"/>
        <v>1.7022229347072007</v>
      </c>
      <c r="CK19" s="27">
        <f t="shared" si="38"/>
        <v>3.4044458694144013</v>
      </c>
      <c r="CL19" s="27">
        <f t="shared" si="38"/>
        <v>0.56740764490240037</v>
      </c>
      <c r="CM19" s="27">
        <f t="shared" si="38"/>
        <v>3.4044458694144013</v>
      </c>
      <c r="CN19" s="27">
        <f t="shared" si="38"/>
        <v>3.4044458694144013</v>
      </c>
      <c r="CO19" s="27">
        <f t="shared" si="38"/>
        <v>1.1348152898048007</v>
      </c>
      <c r="CP19" s="49">
        <f>+SUM(CD19:CO19)</f>
        <v>27.802974600217613</v>
      </c>
    </row>
    <row r="20" spans="1:94" s="27" customFormat="1" x14ac:dyDescent="0.25">
      <c r="B20" s="52"/>
      <c r="C20" s="27">
        <v>850000</v>
      </c>
      <c r="D20" s="27">
        <f>+Parámetros!$C$8</f>
        <v>850000</v>
      </c>
      <c r="E20" s="27">
        <f>+Parámetros!$C$8</f>
        <v>850000</v>
      </c>
      <c r="F20" s="27">
        <f>+Parámetros!$C$8</f>
        <v>850000</v>
      </c>
      <c r="G20" s="27">
        <f>+Parámetros!$C$8</f>
        <v>850000</v>
      </c>
      <c r="H20" s="27">
        <f>+Parámetros!$C$8</f>
        <v>850000</v>
      </c>
      <c r="I20" s="27">
        <f>+Parámetros!$C$8</f>
        <v>850000</v>
      </c>
      <c r="J20" s="27">
        <f>+Parámetros!$C$8</f>
        <v>850000</v>
      </c>
      <c r="K20" s="27">
        <f>+Parámetros!$C$8</f>
        <v>850000</v>
      </c>
      <c r="L20" s="27">
        <f>+Parámetros!$C$8</f>
        <v>850000</v>
      </c>
      <c r="M20" s="27">
        <f>+Parámetros!$C$8</f>
        <v>850000</v>
      </c>
      <c r="N20" s="27">
        <f>+Parámetros!$C$8</f>
        <v>850000</v>
      </c>
      <c r="O20" s="27">
        <f>+Parámetros!$C$8</f>
        <v>850000</v>
      </c>
      <c r="P20" s="49"/>
      <c r="Q20" s="27">
        <f>+Parámetros!$D$8</f>
        <v>901000</v>
      </c>
      <c r="R20" s="27">
        <f>+Parámetros!$D$8</f>
        <v>901000</v>
      </c>
      <c r="S20" s="27">
        <f>+Parámetros!$D$8</f>
        <v>901000</v>
      </c>
      <c r="T20" s="27">
        <f>+Parámetros!$D$8</f>
        <v>901000</v>
      </c>
      <c r="U20" s="27">
        <f>+Parámetros!$D$8</f>
        <v>901000</v>
      </c>
      <c r="V20" s="27">
        <f>+Parámetros!$D$8</f>
        <v>901000</v>
      </c>
      <c r="W20" s="27">
        <f>+Parámetros!$D$8</f>
        <v>901000</v>
      </c>
      <c r="X20" s="27">
        <f>+Parámetros!$D$8</f>
        <v>901000</v>
      </c>
      <c r="Y20" s="27">
        <f>+Parámetros!$D$8</f>
        <v>901000</v>
      </c>
      <c r="Z20" s="27">
        <f>+Parámetros!$D$8</f>
        <v>901000</v>
      </c>
      <c r="AA20" s="27">
        <f>+Parámetros!$D$8</f>
        <v>901000</v>
      </c>
      <c r="AB20" s="27">
        <f>+Parámetros!$D$8</f>
        <v>901000</v>
      </c>
      <c r="AC20" s="49"/>
      <c r="AD20" s="27">
        <f>+Parámetros!$E$8</f>
        <v>973080.00000000012</v>
      </c>
      <c r="AE20" s="27">
        <f>+Parámetros!$E$8</f>
        <v>973080.00000000012</v>
      </c>
      <c r="AF20" s="27">
        <f>+Parámetros!$E$8</f>
        <v>973080.00000000012</v>
      </c>
      <c r="AG20" s="27">
        <f>+Parámetros!$E$8</f>
        <v>973080.00000000012</v>
      </c>
      <c r="AH20" s="27">
        <f>+Parámetros!$E$8</f>
        <v>973080.00000000012</v>
      </c>
      <c r="AI20" s="27">
        <f>+Parámetros!$E$8</f>
        <v>973080.00000000012</v>
      </c>
      <c r="AJ20" s="27">
        <f>+Parámetros!$E$8</f>
        <v>973080.00000000012</v>
      </c>
      <c r="AK20" s="27">
        <f>+Parámetros!$E$8</f>
        <v>973080.00000000012</v>
      </c>
      <c r="AL20" s="27">
        <f>+Parámetros!$E$8</f>
        <v>973080.00000000012</v>
      </c>
      <c r="AM20" s="27">
        <f>+Parámetros!$E$8</f>
        <v>973080.00000000012</v>
      </c>
      <c r="AN20" s="27">
        <f>+Parámetros!$E$8</f>
        <v>973080.00000000012</v>
      </c>
      <c r="AO20" s="27">
        <f>+Parámetros!$E$8</f>
        <v>973080.00000000012</v>
      </c>
      <c r="AP20" s="49"/>
      <c r="AQ20" s="27">
        <f>+Parámetros!$F$8</f>
        <v>1070388.0000000002</v>
      </c>
      <c r="AR20" s="27">
        <f>+Parámetros!$F$8</f>
        <v>1070388.0000000002</v>
      </c>
      <c r="AS20" s="27">
        <f>+Parámetros!$F$8</f>
        <v>1070388.0000000002</v>
      </c>
      <c r="AT20" s="27">
        <f>+Parámetros!$F$8</f>
        <v>1070388.0000000002</v>
      </c>
      <c r="AU20" s="27">
        <f>+Parámetros!$F$8</f>
        <v>1070388.0000000002</v>
      </c>
      <c r="AV20" s="27">
        <f>+Parámetros!$F$8</f>
        <v>1070388.0000000002</v>
      </c>
      <c r="AW20" s="27">
        <f>+Parámetros!$F$8</f>
        <v>1070388.0000000002</v>
      </c>
      <c r="AX20" s="27">
        <f>+Parámetros!$F$8</f>
        <v>1070388.0000000002</v>
      </c>
      <c r="AY20" s="27">
        <f>+Parámetros!$F$8</f>
        <v>1070388.0000000002</v>
      </c>
      <c r="AZ20" s="27">
        <f>+Parámetros!$F$8</f>
        <v>1070388.0000000002</v>
      </c>
      <c r="BA20" s="27">
        <f>+Parámetros!$F$8</f>
        <v>1070388.0000000002</v>
      </c>
      <c r="BB20" s="27">
        <f>+Parámetros!$F$8</f>
        <v>1070388.0000000002</v>
      </c>
      <c r="BC20" s="49"/>
      <c r="BD20" s="27">
        <f>+Parámetros!$G$8</f>
        <v>1177426.8000000003</v>
      </c>
      <c r="BE20" s="27">
        <f>+Parámetros!$G$8</f>
        <v>1177426.8000000003</v>
      </c>
      <c r="BF20" s="27">
        <f>+Parámetros!$G$8</f>
        <v>1177426.8000000003</v>
      </c>
      <c r="BG20" s="27">
        <f>+Parámetros!$G$8</f>
        <v>1177426.8000000003</v>
      </c>
      <c r="BH20" s="27">
        <f>+Parámetros!$G$8</f>
        <v>1177426.8000000003</v>
      </c>
      <c r="BI20" s="27">
        <f>+Parámetros!$G$8</f>
        <v>1177426.8000000003</v>
      </c>
      <c r="BJ20" s="27">
        <f>+Parámetros!$G$8</f>
        <v>1177426.8000000003</v>
      </c>
      <c r="BK20" s="27">
        <f>+Parámetros!$G$8</f>
        <v>1177426.8000000003</v>
      </c>
      <c r="BL20" s="27">
        <f>+Parámetros!$G$8</f>
        <v>1177426.8000000003</v>
      </c>
      <c r="BM20" s="27">
        <f>+Parámetros!$G$8</f>
        <v>1177426.8000000003</v>
      </c>
      <c r="BN20" s="27">
        <f>+Parámetros!$G$8</f>
        <v>1177426.8000000003</v>
      </c>
      <c r="BO20" s="27">
        <f>+Parámetros!$G$8</f>
        <v>1177426.8000000003</v>
      </c>
      <c r="BP20" s="49"/>
      <c r="BQ20" s="27">
        <f>+Parámetros!$H$8</f>
        <v>1295169.4800000004</v>
      </c>
      <c r="BR20" s="27">
        <f>+Parámetros!$H$8</f>
        <v>1295169.4800000004</v>
      </c>
      <c r="BS20" s="27">
        <f>+Parámetros!$H$8</f>
        <v>1295169.4800000004</v>
      </c>
      <c r="BT20" s="27">
        <f>+Parámetros!$H$8</f>
        <v>1295169.4800000004</v>
      </c>
      <c r="BU20" s="27">
        <f>+Parámetros!$H$8</f>
        <v>1295169.4800000004</v>
      </c>
      <c r="BV20" s="27">
        <f>+Parámetros!$H$8</f>
        <v>1295169.4800000004</v>
      </c>
      <c r="BW20" s="27">
        <f>+Parámetros!$H$8</f>
        <v>1295169.4800000004</v>
      </c>
      <c r="BX20" s="27">
        <f>+Parámetros!$H$8</f>
        <v>1295169.4800000004</v>
      </c>
      <c r="BY20" s="27">
        <f>+Parámetros!$H$8</f>
        <v>1295169.4800000004</v>
      </c>
      <c r="BZ20" s="27">
        <f>+Parámetros!$H$8</f>
        <v>1295169.4800000004</v>
      </c>
      <c r="CA20" s="27">
        <f>+Parámetros!$H$8</f>
        <v>1295169.4800000004</v>
      </c>
      <c r="CB20" s="27">
        <f>+Parámetros!$H$8</f>
        <v>1295169.4800000004</v>
      </c>
      <c r="CC20" s="49"/>
      <c r="CD20" s="27">
        <f>+Parámetros!$I$8</f>
        <v>1424686.4280000005</v>
      </c>
      <c r="CE20" s="27">
        <f>+Parámetros!$I$8</f>
        <v>1424686.4280000005</v>
      </c>
      <c r="CF20" s="27">
        <f>+Parámetros!$I$8</f>
        <v>1424686.4280000005</v>
      </c>
      <c r="CG20" s="27">
        <f>+Parámetros!$I$8</f>
        <v>1424686.4280000005</v>
      </c>
      <c r="CH20" s="27">
        <f>+Parámetros!$I$8</f>
        <v>1424686.4280000005</v>
      </c>
      <c r="CI20" s="27">
        <f>+Parámetros!$I$8</f>
        <v>1424686.4280000005</v>
      </c>
      <c r="CJ20" s="27">
        <f>+Parámetros!$I$8</f>
        <v>1424686.4280000005</v>
      </c>
      <c r="CK20" s="27">
        <f>+Parámetros!$I$8</f>
        <v>1424686.4280000005</v>
      </c>
      <c r="CL20" s="27">
        <f>+Parámetros!$I$8</f>
        <v>1424686.4280000005</v>
      </c>
      <c r="CM20" s="27">
        <f>+Parámetros!$I$8</f>
        <v>1424686.4280000005</v>
      </c>
      <c r="CN20" s="27">
        <f>+Parámetros!$I$8</f>
        <v>1424686.4280000005</v>
      </c>
      <c r="CO20" s="27">
        <f>+Parámetros!$I$8</f>
        <v>1424686.4280000005</v>
      </c>
      <c r="CP20" s="49"/>
    </row>
    <row r="21" spans="1:94" s="27" customFormat="1" x14ac:dyDescent="0.25">
      <c r="B21" s="52"/>
      <c r="C21" s="51">
        <f>+C19*C20</f>
        <v>2720000</v>
      </c>
      <c r="D21" s="51">
        <f t="shared" ref="D21:O21" si="39">+D19*D20</f>
        <v>1020000.0000000001</v>
      </c>
      <c r="E21" s="51">
        <f t="shared" si="39"/>
        <v>340000</v>
      </c>
      <c r="F21" s="51">
        <f t="shared" si="39"/>
        <v>1020000.0000000001</v>
      </c>
      <c r="G21" s="51">
        <f t="shared" si="39"/>
        <v>2040000.0000000002</v>
      </c>
      <c r="H21" s="51">
        <f t="shared" si="39"/>
        <v>2040000.0000000002</v>
      </c>
      <c r="I21" s="51">
        <f t="shared" si="39"/>
        <v>2040000.0000000002</v>
      </c>
      <c r="J21" s="51">
        <f t="shared" si="39"/>
        <v>1020000.0000000001</v>
      </c>
      <c r="K21" s="51">
        <f t="shared" si="39"/>
        <v>2040000.0000000002</v>
      </c>
      <c r="L21" s="51">
        <f t="shared" si="39"/>
        <v>340000</v>
      </c>
      <c r="M21" s="51">
        <f t="shared" si="39"/>
        <v>2040000.0000000002</v>
      </c>
      <c r="N21" s="51">
        <f t="shared" si="39"/>
        <v>2040000.0000000002</v>
      </c>
      <c r="O21" s="51">
        <f t="shared" si="39"/>
        <v>680000</v>
      </c>
      <c r="P21" s="49">
        <f>SUM(D21:O21)</f>
        <v>16660000</v>
      </c>
      <c r="Q21" s="51">
        <f t="shared" ref="Q21:AB21" si="40">+Q19*Q20</f>
        <v>1146072.0000000002</v>
      </c>
      <c r="R21" s="51">
        <f t="shared" si="40"/>
        <v>382024.00000000012</v>
      </c>
      <c r="S21" s="51">
        <f t="shared" si="40"/>
        <v>1146072.0000000002</v>
      </c>
      <c r="T21" s="51">
        <f t="shared" si="40"/>
        <v>2292144.0000000005</v>
      </c>
      <c r="U21" s="51">
        <f t="shared" si="40"/>
        <v>2292144.0000000005</v>
      </c>
      <c r="V21" s="51">
        <f t="shared" si="40"/>
        <v>2292144.0000000005</v>
      </c>
      <c r="W21" s="51">
        <f t="shared" si="40"/>
        <v>1146072.0000000002</v>
      </c>
      <c r="X21" s="51">
        <f t="shared" si="40"/>
        <v>2292144.0000000005</v>
      </c>
      <c r="Y21" s="51">
        <f t="shared" si="40"/>
        <v>382024.00000000012</v>
      </c>
      <c r="Z21" s="51">
        <f t="shared" si="40"/>
        <v>2292144.0000000005</v>
      </c>
      <c r="AA21" s="51">
        <f t="shared" si="40"/>
        <v>2292144.0000000005</v>
      </c>
      <c r="AB21" s="51">
        <f t="shared" si="40"/>
        <v>764048.00000000023</v>
      </c>
      <c r="AC21" s="49">
        <f>SUM(Q21:AB21)</f>
        <v>18719176.000000004</v>
      </c>
      <c r="AD21" s="51">
        <f t="shared" ref="AD21:AO21" si="41">+AD19*AD20</f>
        <v>1312023.2256000005</v>
      </c>
      <c r="AE21" s="51">
        <f t="shared" si="41"/>
        <v>437341.0752000002</v>
      </c>
      <c r="AF21" s="51">
        <f t="shared" si="41"/>
        <v>1312023.2256000005</v>
      </c>
      <c r="AG21" s="51">
        <f t="shared" si="41"/>
        <v>2624046.4512000009</v>
      </c>
      <c r="AH21" s="51">
        <f t="shared" si="41"/>
        <v>2624046.4512000009</v>
      </c>
      <c r="AI21" s="51">
        <f t="shared" si="41"/>
        <v>2624046.4512000009</v>
      </c>
      <c r="AJ21" s="51">
        <f t="shared" si="41"/>
        <v>1312023.2256000005</v>
      </c>
      <c r="AK21" s="51">
        <f t="shared" si="41"/>
        <v>2624046.4512000009</v>
      </c>
      <c r="AL21" s="51">
        <f t="shared" si="41"/>
        <v>437341.0752000002</v>
      </c>
      <c r="AM21" s="51">
        <f t="shared" si="41"/>
        <v>2624046.4512000009</v>
      </c>
      <c r="AN21" s="51">
        <f t="shared" si="41"/>
        <v>2624046.4512000009</v>
      </c>
      <c r="AO21" s="51">
        <f t="shared" si="41"/>
        <v>874682.15040000039</v>
      </c>
      <c r="AP21" s="49">
        <f>SUM(AD21:AO21)</f>
        <v>21429712.68480001</v>
      </c>
      <c r="AQ21" s="51">
        <f t="shared" ref="AQ21:BB21" si="42">+AQ19*AQ20</f>
        <v>1529819.0810496006</v>
      </c>
      <c r="AR21" s="51">
        <f t="shared" si="42"/>
        <v>509939.69368320022</v>
      </c>
      <c r="AS21" s="51">
        <f t="shared" si="42"/>
        <v>1529819.0810496006</v>
      </c>
      <c r="AT21" s="51">
        <f t="shared" si="42"/>
        <v>3059638.1620992012</v>
      </c>
      <c r="AU21" s="51">
        <f t="shared" si="42"/>
        <v>3059638.1620992012</v>
      </c>
      <c r="AV21" s="51">
        <f t="shared" si="42"/>
        <v>3059638.1620992012</v>
      </c>
      <c r="AW21" s="51">
        <f t="shared" si="42"/>
        <v>1529819.0810496006</v>
      </c>
      <c r="AX21" s="51">
        <f t="shared" si="42"/>
        <v>3059638.1620992012</v>
      </c>
      <c r="AY21" s="51">
        <f t="shared" si="42"/>
        <v>509939.69368320022</v>
      </c>
      <c r="AZ21" s="51">
        <f t="shared" si="42"/>
        <v>3059638.1620992012</v>
      </c>
      <c r="BA21" s="51">
        <f t="shared" si="42"/>
        <v>3059638.1620992012</v>
      </c>
      <c r="BB21" s="51">
        <f t="shared" si="42"/>
        <v>1019879.3873664004</v>
      </c>
      <c r="BC21" s="49">
        <f>SUM(AQ21:BB21)</f>
        <v>24987044.990476809</v>
      </c>
      <c r="BD21" s="51">
        <f t="shared" ref="BD21:BO21" si="43">+BD19*BD20</f>
        <v>1783769.0485038345</v>
      </c>
      <c r="BE21" s="51">
        <f t="shared" si="43"/>
        <v>594589.68283461162</v>
      </c>
      <c r="BF21" s="51">
        <f t="shared" si="43"/>
        <v>1783769.0485038345</v>
      </c>
      <c r="BG21" s="51">
        <f t="shared" si="43"/>
        <v>3567538.097007669</v>
      </c>
      <c r="BH21" s="51">
        <f t="shared" si="43"/>
        <v>3567538.097007669</v>
      </c>
      <c r="BI21" s="51">
        <f t="shared" si="43"/>
        <v>3567538.097007669</v>
      </c>
      <c r="BJ21" s="51">
        <f t="shared" si="43"/>
        <v>1783769.0485038345</v>
      </c>
      <c r="BK21" s="51">
        <f t="shared" si="43"/>
        <v>3567538.097007669</v>
      </c>
      <c r="BL21" s="51">
        <f t="shared" si="43"/>
        <v>594589.68283461162</v>
      </c>
      <c r="BM21" s="51">
        <f t="shared" si="43"/>
        <v>3567538.097007669</v>
      </c>
      <c r="BN21" s="51">
        <f t="shared" si="43"/>
        <v>3567538.097007669</v>
      </c>
      <c r="BO21" s="51">
        <f t="shared" si="43"/>
        <v>1189179.3656692232</v>
      </c>
      <c r="BP21" s="49">
        <f>SUM(BD21:BO21)</f>
        <v>29134894.458895966</v>
      </c>
      <c r="BQ21" s="51">
        <f t="shared" ref="BQ21:CB21" si="44">+BQ19*BQ20</f>
        <v>2079874.7105554712</v>
      </c>
      <c r="BR21" s="51">
        <f t="shared" si="44"/>
        <v>693291.57018515712</v>
      </c>
      <c r="BS21" s="51">
        <f t="shared" si="44"/>
        <v>2079874.7105554712</v>
      </c>
      <c r="BT21" s="51">
        <f t="shared" si="44"/>
        <v>4159749.4211109425</v>
      </c>
      <c r="BU21" s="51">
        <f t="shared" si="44"/>
        <v>4159749.4211109425</v>
      </c>
      <c r="BV21" s="51">
        <f t="shared" si="44"/>
        <v>4159749.4211109425</v>
      </c>
      <c r="BW21" s="51">
        <f t="shared" si="44"/>
        <v>2079874.7105554712</v>
      </c>
      <c r="BX21" s="51">
        <f t="shared" si="44"/>
        <v>4159749.4211109425</v>
      </c>
      <c r="BY21" s="51">
        <f t="shared" si="44"/>
        <v>693291.57018515712</v>
      </c>
      <c r="BZ21" s="51">
        <f t="shared" si="44"/>
        <v>4159749.4211109425</v>
      </c>
      <c r="CA21" s="51">
        <f t="shared" si="44"/>
        <v>4159749.4211109425</v>
      </c>
      <c r="CB21" s="51">
        <f t="shared" si="44"/>
        <v>1386583.1403703142</v>
      </c>
      <c r="CC21" s="49">
        <f>SUM(BQ21:CB21)</f>
        <v>33971286.939072698</v>
      </c>
      <c r="CD21" s="51">
        <f t="shared" ref="CD21:CO21" si="45">+CD19*CD20</f>
        <v>2425133.9125076798</v>
      </c>
      <c r="CE21" s="51">
        <f t="shared" si="45"/>
        <v>808377.97083589353</v>
      </c>
      <c r="CF21" s="51">
        <f t="shared" si="45"/>
        <v>2425133.9125076798</v>
      </c>
      <c r="CG21" s="51">
        <f t="shared" si="45"/>
        <v>4850267.8250153596</v>
      </c>
      <c r="CH21" s="51">
        <f t="shared" si="45"/>
        <v>4850267.8250153596</v>
      </c>
      <c r="CI21" s="51">
        <f t="shared" si="45"/>
        <v>4850267.8250153596</v>
      </c>
      <c r="CJ21" s="51">
        <f t="shared" si="45"/>
        <v>2425133.9125076798</v>
      </c>
      <c r="CK21" s="51">
        <f t="shared" si="45"/>
        <v>4850267.8250153596</v>
      </c>
      <c r="CL21" s="51">
        <f t="shared" si="45"/>
        <v>808377.97083589353</v>
      </c>
      <c r="CM21" s="51">
        <f t="shared" si="45"/>
        <v>4850267.8250153596</v>
      </c>
      <c r="CN21" s="51">
        <f t="shared" si="45"/>
        <v>4850267.8250153596</v>
      </c>
      <c r="CO21" s="51">
        <f t="shared" si="45"/>
        <v>1616755.9416717871</v>
      </c>
      <c r="CP21" s="49">
        <f>SUM(CD21:CO21)</f>
        <v>39610520.570958771</v>
      </c>
    </row>
    <row r="22" spans="1:94" s="27" customFormat="1" x14ac:dyDescent="0.25">
      <c r="B22" s="52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49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49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49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49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49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49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49"/>
    </row>
    <row r="23" spans="1:94" s="27" customFormat="1" x14ac:dyDescent="0.25">
      <c r="B23" s="52"/>
      <c r="C23" s="51">
        <f>+C9+C13+C17+C21</f>
        <v>81920000</v>
      </c>
      <c r="D23" s="51">
        <f t="shared" ref="D23:P23" si="46">+D9+D13+D17+D21</f>
        <v>34920000</v>
      </c>
      <c r="E23" s="51">
        <f t="shared" si="46"/>
        <v>11640000</v>
      </c>
      <c r="F23" s="51">
        <f t="shared" si="46"/>
        <v>34920000</v>
      </c>
      <c r="G23" s="51">
        <f t="shared" si="46"/>
        <v>69840000</v>
      </c>
      <c r="H23" s="51">
        <f t="shared" si="46"/>
        <v>69840000</v>
      </c>
      <c r="I23" s="51">
        <f t="shared" si="46"/>
        <v>69840000</v>
      </c>
      <c r="J23" s="51">
        <f t="shared" si="46"/>
        <v>34920000</v>
      </c>
      <c r="K23" s="51">
        <f t="shared" si="46"/>
        <v>69840000</v>
      </c>
      <c r="L23" s="51">
        <f t="shared" si="46"/>
        <v>11640000</v>
      </c>
      <c r="M23" s="51">
        <f t="shared" si="46"/>
        <v>69840000</v>
      </c>
      <c r="N23" s="51">
        <f t="shared" si="46"/>
        <v>69840000</v>
      </c>
      <c r="O23" s="51">
        <f t="shared" si="46"/>
        <v>23280000</v>
      </c>
      <c r="P23" s="49">
        <f t="shared" si="46"/>
        <v>570360000</v>
      </c>
      <c r="Q23" s="51">
        <f t="shared" ref="Q23:AO23" si="47">+Q9+Q13+Q17+Q21</f>
        <v>39236112.000000007</v>
      </c>
      <c r="R23" s="51">
        <f t="shared" si="47"/>
        <v>13078704.000000004</v>
      </c>
      <c r="S23" s="51">
        <f t="shared" si="47"/>
        <v>39236112.000000007</v>
      </c>
      <c r="T23" s="51">
        <f t="shared" si="47"/>
        <v>78472224.000000015</v>
      </c>
      <c r="U23" s="51">
        <f t="shared" si="47"/>
        <v>78472224.000000015</v>
      </c>
      <c r="V23" s="51">
        <f t="shared" si="47"/>
        <v>78472224.000000015</v>
      </c>
      <c r="W23" s="51">
        <f t="shared" si="47"/>
        <v>39236112.000000007</v>
      </c>
      <c r="X23" s="51">
        <f t="shared" si="47"/>
        <v>78472224.000000015</v>
      </c>
      <c r="Y23" s="51">
        <f t="shared" si="47"/>
        <v>13078704.000000004</v>
      </c>
      <c r="Z23" s="51">
        <f t="shared" si="47"/>
        <v>78472224.000000015</v>
      </c>
      <c r="AA23" s="51">
        <f t="shared" si="47"/>
        <v>78472224.000000015</v>
      </c>
      <c r="AB23" s="51">
        <f t="shared" si="47"/>
        <v>26157408.000000007</v>
      </c>
      <c r="AC23" s="49">
        <f t="shared" si="47"/>
        <v>640856496</v>
      </c>
      <c r="AD23" s="51">
        <f t="shared" si="47"/>
        <v>44917501.017600015</v>
      </c>
      <c r="AE23" s="51">
        <f t="shared" si="47"/>
        <v>14972500.339200007</v>
      </c>
      <c r="AF23" s="51">
        <f t="shared" si="47"/>
        <v>44917501.017600015</v>
      </c>
      <c r="AG23" s="51">
        <f t="shared" si="47"/>
        <v>89835002.03520003</v>
      </c>
      <c r="AH23" s="51">
        <f t="shared" si="47"/>
        <v>89835002.03520003</v>
      </c>
      <c r="AI23" s="51">
        <f t="shared" si="47"/>
        <v>89835002.03520003</v>
      </c>
      <c r="AJ23" s="51">
        <f t="shared" si="47"/>
        <v>44917501.017600015</v>
      </c>
      <c r="AK23" s="51">
        <f t="shared" si="47"/>
        <v>89835002.03520003</v>
      </c>
      <c r="AL23" s="51">
        <f t="shared" si="47"/>
        <v>14972500.339200007</v>
      </c>
      <c r="AM23" s="51">
        <f t="shared" si="47"/>
        <v>89835002.03520003</v>
      </c>
      <c r="AN23" s="51">
        <f t="shared" si="47"/>
        <v>89835002.03520003</v>
      </c>
      <c r="AO23" s="51">
        <f t="shared" si="47"/>
        <v>29945000.678400014</v>
      </c>
      <c r="AP23" s="49">
        <f t="shared" ref="AP23" si="48">+AP9+AP13+AP17+AP21</f>
        <v>733652516.62080026</v>
      </c>
      <c r="AQ23" s="51">
        <f t="shared" ref="AQ23:BC23" si="49">+AQ9+AQ13+AQ17+AQ21</f>
        <v>52913742.332774423</v>
      </c>
      <c r="AR23" s="51">
        <f t="shared" si="49"/>
        <v>17637914.110924806</v>
      </c>
      <c r="AS23" s="51">
        <f t="shared" si="49"/>
        <v>52913742.332774423</v>
      </c>
      <c r="AT23" s="51">
        <f t="shared" si="49"/>
        <v>105827484.66554885</v>
      </c>
      <c r="AU23" s="51">
        <f t="shared" si="49"/>
        <v>105827484.66554885</v>
      </c>
      <c r="AV23" s="51">
        <f t="shared" si="49"/>
        <v>105827484.66554885</v>
      </c>
      <c r="AW23" s="51">
        <f t="shared" si="49"/>
        <v>52913742.332774423</v>
      </c>
      <c r="AX23" s="51">
        <f t="shared" si="49"/>
        <v>105827484.66554885</v>
      </c>
      <c r="AY23" s="51">
        <f t="shared" si="49"/>
        <v>17637914.110924806</v>
      </c>
      <c r="AZ23" s="51">
        <f t="shared" si="49"/>
        <v>105827484.66554885</v>
      </c>
      <c r="BA23" s="51">
        <f t="shared" si="49"/>
        <v>105827484.66554885</v>
      </c>
      <c r="BB23" s="51">
        <f t="shared" si="49"/>
        <v>35275828.221849613</v>
      </c>
      <c r="BC23" s="49">
        <f t="shared" si="49"/>
        <v>864257791.43531573</v>
      </c>
      <c r="BD23" s="51">
        <f t="shared" ref="BD23:BP23" si="50">+BD9+BD13+BD17+BD21</f>
        <v>61067858.01348421</v>
      </c>
      <c r="BE23" s="51">
        <f t="shared" si="50"/>
        <v>20355952.671161406</v>
      </c>
      <c r="BF23" s="51">
        <f t="shared" si="50"/>
        <v>61067858.01348421</v>
      </c>
      <c r="BG23" s="51">
        <f t="shared" si="50"/>
        <v>122135716.02696842</v>
      </c>
      <c r="BH23" s="51">
        <f t="shared" si="50"/>
        <v>122135716.02696842</v>
      </c>
      <c r="BI23" s="51">
        <f t="shared" si="50"/>
        <v>122135716.02696842</v>
      </c>
      <c r="BJ23" s="51">
        <f t="shared" si="50"/>
        <v>61067858.01348421</v>
      </c>
      <c r="BK23" s="51">
        <f t="shared" si="50"/>
        <v>122135716.02696842</v>
      </c>
      <c r="BL23" s="51">
        <f t="shared" si="50"/>
        <v>20355952.671161406</v>
      </c>
      <c r="BM23" s="51">
        <f t="shared" si="50"/>
        <v>122135716.02696842</v>
      </c>
      <c r="BN23" s="51">
        <f t="shared" si="50"/>
        <v>122135716.02696842</v>
      </c>
      <c r="BO23" s="51">
        <f t="shared" si="50"/>
        <v>40711905.342322811</v>
      </c>
      <c r="BP23" s="49">
        <f t="shared" si="50"/>
        <v>997441680.88690889</v>
      </c>
      <c r="BQ23" s="51">
        <f t="shared" ref="BQ23:CP23" si="51">+BQ9+BQ13+BQ17+BQ21</f>
        <v>71205122.443722591</v>
      </c>
      <c r="BR23" s="51">
        <f t="shared" si="51"/>
        <v>23735040.814574201</v>
      </c>
      <c r="BS23" s="51">
        <f t="shared" si="51"/>
        <v>71205122.443722591</v>
      </c>
      <c r="BT23" s="51">
        <f t="shared" si="51"/>
        <v>142410244.88744518</v>
      </c>
      <c r="BU23" s="51">
        <f t="shared" si="51"/>
        <v>142410244.88744518</v>
      </c>
      <c r="BV23" s="51">
        <f t="shared" si="51"/>
        <v>142410244.88744518</v>
      </c>
      <c r="BW23" s="51">
        <f t="shared" si="51"/>
        <v>71205122.443722591</v>
      </c>
      <c r="BX23" s="51">
        <f t="shared" si="51"/>
        <v>142410244.88744518</v>
      </c>
      <c r="BY23" s="51">
        <f t="shared" si="51"/>
        <v>23735040.814574201</v>
      </c>
      <c r="BZ23" s="51">
        <f t="shared" si="51"/>
        <v>142410244.88744518</v>
      </c>
      <c r="CA23" s="51">
        <f t="shared" si="51"/>
        <v>142410244.88744518</v>
      </c>
      <c r="CB23" s="51">
        <f t="shared" si="51"/>
        <v>47470081.629148401</v>
      </c>
      <c r="CC23" s="49">
        <f t="shared" si="51"/>
        <v>1163016999.9141357</v>
      </c>
      <c r="CD23" s="51">
        <f t="shared" si="51"/>
        <v>83025172.769380555</v>
      </c>
      <c r="CE23" s="51">
        <f t="shared" si="51"/>
        <v>27675057.589793533</v>
      </c>
      <c r="CF23" s="51">
        <f t="shared" si="51"/>
        <v>83025172.769380555</v>
      </c>
      <c r="CG23" s="51">
        <f t="shared" si="51"/>
        <v>166050345.53876111</v>
      </c>
      <c r="CH23" s="51">
        <f t="shared" si="51"/>
        <v>166050345.53876111</v>
      </c>
      <c r="CI23" s="51">
        <f t="shared" si="51"/>
        <v>166050345.53876111</v>
      </c>
      <c r="CJ23" s="51">
        <f t="shared" si="51"/>
        <v>83025172.769380555</v>
      </c>
      <c r="CK23" s="51">
        <f t="shared" si="51"/>
        <v>166050345.53876111</v>
      </c>
      <c r="CL23" s="51">
        <f t="shared" si="51"/>
        <v>27675057.589793533</v>
      </c>
      <c r="CM23" s="51">
        <f t="shared" si="51"/>
        <v>166050345.53876111</v>
      </c>
      <c r="CN23" s="51">
        <f t="shared" si="51"/>
        <v>166050345.53876111</v>
      </c>
      <c r="CO23" s="51">
        <f t="shared" si="51"/>
        <v>55350115.179587066</v>
      </c>
      <c r="CP23" s="49">
        <f t="shared" si="51"/>
        <v>1356077821.8998826</v>
      </c>
    </row>
    <row r="24" spans="1:94" s="27" customFormat="1" x14ac:dyDescent="0.25">
      <c r="B24" s="52"/>
      <c r="C24" s="51"/>
      <c r="D24" s="31">
        <f>+D23/$D$4</f>
        <v>0.97113298848656771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49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49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49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49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49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49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49"/>
    </row>
    <row r="25" spans="1:94" s="27" customFormat="1" x14ac:dyDescent="0.25">
      <c r="B25" s="52"/>
      <c r="P25" s="49"/>
      <c r="AC25" s="49"/>
      <c r="AP25" s="49"/>
      <c r="BC25" s="49"/>
      <c r="BP25" s="49"/>
      <c r="CC25" s="49"/>
      <c r="CP25" s="49"/>
    </row>
    <row r="26" spans="1:94" s="27" customFormat="1" x14ac:dyDescent="0.25">
      <c r="P26" s="49"/>
      <c r="AC26" s="49"/>
      <c r="AP26" s="49"/>
      <c r="BC26" s="49"/>
      <c r="BP26" s="49"/>
      <c r="CC26" s="49"/>
      <c r="CP26" s="49"/>
    </row>
    <row r="27" spans="1:94" s="27" customFormat="1" x14ac:dyDescent="0.25">
      <c r="B27" s="51" t="s">
        <v>959</v>
      </c>
      <c r="P27" s="56">
        <v>1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56">
        <v>2</v>
      </c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56">
        <v>3</v>
      </c>
      <c r="AQ27" s="47">
        <v>1</v>
      </c>
      <c r="AR27" s="47">
        <v>2</v>
      </c>
      <c r="AS27" s="47">
        <v>3</v>
      </c>
      <c r="AT27" s="47">
        <v>4</v>
      </c>
      <c r="AU27" s="47">
        <v>5</v>
      </c>
      <c r="AV27" s="47">
        <v>6</v>
      </c>
      <c r="AW27" s="47">
        <v>7</v>
      </c>
      <c r="AX27" s="47">
        <v>8</v>
      </c>
      <c r="AY27" s="47">
        <v>9</v>
      </c>
      <c r="AZ27" s="47">
        <v>10</v>
      </c>
      <c r="BA27" s="47">
        <v>11</v>
      </c>
      <c r="BB27" s="47">
        <v>12</v>
      </c>
      <c r="BC27" s="56">
        <v>4</v>
      </c>
      <c r="BD27" s="47">
        <v>1</v>
      </c>
      <c r="BE27" s="47">
        <v>2</v>
      </c>
      <c r="BF27" s="47">
        <v>3</v>
      </c>
      <c r="BG27" s="47">
        <v>4</v>
      </c>
      <c r="BH27" s="47">
        <v>5</v>
      </c>
      <c r="BI27" s="47">
        <v>6</v>
      </c>
      <c r="BJ27" s="47">
        <v>7</v>
      </c>
      <c r="BK27" s="47">
        <v>8</v>
      </c>
      <c r="BL27" s="47">
        <v>9</v>
      </c>
      <c r="BM27" s="47">
        <v>10</v>
      </c>
      <c r="BN27" s="47">
        <v>11</v>
      </c>
      <c r="BO27" s="47">
        <v>12</v>
      </c>
      <c r="BP27" s="56">
        <v>5</v>
      </c>
      <c r="BQ27" s="47">
        <v>1</v>
      </c>
      <c r="BR27" s="47">
        <v>2</v>
      </c>
      <c r="BS27" s="47">
        <v>3</v>
      </c>
      <c r="BT27" s="47">
        <v>4</v>
      </c>
      <c r="BU27" s="47">
        <v>5</v>
      </c>
      <c r="BV27" s="47">
        <v>6</v>
      </c>
      <c r="BW27" s="47">
        <v>7</v>
      </c>
      <c r="BX27" s="47">
        <v>8</v>
      </c>
      <c r="BY27" s="47">
        <v>9</v>
      </c>
      <c r="BZ27" s="47">
        <v>10</v>
      </c>
      <c r="CA27" s="47">
        <v>11</v>
      </c>
      <c r="CB27" s="47">
        <v>12</v>
      </c>
      <c r="CC27" s="56">
        <v>6</v>
      </c>
      <c r="CD27" s="47">
        <v>1</v>
      </c>
      <c r="CE27" s="47">
        <v>2</v>
      </c>
      <c r="CF27" s="47">
        <v>3</v>
      </c>
      <c r="CG27" s="47">
        <v>4</v>
      </c>
      <c r="CH27" s="47">
        <v>5</v>
      </c>
      <c r="CI27" s="47">
        <v>6</v>
      </c>
      <c r="CJ27" s="47">
        <v>7</v>
      </c>
      <c r="CK27" s="47">
        <v>8</v>
      </c>
      <c r="CL27" s="47">
        <v>9</v>
      </c>
      <c r="CM27" s="47">
        <v>10</v>
      </c>
      <c r="CN27" s="47">
        <v>11</v>
      </c>
      <c r="CO27" s="47">
        <v>12</v>
      </c>
      <c r="CP27" s="56">
        <v>7</v>
      </c>
    </row>
    <row r="28" spans="1:94" s="27" customFormat="1" x14ac:dyDescent="0.25">
      <c r="B28" s="52"/>
      <c r="C28" s="27">
        <v>80</v>
      </c>
      <c r="D28" s="27">
        <f t="shared" ref="D28:O28" si="52">+D7</f>
        <v>30</v>
      </c>
      <c r="E28" s="27">
        <f t="shared" si="52"/>
        <v>10</v>
      </c>
      <c r="F28" s="27">
        <f t="shared" si="52"/>
        <v>30</v>
      </c>
      <c r="G28" s="27">
        <f t="shared" si="52"/>
        <v>60</v>
      </c>
      <c r="H28" s="27">
        <f t="shared" si="52"/>
        <v>60</v>
      </c>
      <c r="I28" s="27">
        <f t="shared" si="52"/>
        <v>60</v>
      </c>
      <c r="J28" s="27">
        <f t="shared" si="52"/>
        <v>30</v>
      </c>
      <c r="K28" s="27">
        <f t="shared" si="52"/>
        <v>60</v>
      </c>
      <c r="L28" s="27">
        <f t="shared" si="52"/>
        <v>10</v>
      </c>
      <c r="M28" s="27">
        <f t="shared" si="52"/>
        <v>60</v>
      </c>
      <c r="N28" s="27">
        <f t="shared" si="52"/>
        <v>60</v>
      </c>
      <c r="O28" s="27">
        <f t="shared" si="52"/>
        <v>20</v>
      </c>
      <c r="P28" s="49">
        <f>+SUM(D28:O28)</f>
        <v>490</v>
      </c>
      <c r="Q28" s="27">
        <f>+Q7</f>
        <v>31.8</v>
      </c>
      <c r="R28" s="27">
        <f t="shared" ref="R28:AB28" si="53">+R7</f>
        <v>10.600000000000001</v>
      </c>
      <c r="S28" s="27">
        <f t="shared" si="53"/>
        <v>31.8</v>
      </c>
      <c r="T28" s="27">
        <f t="shared" si="53"/>
        <v>63.6</v>
      </c>
      <c r="U28" s="27">
        <f t="shared" si="53"/>
        <v>63.6</v>
      </c>
      <c r="V28" s="27">
        <f t="shared" si="53"/>
        <v>63.6</v>
      </c>
      <c r="W28" s="27">
        <f t="shared" si="53"/>
        <v>31.8</v>
      </c>
      <c r="X28" s="27">
        <f t="shared" si="53"/>
        <v>63.6</v>
      </c>
      <c r="Y28" s="27">
        <f t="shared" si="53"/>
        <v>10.600000000000001</v>
      </c>
      <c r="Z28" s="27">
        <f t="shared" si="53"/>
        <v>63.6</v>
      </c>
      <c r="AA28" s="27">
        <f t="shared" si="53"/>
        <v>63.6</v>
      </c>
      <c r="AB28" s="27">
        <f t="shared" si="53"/>
        <v>21.200000000000003</v>
      </c>
      <c r="AC28" s="49">
        <f>+SUM(Q28:AB28)</f>
        <v>519.40000000000009</v>
      </c>
      <c r="AD28" s="27">
        <f>+AD7</f>
        <v>33.708000000000006</v>
      </c>
      <c r="AE28" s="27">
        <f t="shared" ref="AE28:AO28" si="54">+AE7</f>
        <v>11.236000000000002</v>
      </c>
      <c r="AF28" s="27">
        <f t="shared" si="54"/>
        <v>33.708000000000006</v>
      </c>
      <c r="AG28" s="27">
        <f t="shared" si="54"/>
        <v>67.416000000000011</v>
      </c>
      <c r="AH28" s="27">
        <f t="shared" si="54"/>
        <v>67.416000000000011</v>
      </c>
      <c r="AI28" s="27">
        <f t="shared" si="54"/>
        <v>67.416000000000011</v>
      </c>
      <c r="AJ28" s="27">
        <f t="shared" si="54"/>
        <v>33.708000000000006</v>
      </c>
      <c r="AK28" s="27">
        <f t="shared" si="54"/>
        <v>67.416000000000011</v>
      </c>
      <c r="AL28" s="27">
        <f t="shared" si="54"/>
        <v>11.236000000000002</v>
      </c>
      <c r="AM28" s="27">
        <f t="shared" si="54"/>
        <v>67.416000000000011</v>
      </c>
      <c r="AN28" s="27">
        <f t="shared" si="54"/>
        <v>67.416000000000011</v>
      </c>
      <c r="AO28" s="27">
        <f t="shared" si="54"/>
        <v>22.472000000000005</v>
      </c>
      <c r="AP28" s="49">
        <f>+SUM(AD28:AO28)</f>
        <v>550.56400000000008</v>
      </c>
      <c r="AQ28" s="27">
        <f>+AQ7</f>
        <v>35.730480000000007</v>
      </c>
      <c r="AR28" s="27">
        <f t="shared" ref="AR28:BB28" si="55">+AR7</f>
        <v>11.910160000000003</v>
      </c>
      <c r="AS28" s="27">
        <f t="shared" si="55"/>
        <v>35.730480000000007</v>
      </c>
      <c r="AT28" s="27">
        <f t="shared" si="55"/>
        <v>71.460960000000014</v>
      </c>
      <c r="AU28" s="27">
        <f t="shared" si="55"/>
        <v>71.460960000000014</v>
      </c>
      <c r="AV28" s="27">
        <f t="shared" si="55"/>
        <v>71.460960000000014</v>
      </c>
      <c r="AW28" s="27">
        <f t="shared" si="55"/>
        <v>35.730480000000007</v>
      </c>
      <c r="AX28" s="27">
        <f t="shared" si="55"/>
        <v>71.460960000000014</v>
      </c>
      <c r="AY28" s="27">
        <f t="shared" si="55"/>
        <v>11.910160000000003</v>
      </c>
      <c r="AZ28" s="27">
        <f t="shared" si="55"/>
        <v>71.460960000000014</v>
      </c>
      <c r="BA28" s="27">
        <f t="shared" si="55"/>
        <v>71.460960000000014</v>
      </c>
      <c r="BB28" s="27">
        <f t="shared" si="55"/>
        <v>23.820320000000006</v>
      </c>
      <c r="BC28" s="49">
        <f>+SUM(AQ28:BB28)</f>
        <v>583.59784000000013</v>
      </c>
      <c r="BD28" s="27">
        <f>+BD7</f>
        <v>37.874308800000009</v>
      </c>
      <c r="BE28" s="27">
        <f t="shared" ref="BE28:BO28" si="56">+BE7</f>
        <v>12.624769600000004</v>
      </c>
      <c r="BF28" s="27">
        <f t="shared" si="56"/>
        <v>37.874308800000009</v>
      </c>
      <c r="BG28" s="27">
        <f t="shared" si="56"/>
        <v>75.748617600000017</v>
      </c>
      <c r="BH28" s="27">
        <f t="shared" si="56"/>
        <v>75.748617600000017</v>
      </c>
      <c r="BI28" s="27">
        <f t="shared" si="56"/>
        <v>75.748617600000017</v>
      </c>
      <c r="BJ28" s="27">
        <f t="shared" si="56"/>
        <v>37.874308800000009</v>
      </c>
      <c r="BK28" s="27">
        <f t="shared" si="56"/>
        <v>75.748617600000017</v>
      </c>
      <c r="BL28" s="27">
        <f t="shared" si="56"/>
        <v>12.624769600000004</v>
      </c>
      <c r="BM28" s="27">
        <f t="shared" si="56"/>
        <v>75.748617600000017</v>
      </c>
      <c r="BN28" s="27">
        <f t="shared" si="56"/>
        <v>75.748617600000017</v>
      </c>
      <c r="BO28" s="27">
        <f t="shared" si="56"/>
        <v>25.249539200000008</v>
      </c>
      <c r="BP28" s="49">
        <f>+SUM(BD28:BO28)</f>
        <v>618.61371040000006</v>
      </c>
      <c r="BQ28" s="27">
        <f>+BQ7</f>
        <v>40.14676732800001</v>
      </c>
      <c r="BR28" s="27">
        <f t="shared" ref="BR28:CB28" si="57">+BR7</f>
        <v>13.382255776000004</v>
      </c>
      <c r="BS28" s="27">
        <f t="shared" si="57"/>
        <v>40.14676732800001</v>
      </c>
      <c r="BT28" s="27">
        <f t="shared" si="57"/>
        <v>80.29353465600002</v>
      </c>
      <c r="BU28" s="27">
        <f t="shared" si="57"/>
        <v>80.29353465600002</v>
      </c>
      <c r="BV28" s="27">
        <f t="shared" si="57"/>
        <v>80.29353465600002</v>
      </c>
      <c r="BW28" s="27">
        <f t="shared" si="57"/>
        <v>40.14676732800001</v>
      </c>
      <c r="BX28" s="27">
        <f t="shared" si="57"/>
        <v>80.29353465600002</v>
      </c>
      <c r="BY28" s="27">
        <f t="shared" si="57"/>
        <v>13.382255776000004</v>
      </c>
      <c r="BZ28" s="27">
        <f t="shared" si="57"/>
        <v>80.29353465600002</v>
      </c>
      <c r="CA28" s="27">
        <f t="shared" si="57"/>
        <v>80.29353465600002</v>
      </c>
      <c r="CB28" s="27">
        <f t="shared" si="57"/>
        <v>26.764511552000009</v>
      </c>
      <c r="CC28" s="49">
        <f>+SUM(BQ28:CB28)</f>
        <v>655.73053302400024</v>
      </c>
      <c r="CD28" s="27">
        <f>+CD7</f>
        <v>42.555573367680012</v>
      </c>
      <c r="CE28" s="27">
        <f t="shared" ref="CE28:CO28" si="58">+CE7</f>
        <v>14.185191122560006</v>
      </c>
      <c r="CF28" s="27">
        <f t="shared" si="58"/>
        <v>42.555573367680012</v>
      </c>
      <c r="CG28" s="27">
        <f t="shared" si="58"/>
        <v>85.111146735360023</v>
      </c>
      <c r="CH28" s="27">
        <f t="shared" si="58"/>
        <v>85.111146735360023</v>
      </c>
      <c r="CI28" s="27">
        <f t="shared" si="58"/>
        <v>85.111146735360023</v>
      </c>
      <c r="CJ28" s="27">
        <f t="shared" si="58"/>
        <v>42.555573367680012</v>
      </c>
      <c r="CK28" s="27">
        <f t="shared" si="58"/>
        <v>85.111146735360023</v>
      </c>
      <c r="CL28" s="27">
        <f t="shared" si="58"/>
        <v>14.185191122560006</v>
      </c>
      <c r="CM28" s="27">
        <f t="shared" si="58"/>
        <v>85.111146735360023</v>
      </c>
      <c r="CN28" s="27">
        <f t="shared" si="58"/>
        <v>85.111146735360023</v>
      </c>
      <c r="CO28" s="27">
        <f t="shared" si="58"/>
        <v>28.370382245120012</v>
      </c>
      <c r="CP28" s="49">
        <f>+SUM(CD28:CO28)</f>
        <v>695.07436500544031</v>
      </c>
    </row>
    <row r="29" spans="1:94" s="27" customFormat="1" x14ac:dyDescent="0.25">
      <c r="B29" s="51"/>
      <c r="P29" s="49"/>
      <c r="AC29" s="49"/>
      <c r="AP29" s="49"/>
      <c r="BC29" s="49"/>
      <c r="BP29" s="49"/>
      <c r="CC29" s="49"/>
      <c r="CP29" s="49"/>
    </row>
    <row r="30" spans="1:94" s="27" customFormat="1" x14ac:dyDescent="0.25">
      <c r="A30" s="27">
        <v>1</v>
      </c>
      <c r="B30" s="52"/>
      <c r="C30" s="27">
        <f>+C28*40%</f>
        <v>32</v>
      </c>
      <c r="D30" s="27">
        <f t="shared" ref="D30:O30" si="59">+D28*40%</f>
        <v>12</v>
      </c>
      <c r="E30" s="27">
        <f t="shared" si="59"/>
        <v>4</v>
      </c>
      <c r="F30" s="27">
        <f t="shared" si="59"/>
        <v>12</v>
      </c>
      <c r="G30" s="27">
        <f t="shared" si="59"/>
        <v>24</v>
      </c>
      <c r="H30" s="27">
        <f t="shared" si="59"/>
        <v>24</v>
      </c>
      <c r="I30" s="27">
        <f t="shared" si="59"/>
        <v>24</v>
      </c>
      <c r="J30" s="27">
        <f t="shared" si="59"/>
        <v>12</v>
      </c>
      <c r="K30" s="27">
        <f t="shared" si="59"/>
        <v>24</v>
      </c>
      <c r="L30" s="27">
        <f t="shared" si="59"/>
        <v>4</v>
      </c>
      <c r="M30" s="27">
        <f t="shared" si="59"/>
        <v>24</v>
      </c>
      <c r="N30" s="27">
        <f t="shared" si="59"/>
        <v>24</v>
      </c>
      <c r="O30" s="27">
        <f t="shared" si="59"/>
        <v>8</v>
      </c>
      <c r="P30" s="49">
        <f>+SUM(D30:O30)</f>
        <v>196</v>
      </c>
      <c r="Q30" s="27">
        <f t="shared" ref="Q30:AB30" si="60">+Q28*40%</f>
        <v>12.72</v>
      </c>
      <c r="R30" s="27">
        <f t="shared" si="60"/>
        <v>4.2400000000000011</v>
      </c>
      <c r="S30" s="27">
        <f t="shared" si="60"/>
        <v>12.72</v>
      </c>
      <c r="T30" s="27">
        <f t="shared" si="60"/>
        <v>25.44</v>
      </c>
      <c r="U30" s="27">
        <f t="shared" si="60"/>
        <v>25.44</v>
      </c>
      <c r="V30" s="27">
        <f t="shared" si="60"/>
        <v>25.44</v>
      </c>
      <c r="W30" s="27">
        <f t="shared" si="60"/>
        <v>12.72</v>
      </c>
      <c r="X30" s="27">
        <f t="shared" si="60"/>
        <v>25.44</v>
      </c>
      <c r="Y30" s="27">
        <f t="shared" si="60"/>
        <v>4.2400000000000011</v>
      </c>
      <c r="Z30" s="27">
        <f t="shared" si="60"/>
        <v>25.44</v>
      </c>
      <c r="AA30" s="27">
        <f t="shared" si="60"/>
        <v>25.44</v>
      </c>
      <c r="AB30" s="27">
        <f t="shared" si="60"/>
        <v>8.4800000000000022</v>
      </c>
      <c r="AC30" s="49">
        <f>+SUM(Q30:AB30)</f>
        <v>207.76</v>
      </c>
      <c r="AD30" s="27">
        <f t="shared" ref="AD30:AO30" si="61">+AD28*40%</f>
        <v>13.483200000000004</v>
      </c>
      <c r="AE30" s="27">
        <f t="shared" si="61"/>
        <v>4.4944000000000015</v>
      </c>
      <c r="AF30" s="27">
        <f t="shared" si="61"/>
        <v>13.483200000000004</v>
      </c>
      <c r="AG30" s="27">
        <f t="shared" si="61"/>
        <v>26.966400000000007</v>
      </c>
      <c r="AH30" s="27">
        <f t="shared" si="61"/>
        <v>26.966400000000007</v>
      </c>
      <c r="AI30" s="27">
        <f t="shared" si="61"/>
        <v>26.966400000000007</v>
      </c>
      <c r="AJ30" s="27">
        <f t="shared" si="61"/>
        <v>13.483200000000004</v>
      </c>
      <c r="AK30" s="27">
        <f t="shared" si="61"/>
        <v>26.966400000000007</v>
      </c>
      <c r="AL30" s="27">
        <f t="shared" si="61"/>
        <v>4.4944000000000015</v>
      </c>
      <c r="AM30" s="27">
        <f t="shared" si="61"/>
        <v>26.966400000000007</v>
      </c>
      <c r="AN30" s="27">
        <f t="shared" si="61"/>
        <v>26.966400000000007</v>
      </c>
      <c r="AO30" s="27">
        <f t="shared" si="61"/>
        <v>8.988800000000003</v>
      </c>
      <c r="AP30" s="49">
        <f>+SUM(AD30:AO30)</f>
        <v>220.22560000000007</v>
      </c>
      <c r="AQ30" s="27">
        <f t="shared" ref="AQ30:BB30" si="62">+AQ28*40%</f>
        <v>14.292192000000004</v>
      </c>
      <c r="AR30" s="27">
        <f t="shared" si="62"/>
        <v>4.7640640000000012</v>
      </c>
      <c r="AS30" s="27">
        <f t="shared" si="62"/>
        <v>14.292192000000004</v>
      </c>
      <c r="AT30" s="27">
        <f t="shared" si="62"/>
        <v>28.584384000000007</v>
      </c>
      <c r="AU30" s="27">
        <f t="shared" si="62"/>
        <v>28.584384000000007</v>
      </c>
      <c r="AV30" s="27">
        <f t="shared" si="62"/>
        <v>28.584384000000007</v>
      </c>
      <c r="AW30" s="27">
        <f t="shared" si="62"/>
        <v>14.292192000000004</v>
      </c>
      <c r="AX30" s="27">
        <f t="shared" si="62"/>
        <v>28.584384000000007</v>
      </c>
      <c r="AY30" s="27">
        <f t="shared" si="62"/>
        <v>4.7640640000000012</v>
      </c>
      <c r="AZ30" s="27">
        <f t="shared" si="62"/>
        <v>28.584384000000007</v>
      </c>
      <c r="BA30" s="27">
        <f t="shared" si="62"/>
        <v>28.584384000000007</v>
      </c>
      <c r="BB30" s="27">
        <f t="shared" si="62"/>
        <v>9.5281280000000024</v>
      </c>
      <c r="BC30" s="49">
        <f>+SUM(AQ30:BB30)</f>
        <v>233.43913600000002</v>
      </c>
      <c r="BD30" s="27">
        <f t="shared" ref="BD30:BO30" si="63">+BD28*40%</f>
        <v>15.149723520000004</v>
      </c>
      <c r="BE30" s="27">
        <f t="shared" si="63"/>
        <v>5.0499078400000021</v>
      </c>
      <c r="BF30" s="27">
        <f t="shared" si="63"/>
        <v>15.149723520000004</v>
      </c>
      <c r="BG30" s="27">
        <f t="shared" si="63"/>
        <v>30.299447040000008</v>
      </c>
      <c r="BH30" s="27">
        <f t="shared" si="63"/>
        <v>30.299447040000008</v>
      </c>
      <c r="BI30" s="27">
        <f t="shared" si="63"/>
        <v>30.299447040000008</v>
      </c>
      <c r="BJ30" s="27">
        <f t="shared" si="63"/>
        <v>15.149723520000004</v>
      </c>
      <c r="BK30" s="27">
        <f t="shared" si="63"/>
        <v>30.299447040000008</v>
      </c>
      <c r="BL30" s="27">
        <f t="shared" si="63"/>
        <v>5.0499078400000021</v>
      </c>
      <c r="BM30" s="27">
        <f t="shared" si="63"/>
        <v>30.299447040000008</v>
      </c>
      <c r="BN30" s="27">
        <f t="shared" si="63"/>
        <v>30.299447040000008</v>
      </c>
      <c r="BO30" s="27">
        <f t="shared" si="63"/>
        <v>10.099815680000004</v>
      </c>
      <c r="BP30" s="49">
        <f>+SUM(BD30:BO30)</f>
        <v>247.44548416000009</v>
      </c>
      <c r="BQ30" s="27">
        <f t="shared" ref="BQ30:CB30" si="64">+BQ28*40%</f>
        <v>16.058706931200003</v>
      </c>
      <c r="BR30" s="27">
        <f t="shared" si="64"/>
        <v>5.352902310400002</v>
      </c>
      <c r="BS30" s="27">
        <f t="shared" si="64"/>
        <v>16.058706931200003</v>
      </c>
      <c r="BT30" s="27">
        <f t="shared" si="64"/>
        <v>32.117413862400007</v>
      </c>
      <c r="BU30" s="27">
        <f t="shared" si="64"/>
        <v>32.117413862400007</v>
      </c>
      <c r="BV30" s="27">
        <f t="shared" si="64"/>
        <v>32.117413862400007</v>
      </c>
      <c r="BW30" s="27">
        <f t="shared" si="64"/>
        <v>16.058706931200003</v>
      </c>
      <c r="BX30" s="27">
        <f t="shared" si="64"/>
        <v>32.117413862400007</v>
      </c>
      <c r="BY30" s="27">
        <f t="shared" si="64"/>
        <v>5.352902310400002</v>
      </c>
      <c r="BZ30" s="27">
        <f t="shared" si="64"/>
        <v>32.117413862400007</v>
      </c>
      <c r="CA30" s="27">
        <f t="shared" si="64"/>
        <v>32.117413862400007</v>
      </c>
      <c r="CB30" s="27">
        <f t="shared" si="64"/>
        <v>10.705804620800004</v>
      </c>
      <c r="CC30" s="49">
        <f>+SUM(BQ30:CB30)</f>
        <v>262.29221320960011</v>
      </c>
      <c r="CD30" s="27">
        <f t="shared" ref="CD30:CO30" si="65">+CD28*40%</f>
        <v>17.022229347072006</v>
      </c>
      <c r="CE30" s="27">
        <f t="shared" si="65"/>
        <v>5.6740764490240032</v>
      </c>
      <c r="CF30" s="27">
        <f t="shared" si="65"/>
        <v>17.022229347072006</v>
      </c>
      <c r="CG30" s="27">
        <f t="shared" si="65"/>
        <v>34.044458694144012</v>
      </c>
      <c r="CH30" s="27">
        <f t="shared" si="65"/>
        <v>34.044458694144012</v>
      </c>
      <c r="CI30" s="27">
        <f t="shared" si="65"/>
        <v>34.044458694144012</v>
      </c>
      <c r="CJ30" s="27">
        <f t="shared" si="65"/>
        <v>17.022229347072006</v>
      </c>
      <c r="CK30" s="27">
        <f t="shared" si="65"/>
        <v>34.044458694144012</v>
      </c>
      <c r="CL30" s="27">
        <f t="shared" si="65"/>
        <v>5.6740764490240032</v>
      </c>
      <c r="CM30" s="27">
        <f t="shared" si="65"/>
        <v>34.044458694144012</v>
      </c>
      <c r="CN30" s="27">
        <f t="shared" si="65"/>
        <v>34.044458694144012</v>
      </c>
      <c r="CO30" s="27">
        <f t="shared" si="65"/>
        <v>11.348152898048006</v>
      </c>
      <c r="CP30" s="49">
        <f>+SUM(CD30:CO30)</f>
        <v>278.02974600217607</v>
      </c>
    </row>
    <row r="31" spans="1:94" s="27" customFormat="1" x14ac:dyDescent="0.25">
      <c r="B31" s="52"/>
      <c r="C31" s="27">
        <v>40000</v>
      </c>
      <c r="D31" s="27">
        <f>+Parámetros!$C$10</f>
        <v>40000</v>
      </c>
      <c r="E31" s="27">
        <f>+Parámetros!$C$10</f>
        <v>40000</v>
      </c>
      <c r="F31" s="27">
        <f>+Parámetros!$C$10</f>
        <v>40000</v>
      </c>
      <c r="G31" s="27">
        <f>+Parámetros!$C$10</f>
        <v>40000</v>
      </c>
      <c r="H31" s="27">
        <f>+Parámetros!$C$10</f>
        <v>40000</v>
      </c>
      <c r="I31" s="27">
        <f>+Parámetros!$C$10</f>
        <v>40000</v>
      </c>
      <c r="J31" s="27">
        <f>+Parámetros!$C$10</f>
        <v>40000</v>
      </c>
      <c r="K31" s="27">
        <f>+Parámetros!$C$10</f>
        <v>40000</v>
      </c>
      <c r="L31" s="27">
        <f>+Parámetros!$C$10</f>
        <v>40000</v>
      </c>
      <c r="M31" s="27">
        <f>+Parámetros!$C$10</f>
        <v>40000</v>
      </c>
      <c r="N31" s="27">
        <f>+Parámetros!$C$10</f>
        <v>40000</v>
      </c>
      <c r="O31" s="27">
        <f>+Parámetros!$C$10</f>
        <v>40000</v>
      </c>
      <c r="P31" s="49"/>
      <c r="Q31" s="27">
        <f>+Parámetros!$D$10</f>
        <v>42400</v>
      </c>
      <c r="R31" s="27">
        <f>+Parámetros!$D$10</f>
        <v>42400</v>
      </c>
      <c r="S31" s="27">
        <f>+Parámetros!$D$10</f>
        <v>42400</v>
      </c>
      <c r="T31" s="27">
        <f>+Parámetros!$D$10</f>
        <v>42400</v>
      </c>
      <c r="U31" s="27">
        <f>+Parámetros!$D$10</f>
        <v>42400</v>
      </c>
      <c r="V31" s="27">
        <f>+Parámetros!$D$10</f>
        <v>42400</v>
      </c>
      <c r="W31" s="27">
        <f>+Parámetros!$D$10</f>
        <v>42400</v>
      </c>
      <c r="X31" s="27">
        <f>+Parámetros!$D$10</f>
        <v>42400</v>
      </c>
      <c r="Y31" s="27">
        <f>+Parámetros!$D$10</f>
        <v>42400</v>
      </c>
      <c r="Z31" s="27">
        <f>+Parámetros!$D$10</f>
        <v>42400</v>
      </c>
      <c r="AA31" s="27">
        <f>+Parámetros!$D$10</f>
        <v>42400</v>
      </c>
      <c r="AB31" s="27">
        <f>+Parámetros!$D$10</f>
        <v>42400</v>
      </c>
      <c r="AC31" s="49"/>
      <c r="AD31" s="27">
        <f>+Parámetros!$E$10</f>
        <v>45792</v>
      </c>
      <c r="AE31" s="27">
        <f>+Parámetros!$E$10</f>
        <v>45792</v>
      </c>
      <c r="AF31" s="27">
        <f>+Parámetros!$E$10</f>
        <v>45792</v>
      </c>
      <c r="AG31" s="27">
        <f>+Parámetros!$E$10</f>
        <v>45792</v>
      </c>
      <c r="AH31" s="27">
        <f>+Parámetros!$E$10</f>
        <v>45792</v>
      </c>
      <c r="AI31" s="27">
        <f>+Parámetros!$E$10</f>
        <v>45792</v>
      </c>
      <c r="AJ31" s="27">
        <f>+Parámetros!$E$10</f>
        <v>45792</v>
      </c>
      <c r="AK31" s="27">
        <f>+Parámetros!$E$10</f>
        <v>45792</v>
      </c>
      <c r="AL31" s="27">
        <f>+Parámetros!$E$10</f>
        <v>45792</v>
      </c>
      <c r="AM31" s="27">
        <f>+Parámetros!$E$10</f>
        <v>45792</v>
      </c>
      <c r="AN31" s="27">
        <f>+Parámetros!$E$10</f>
        <v>45792</v>
      </c>
      <c r="AO31" s="27">
        <f>+Parámetros!$E$10</f>
        <v>45792</v>
      </c>
      <c r="AP31" s="49"/>
      <c r="AQ31" s="27">
        <f>+Parámetros!$F$10</f>
        <v>50371.200000000004</v>
      </c>
      <c r="AR31" s="27">
        <f>+Parámetros!$F$10</f>
        <v>50371.200000000004</v>
      </c>
      <c r="AS31" s="27">
        <f>+Parámetros!$F$10</f>
        <v>50371.200000000004</v>
      </c>
      <c r="AT31" s="27">
        <f>+Parámetros!$F$10</f>
        <v>50371.200000000004</v>
      </c>
      <c r="AU31" s="27">
        <f>+Parámetros!$F$10</f>
        <v>50371.200000000004</v>
      </c>
      <c r="AV31" s="27">
        <f>+Parámetros!$F$10</f>
        <v>50371.200000000004</v>
      </c>
      <c r="AW31" s="27">
        <f>+Parámetros!$F$10</f>
        <v>50371.200000000004</v>
      </c>
      <c r="AX31" s="27">
        <f>+Parámetros!$F$10</f>
        <v>50371.200000000004</v>
      </c>
      <c r="AY31" s="27">
        <f>+Parámetros!$F$10</f>
        <v>50371.200000000004</v>
      </c>
      <c r="AZ31" s="27">
        <f>+Parámetros!$F$10</f>
        <v>50371.200000000004</v>
      </c>
      <c r="BA31" s="27">
        <f>+Parámetros!$F$10</f>
        <v>50371.200000000004</v>
      </c>
      <c r="BB31" s="27">
        <f>+Parámetros!$F$10</f>
        <v>50371.200000000004</v>
      </c>
      <c r="BC31" s="49"/>
      <c r="BD31" s="27">
        <f>+Parámetros!$G$10</f>
        <v>55408.320000000007</v>
      </c>
      <c r="BE31" s="27">
        <f>+Parámetros!$G$10</f>
        <v>55408.320000000007</v>
      </c>
      <c r="BF31" s="27">
        <f>+Parámetros!$G$10</f>
        <v>55408.320000000007</v>
      </c>
      <c r="BG31" s="27">
        <f>+Parámetros!$G$10</f>
        <v>55408.320000000007</v>
      </c>
      <c r="BH31" s="27">
        <f>+Parámetros!$G$10</f>
        <v>55408.320000000007</v>
      </c>
      <c r="BI31" s="27">
        <f>+Parámetros!$G$10</f>
        <v>55408.320000000007</v>
      </c>
      <c r="BJ31" s="27">
        <f>+Parámetros!$G$10</f>
        <v>55408.320000000007</v>
      </c>
      <c r="BK31" s="27">
        <f>+Parámetros!$G$10</f>
        <v>55408.320000000007</v>
      </c>
      <c r="BL31" s="27">
        <f>+Parámetros!$G$10</f>
        <v>55408.320000000007</v>
      </c>
      <c r="BM31" s="27">
        <f>+Parámetros!$G$10</f>
        <v>55408.320000000007</v>
      </c>
      <c r="BN31" s="27">
        <f>+Parámetros!$G$10</f>
        <v>55408.320000000007</v>
      </c>
      <c r="BO31" s="27">
        <f>+Parámetros!$G$10</f>
        <v>55408.320000000007</v>
      </c>
      <c r="BP31" s="49"/>
      <c r="BQ31" s="27">
        <f>+Parámetros!$H$10</f>
        <v>60949.152000000009</v>
      </c>
      <c r="BR31" s="27">
        <f>+Parámetros!$H$10</f>
        <v>60949.152000000009</v>
      </c>
      <c r="BS31" s="27">
        <f>+Parámetros!$H$10</f>
        <v>60949.152000000009</v>
      </c>
      <c r="BT31" s="27">
        <f>+Parámetros!$H$10</f>
        <v>60949.152000000009</v>
      </c>
      <c r="BU31" s="27">
        <f>+Parámetros!$H$10</f>
        <v>60949.152000000009</v>
      </c>
      <c r="BV31" s="27">
        <f>+Parámetros!$H$10</f>
        <v>60949.152000000009</v>
      </c>
      <c r="BW31" s="27">
        <f>+Parámetros!$H$10</f>
        <v>60949.152000000009</v>
      </c>
      <c r="BX31" s="27">
        <f>+Parámetros!$H$10</f>
        <v>60949.152000000009</v>
      </c>
      <c r="BY31" s="27">
        <f>+Parámetros!$H$10</f>
        <v>60949.152000000009</v>
      </c>
      <c r="BZ31" s="27">
        <f>+Parámetros!$H$10</f>
        <v>60949.152000000009</v>
      </c>
      <c r="CA31" s="27">
        <f>+Parámetros!$H$10</f>
        <v>60949.152000000009</v>
      </c>
      <c r="CB31" s="27">
        <f>+Parámetros!$H$10</f>
        <v>60949.152000000009</v>
      </c>
      <c r="CC31" s="49"/>
      <c r="CD31" s="27">
        <f>+Parámetros!$I$10</f>
        <v>67044.06720000002</v>
      </c>
      <c r="CE31" s="27">
        <f>+Parámetros!$I$10</f>
        <v>67044.06720000002</v>
      </c>
      <c r="CF31" s="27">
        <f>+Parámetros!$I$10</f>
        <v>67044.06720000002</v>
      </c>
      <c r="CG31" s="27">
        <f>+Parámetros!$I$10</f>
        <v>67044.06720000002</v>
      </c>
      <c r="CH31" s="27">
        <f>+Parámetros!$I$10</f>
        <v>67044.06720000002</v>
      </c>
      <c r="CI31" s="27">
        <f>+Parámetros!$I$10</f>
        <v>67044.06720000002</v>
      </c>
      <c r="CJ31" s="27">
        <f>+Parámetros!$I$10</f>
        <v>67044.06720000002</v>
      </c>
      <c r="CK31" s="27">
        <f>+Parámetros!$I$10</f>
        <v>67044.06720000002</v>
      </c>
      <c r="CL31" s="27">
        <f>+Parámetros!$I$10</f>
        <v>67044.06720000002</v>
      </c>
      <c r="CM31" s="27">
        <f>+Parámetros!$I$10</f>
        <v>67044.06720000002</v>
      </c>
      <c r="CN31" s="27">
        <f>+Parámetros!$I$10</f>
        <v>67044.06720000002</v>
      </c>
      <c r="CO31" s="27">
        <f>+Parámetros!$I$10</f>
        <v>67044.06720000002</v>
      </c>
      <c r="CP31" s="49"/>
    </row>
    <row r="32" spans="1:94" s="27" customFormat="1" x14ac:dyDescent="0.25">
      <c r="B32" s="52"/>
      <c r="C32" s="51">
        <f>+C30*C31</f>
        <v>1280000</v>
      </c>
      <c r="D32" s="51">
        <f t="shared" ref="D32:O32" si="66">+D30*D31</f>
        <v>480000</v>
      </c>
      <c r="E32" s="51">
        <f t="shared" si="66"/>
        <v>160000</v>
      </c>
      <c r="F32" s="51">
        <f t="shared" si="66"/>
        <v>480000</v>
      </c>
      <c r="G32" s="51">
        <f t="shared" si="66"/>
        <v>960000</v>
      </c>
      <c r="H32" s="51">
        <f t="shared" si="66"/>
        <v>960000</v>
      </c>
      <c r="I32" s="51">
        <f t="shared" si="66"/>
        <v>960000</v>
      </c>
      <c r="J32" s="51">
        <f t="shared" si="66"/>
        <v>480000</v>
      </c>
      <c r="K32" s="51">
        <f t="shared" si="66"/>
        <v>960000</v>
      </c>
      <c r="L32" s="51">
        <f t="shared" si="66"/>
        <v>160000</v>
      </c>
      <c r="M32" s="51">
        <f t="shared" si="66"/>
        <v>960000</v>
      </c>
      <c r="N32" s="51">
        <f t="shared" si="66"/>
        <v>960000</v>
      </c>
      <c r="O32" s="51">
        <f t="shared" si="66"/>
        <v>320000</v>
      </c>
      <c r="P32" s="49">
        <f>SUM(D32:O32)</f>
        <v>7840000</v>
      </c>
      <c r="Q32" s="51">
        <f t="shared" ref="Q32:AB32" si="67">+Q30*Q31</f>
        <v>539328</v>
      </c>
      <c r="R32" s="51">
        <f t="shared" si="67"/>
        <v>179776.00000000006</v>
      </c>
      <c r="S32" s="51">
        <f t="shared" si="67"/>
        <v>539328</v>
      </c>
      <c r="T32" s="51">
        <f t="shared" si="67"/>
        <v>1078656</v>
      </c>
      <c r="U32" s="51">
        <f t="shared" si="67"/>
        <v>1078656</v>
      </c>
      <c r="V32" s="51">
        <f t="shared" si="67"/>
        <v>1078656</v>
      </c>
      <c r="W32" s="51">
        <f t="shared" si="67"/>
        <v>539328</v>
      </c>
      <c r="X32" s="51">
        <f t="shared" si="67"/>
        <v>1078656</v>
      </c>
      <c r="Y32" s="51">
        <f t="shared" si="67"/>
        <v>179776.00000000006</v>
      </c>
      <c r="Z32" s="51">
        <f t="shared" si="67"/>
        <v>1078656</v>
      </c>
      <c r="AA32" s="51">
        <f t="shared" si="67"/>
        <v>1078656</v>
      </c>
      <c r="AB32" s="51">
        <f t="shared" si="67"/>
        <v>359552.00000000012</v>
      </c>
      <c r="AC32" s="49">
        <f>SUM(Q32:AB32)</f>
        <v>8809024</v>
      </c>
      <c r="AD32" s="51">
        <f t="shared" ref="AD32:AO32" si="68">+AD30*AD31</f>
        <v>617422.69440000015</v>
      </c>
      <c r="AE32" s="51">
        <f t="shared" si="68"/>
        <v>205807.56480000008</v>
      </c>
      <c r="AF32" s="51">
        <f t="shared" si="68"/>
        <v>617422.69440000015</v>
      </c>
      <c r="AG32" s="51">
        <f t="shared" si="68"/>
        <v>1234845.3888000003</v>
      </c>
      <c r="AH32" s="51">
        <f t="shared" si="68"/>
        <v>1234845.3888000003</v>
      </c>
      <c r="AI32" s="51">
        <f t="shared" si="68"/>
        <v>1234845.3888000003</v>
      </c>
      <c r="AJ32" s="51">
        <f t="shared" si="68"/>
        <v>617422.69440000015</v>
      </c>
      <c r="AK32" s="51">
        <f t="shared" si="68"/>
        <v>1234845.3888000003</v>
      </c>
      <c r="AL32" s="51">
        <f t="shared" si="68"/>
        <v>205807.56480000008</v>
      </c>
      <c r="AM32" s="51">
        <f t="shared" si="68"/>
        <v>1234845.3888000003</v>
      </c>
      <c r="AN32" s="51">
        <f t="shared" si="68"/>
        <v>1234845.3888000003</v>
      </c>
      <c r="AO32" s="51">
        <f t="shared" si="68"/>
        <v>411615.12960000016</v>
      </c>
      <c r="AP32" s="49">
        <f>SUM(AD32:AO32)</f>
        <v>10084570.675200002</v>
      </c>
      <c r="AQ32" s="51">
        <f t="shared" ref="AQ32:BB32" si="69">+AQ30*AQ31</f>
        <v>719914.86167040025</v>
      </c>
      <c r="AR32" s="51">
        <f t="shared" si="69"/>
        <v>239971.62055680007</v>
      </c>
      <c r="AS32" s="51">
        <f t="shared" si="69"/>
        <v>719914.86167040025</v>
      </c>
      <c r="AT32" s="51">
        <f t="shared" si="69"/>
        <v>1439829.7233408005</v>
      </c>
      <c r="AU32" s="51">
        <f t="shared" si="69"/>
        <v>1439829.7233408005</v>
      </c>
      <c r="AV32" s="51">
        <f t="shared" si="69"/>
        <v>1439829.7233408005</v>
      </c>
      <c r="AW32" s="51">
        <f t="shared" si="69"/>
        <v>719914.86167040025</v>
      </c>
      <c r="AX32" s="51">
        <f t="shared" si="69"/>
        <v>1439829.7233408005</v>
      </c>
      <c r="AY32" s="51">
        <f t="shared" si="69"/>
        <v>239971.62055680007</v>
      </c>
      <c r="AZ32" s="51">
        <f t="shared" si="69"/>
        <v>1439829.7233408005</v>
      </c>
      <c r="BA32" s="51">
        <f t="shared" si="69"/>
        <v>1439829.7233408005</v>
      </c>
      <c r="BB32" s="51">
        <f t="shared" si="69"/>
        <v>479943.24111360015</v>
      </c>
      <c r="BC32" s="49">
        <f>SUM(AQ32:BB32)</f>
        <v>11758609.407283202</v>
      </c>
      <c r="BD32" s="51">
        <f t="shared" ref="BD32:BO32" si="70">+BD30*BD31</f>
        <v>839420.72870768677</v>
      </c>
      <c r="BE32" s="51">
        <f t="shared" si="70"/>
        <v>279806.90956922894</v>
      </c>
      <c r="BF32" s="51">
        <f t="shared" si="70"/>
        <v>839420.72870768677</v>
      </c>
      <c r="BG32" s="51">
        <f t="shared" si="70"/>
        <v>1678841.4574153735</v>
      </c>
      <c r="BH32" s="51">
        <f t="shared" si="70"/>
        <v>1678841.4574153735</v>
      </c>
      <c r="BI32" s="51">
        <f t="shared" si="70"/>
        <v>1678841.4574153735</v>
      </c>
      <c r="BJ32" s="51">
        <f t="shared" si="70"/>
        <v>839420.72870768677</v>
      </c>
      <c r="BK32" s="51">
        <f t="shared" si="70"/>
        <v>1678841.4574153735</v>
      </c>
      <c r="BL32" s="51">
        <f t="shared" si="70"/>
        <v>279806.90956922894</v>
      </c>
      <c r="BM32" s="51">
        <f t="shared" si="70"/>
        <v>1678841.4574153735</v>
      </c>
      <c r="BN32" s="51">
        <f t="shared" si="70"/>
        <v>1678841.4574153735</v>
      </c>
      <c r="BO32" s="51">
        <f t="shared" si="70"/>
        <v>559613.81913845788</v>
      </c>
      <c r="BP32" s="49">
        <f>SUM(BD32:BO32)</f>
        <v>13710538.568892218</v>
      </c>
      <c r="BQ32" s="51">
        <f t="shared" ref="BQ32:CB32" si="71">+BQ30*BQ31</f>
        <v>978764.56967316265</v>
      </c>
      <c r="BR32" s="51">
        <f t="shared" si="71"/>
        <v>326254.85655772092</v>
      </c>
      <c r="BS32" s="51">
        <f t="shared" si="71"/>
        <v>978764.56967316265</v>
      </c>
      <c r="BT32" s="51">
        <f t="shared" si="71"/>
        <v>1957529.1393463253</v>
      </c>
      <c r="BU32" s="51">
        <f t="shared" si="71"/>
        <v>1957529.1393463253</v>
      </c>
      <c r="BV32" s="51">
        <f t="shared" si="71"/>
        <v>1957529.1393463253</v>
      </c>
      <c r="BW32" s="51">
        <f t="shared" si="71"/>
        <v>978764.56967316265</v>
      </c>
      <c r="BX32" s="51">
        <f t="shared" si="71"/>
        <v>1957529.1393463253</v>
      </c>
      <c r="BY32" s="51">
        <f t="shared" si="71"/>
        <v>326254.85655772092</v>
      </c>
      <c r="BZ32" s="51">
        <f t="shared" si="71"/>
        <v>1957529.1393463253</v>
      </c>
      <c r="CA32" s="51">
        <f t="shared" si="71"/>
        <v>1957529.1393463253</v>
      </c>
      <c r="CB32" s="51">
        <f t="shared" si="71"/>
        <v>652509.71311544185</v>
      </c>
      <c r="CC32" s="49">
        <f>SUM(BQ32:CB32)</f>
        <v>15986487.971328326</v>
      </c>
      <c r="CD32" s="51">
        <f t="shared" ref="CD32:CO32" si="72">+CD30*CD31</f>
        <v>1141239.4882389081</v>
      </c>
      <c r="CE32" s="51">
        <f t="shared" si="72"/>
        <v>380413.16274630278</v>
      </c>
      <c r="CF32" s="51">
        <f t="shared" si="72"/>
        <v>1141239.4882389081</v>
      </c>
      <c r="CG32" s="51">
        <f t="shared" si="72"/>
        <v>2282478.9764778162</v>
      </c>
      <c r="CH32" s="51">
        <f t="shared" si="72"/>
        <v>2282478.9764778162</v>
      </c>
      <c r="CI32" s="51">
        <f t="shared" si="72"/>
        <v>2282478.9764778162</v>
      </c>
      <c r="CJ32" s="51">
        <f t="shared" si="72"/>
        <v>1141239.4882389081</v>
      </c>
      <c r="CK32" s="51">
        <f t="shared" si="72"/>
        <v>2282478.9764778162</v>
      </c>
      <c r="CL32" s="51">
        <f t="shared" si="72"/>
        <v>380413.16274630278</v>
      </c>
      <c r="CM32" s="51">
        <f t="shared" si="72"/>
        <v>2282478.9764778162</v>
      </c>
      <c r="CN32" s="51">
        <f t="shared" si="72"/>
        <v>2282478.9764778162</v>
      </c>
      <c r="CO32" s="51">
        <f t="shared" si="72"/>
        <v>760826.32549260557</v>
      </c>
      <c r="CP32" s="49">
        <f>SUM(CD32:CO32)</f>
        <v>18640244.974568833</v>
      </c>
    </row>
    <row r="33" spans="1:94" s="27" customFormat="1" x14ac:dyDescent="0.25">
      <c r="B33" s="52"/>
      <c r="P33" s="49"/>
      <c r="AC33" s="49"/>
      <c r="AP33" s="49"/>
      <c r="BC33" s="49"/>
      <c r="BP33" s="49"/>
      <c r="CC33" s="49"/>
      <c r="CP33" s="49"/>
    </row>
    <row r="34" spans="1:94" s="27" customFormat="1" x14ac:dyDescent="0.25">
      <c r="A34" s="27">
        <v>2</v>
      </c>
      <c r="B34" s="52"/>
      <c r="C34" s="27">
        <f>+C28*0.4</f>
        <v>32</v>
      </c>
      <c r="D34" s="27">
        <f t="shared" ref="D34:O34" si="73">+D28*0.4</f>
        <v>12</v>
      </c>
      <c r="E34" s="27">
        <f t="shared" si="73"/>
        <v>4</v>
      </c>
      <c r="F34" s="27">
        <f t="shared" si="73"/>
        <v>12</v>
      </c>
      <c r="G34" s="27">
        <f t="shared" si="73"/>
        <v>24</v>
      </c>
      <c r="H34" s="27">
        <f t="shared" si="73"/>
        <v>24</v>
      </c>
      <c r="I34" s="27">
        <f t="shared" si="73"/>
        <v>24</v>
      </c>
      <c r="J34" s="27">
        <f t="shared" si="73"/>
        <v>12</v>
      </c>
      <c r="K34" s="27">
        <f t="shared" si="73"/>
        <v>24</v>
      </c>
      <c r="L34" s="27">
        <f t="shared" si="73"/>
        <v>4</v>
      </c>
      <c r="M34" s="27">
        <f t="shared" si="73"/>
        <v>24</v>
      </c>
      <c r="N34" s="27">
        <f t="shared" si="73"/>
        <v>24</v>
      </c>
      <c r="O34" s="27">
        <f t="shared" si="73"/>
        <v>8</v>
      </c>
      <c r="P34" s="49">
        <f>+SUM(D34:O34)</f>
        <v>196</v>
      </c>
      <c r="Q34" s="27">
        <f t="shared" ref="Q34:AB34" si="74">+Q28*0.4</f>
        <v>12.72</v>
      </c>
      <c r="R34" s="27">
        <f t="shared" si="74"/>
        <v>4.2400000000000011</v>
      </c>
      <c r="S34" s="27">
        <f t="shared" si="74"/>
        <v>12.72</v>
      </c>
      <c r="T34" s="27">
        <f t="shared" si="74"/>
        <v>25.44</v>
      </c>
      <c r="U34" s="27">
        <f t="shared" si="74"/>
        <v>25.44</v>
      </c>
      <c r="V34" s="27">
        <f t="shared" si="74"/>
        <v>25.44</v>
      </c>
      <c r="W34" s="27">
        <f t="shared" si="74"/>
        <v>12.72</v>
      </c>
      <c r="X34" s="27">
        <f t="shared" si="74"/>
        <v>25.44</v>
      </c>
      <c r="Y34" s="27">
        <f t="shared" si="74"/>
        <v>4.2400000000000011</v>
      </c>
      <c r="Z34" s="27">
        <f t="shared" si="74"/>
        <v>25.44</v>
      </c>
      <c r="AA34" s="27">
        <f t="shared" si="74"/>
        <v>25.44</v>
      </c>
      <c r="AB34" s="27">
        <f t="shared" si="74"/>
        <v>8.4800000000000022</v>
      </c>
      <c r="AC34" s="49">
        <f>+SUM(Q34:AB34)</f>
        <v>207.76</v>
      </c>
      <c r="AD34" s="27">
        <f t="shared" ref="AD34:AO34" si="75">+AD28*0.4</f>
        <v>13.483200000000004</v>
      </c>
      <c r="AE34" s="27">
        <f t="shared" si="75"/>
        <v>4.4944000000000015</v>
      </c>
      <c r="AF34" s="27">
        <f t="shared" si="75"/>
        <v>13.483200000000004</v>
      </c>
      <c r="AG34" s="27">
        <f t="shared" si="75"/>
        <v>26.966400000000007</v>
      </c>
      <c r="AH34" s="27">
        <f t="shared" si="75"/>
        <v>26.966400000000007</v>
      </c>
      <c r="AI34" s="27">
        <f t="shared" si="75"/>
        <v>26.966400000000007</v>
      </c>
      <c r="AJ34" s="27">
        <f t="shared" si="75"/>
        <v>13.483200000000004</v>
      </c>
      <c r="AK34" s="27">
        <f t="shared" si="75"/>
        <v>26.966400000000007</v>
      </c>
      <c r="AL34" s="27">
        <f t="shared" si="75"/>
        <v>4.4944000000000015</v>
      </c>
      <c r="AM34" s="27">
        <f t="shared" si="75"/>
        <v>26.966400000000007</v>
      </c>
      <c r="AN34" s="27">
        <f t="shared" si="75"/>
        <v>26.966400000000007</v>
      </c>
      <c r="AO34" s="27">
        <f t="shared" si="75"/>
        <v>8.988800000000003</v>
      </c>
      <c r="AP34" s="49">
        <f>+SUM(AD34:AO34)</f>
        <v>220.22560000000007</v>
      </c>
      <c r="AQ34" s="27">
        <f t="shared" ref="AQ34:BB34" si="76">+AQ28*0.4</f>
        <v>14.292192000000004</v>
      </c>
      <c r="AR34" s="27">
        <f t="shared" si="76"/>
        <v>4.7640640000000012</v>
      </c>
      <c r="AS34" s="27">
        <f t="shared" si="76"/>
        <v>14.292192000000004</v>
      </c>
      <c r="AT34" s="27">
        <f t="shared" si="76"/>
        <v>28.584384000000007</v>
      </c>
      <c r="AU34" s="27">
        <f t="shared" si="76"/>
        <v>28.584384000000007</v>
      </c>
      <c r="AV34" s="27">
        <f t="shared" si="76"/>
        <v>28.584384000000007</v>
      </c>
      <c r="AW34" s="27">
        <f t="shared" si="76"/>
        <v>14.292192000000004</v>
      </c>
      <c r="AX34" s="27">
        <f t="shared" si="76"/>
        <v>28.584384000000007</v>
      </c>
      <c r="AY34" s="27">
        <f t="shared" si="76"/>
        <v>4.7640640000000012</v>
      </c>
      <c r="AZ34" s="27">
        <f t="shared" si="76"/>
        <v>28.584384000000007</v>
      </c>
      <c r="BA34" s="27">
        <f t="shared" si="76"/>
        <v>28.584384000000007</v>
      </c>
      <c r="BB34" s="27">
        <f t="shared" si="76"/>
        <v>9.5281280000000024</v>
      </c>
      <c r="BC34" s="49">
        <f>+SUM(AQ34:BB34)</f>
        <v>233.43913600000002</v>
      </c>
      <c r="BD34" s="27">
        <f t="shared" ref="BD34:BO34" si="77">+BD28*0.4</f>
        <v>15.149723520000004</v>
      </c>
      <c r="BE34" s="27">
        <f t="shared" si="77"/>
        <v>5.0499078400000021</v>
      </c>
      <c r="BF34" s="27">
        <f t="shared" si="77"/>
        <v>15.149723520000004</v>
      </c>
      <c r="BG34" s="27">
        <f t="shared" si="77"/>
        <v>30.299447040000008</v>
      </c>
      <c r="BH34" s="27">
        <f t="shared" si="77"/>
        <v>30.299447040000008</v>
      </c>
      <c r="BI34" s="27">
        <f t="shared" si="77"/>
        <v>30.299447040000008</v>
      </c>
      <c r="BJ34" s="27">
        <f t="shared" si="77"/>
        <v>15.149723520000004</v>
      </c>
      <c r="BK34" s="27">
        <f t="shared" si="77"/>
        <v>30.299447040000008</v>
      </c>
      <c r="BL34" s="27">
        <f t="shared" si="77"/>
        <v>5.0499078400000021</v>
      </c>
      <c r="BM34" s="27">
        <f t="shared" si="77"/>
        <v>30.299447040000008</v>
      </c>
      <c r="BN34" s="27">
        <f t="shared" si="77"/>
        <v>30.299447040000008</v>
      </c>
      <c r="BO34" s="27">
        <f t="shared" si="77"/>
        <v>10.099815680000004</v>
      </c>
      <c r="BP34" s="49">
        <f>+SUM(BD34:BO34)</f>
        <v>247.44548416000009</v>
      </c>
      <c r="BQ34" s="27">
        <f t="shared" ref="BQ34:CB34" si="78">+BQ28*0.4</f>
        <v>16.058706931200003</v>
      </c>
      <c r="BR34" s="27">
        <f t="shared" si="78"/>
        <v>5.352902310400002</v>
      </c>
      <c r="BS34" s="27">
        <f t="shared" si="78"/>
        <v>16.058706931200003</v>
      </c>
      <c r="BT34" s="27">
        <f t="shared" si="78"/>
        <v>32.117413862400007</v>
      </c>
      <c r="BU34" s="27">
        <f t="shared" si="78"/>
        <v>32.117413862400007</v>
      </c>
      <c r="BV34" s="27">
        <f t="shared" si="78"/>
        <v>32.117413862400007</v>
      </c>
      <c r="BW34" s="27">
        <f t="shared" si="78"/>
        <v>16.058706931200003</v>
      </c>
      <c r="BX34" s="27">
        <f t="shared" si="78"/>
        <v>32.117413862400007</v>
      </c>
      <c r="BY34" s="27">
        <f t="shared" si="78"/>
        <v>5.352902310400002</v>
      </c>
      <c r="BZ34" s="27">
        <f t="shared" si="78"/>
        <v>32.117413862400007</v>
      </c>
      <c r="CA34" s="27">
        <f t="shared" si="78"/>
        <v>32.117413862400007</v>
      </c>
      <c r="CB34" s="27">
        <f t="shared" si="78"/>
        <v>10.705804620800004</v>
      </c>
      <c r="CC34" s="49">
        <f>+SUM(BQ34:CB34)</f>
        <v>262.29221320960011</v>
      </c>
      <c r="CD34" s="27">
        <f t="shared" ref="CD34:CO34" si="79">+CD28*0.4</f>
        <v>17.022229347072006</v>
      </c>
      <c r="CE34" s="27">
        <f t="shared" si="79"/>
        <v>5.6740764490240032</v>
      </c>
      <c r="CF34" s="27">
        <f t="shared" si="79"/>
        <v>17.022229347072006</v>
      </c>
      <c r="CG34" s="27">
        <f t="shared" si="79"/>
        <v>34.044458694144012</v>
      </c>
      <c r="CH34" s="27">
        <f t="shared" si="79"/>
        <v>34.044458694144012</v>
      </c>
      <c r="CI34" s="27">
        <f t="shared" si="79"/>
        <v>34.044458694144012</v>
      </c>
      <c r="CJ34" s="27">
        <f t="shared" si="79"/>
        <v>17.022229347072006</v>
      </c>
      <c r="CK34" s="27">
        <f t="shared" si="79"/>
        <v>34.044458694144012</v>
      </c>
      <c r="CL34" s="27">
        <f t="shared" si="79"/>
        <v>5.6740764490240032</v>
      </c>
      <c r="CM34" s="27">
        <f t="shared" si="79"/>
        <v>34.044458694144012</v>
      </c>
      <c r="CN34" s="27">
        <f t="shared" si="79"/>
        <v>34.044458694144012</v>
      </c>
      <c r="CO34" s="27">
        <f t="shared" si="79"/>
        <v>11.348152898048006</v>
      </c>
      <c r="CP34" s="49">
        <f>+SUM(CD34:CO34)</f>
        <v>278.02974600217607</v>
      </c>
    </row>
    <row r="35" spans="1:94" s="27" customFormat="1" x14ac:dyDescent="0.25">
      <c r="B35" s="52"/>
      <c r="C35" s="27">
        <v>30000</v>
      </c>
      <c r="D35" s="27">
        <f>+Parámetros!$C$11</f>
        <v>30000</v>
      </c>
      <c r="E35" s="27">
        <f>+Parámetros!$C$11</f>
        <v>30000</v>
      </c>
      <c r="F35" s="27">
        <f>+Parámetros!$C$11</f>
        <v>30000</v>
      </c>
      <c r="G35" s="27">
        <f>+Parámetros!$C$11</f>
        <v>30000</v>
      </c>
      <c r="H35" s="27">
        <f>+Parámetros!$C$11</f>
        <v>30000</v>
      </c>
      <c r="I35" s="27">
        <f>+Parámetros!$C$11</f>
        <v>30000</v>
      </c>
      <c r="J35" s="27">
        <f>+Parámetros!$C$11</f>
        <v>30000</v>
      </c>
      <c r="K35" s="27">
        <f>+Parámetros!$C$11</f>
        <v>30000</v>
      </c>
      <c r="L35" s="27">
        <f>+Parámetros!$C$11</f>
        <v>30000</v>
      </c>
      <c r="M35" s="27">
        <f>+Parámetros!$C$11</f>
        <v>30000</v>
      </c>
      <c r="N35" s="27">
        <f>+Parámetros!$C$11</f>
        <v>30000</v>
      </c>
      <c r="O35" s="27">
        <f>+Parámetros!$C$11</f>
        <v>30000</v>
      </c>
      <c r="P35" s="49"/>
      <c r="Q35" s="27">
        <f>+Parámetros!$D$11</f>
        <v>31800</v>
      </c>
      <c r="R35" s="27">
        <f>+Parámetros!$D$11</f>
        <v>31800</v>
      </c>
      <c r="S35" s="27">
        <f>+Parámetros!$D$11</f>
        <v>31800</v>
      </c>
      <c r="T35" s="27">
        <f>+Parámetros!$D$11</f>
        <v>31800</v>
      </c>
      <c r="U35" s="27">
        <f>+Parámetros!$D$11</f>
        <v>31800</v>
      </c>
      <c r="V35" s="27">
        <f>+Parámetros!$D$11</f>
        <v>31800</v>
      </c>
      <c r="W35" s="27">
        <f>+Parámetros!$D$11</f>
        <v>31800</v>
      </c>
      <c r="X35" s="27">
        <f>+Parámetros!$D$11</f>
        <v>31800</v>
      </c>
      <c r="Y35" s="27">
        <f>+Parámetros!$D$11</f>
        <v>31800</v>
      </c>
      <c r="Z35" s="27">
        <f>+Parámetros!$D$11</f>
        <v>31800</v>
      </c>
      <c r="AA35" s="27">
        <f>+Parámetros!$D$11</f>
        <v>31800</v>
      </c>
      <c r="AB35" s="27">
        <f>+Parámetros!$D$11</f>
        <v>31800</v>
      </c>
      <c r="AC35" s="49"/>
      <c r="AD35" s="27">
        <f>+Parámetros!$E$11</f>
        <v>34344</v>
      </c>
      <c r="AE35" s="27">
        <f>+Parámetros!$E$11</f>
        <v>34344</v>
      </c>
      <c r="AF35" s="27">
        <f>+Parámetros!$E$11</f>
        <v>34344</v>
      </c>
      <c r="AG35" s="27">
        <f>+Parámetros!$E$11</f>
        <v>34344</v>
      </c>
      <c r="AH35" s="27">
        <f>+Parámetros!$E$11</f>
        <v>34344</v>
      </c>
      <c r="AI35" s="27">
        <f>+Parámetros!$E$11</f>
        <v>34344</v>
      </c>
      <c r="AJ35" s="27">
        <f>+Parámetros!$E$11</f>
        <v>34344</v>
      </c>
      <c r="AK35" s="27">
        <f>+Parámetros!$E$11</f>
        <v>34344</v>
      </c>
      <c r="AL35" s="27">
        <f>+Parámetros!$E$11</f>
        <v>34344</v>
      </c>
      <c r="AM35" s="27">
        <f>+Parámetros!$E$11</f>
        <v>34344</v>
      </c>
      <c r="AN35" s="27">
        <f>+Parámetros!$E$11</f>
        <v>34344</v>
      </c>
      <c r="AO35" s="27">
        <f>+Parámetros!$E$11</f>
        <v>34344</v>
      </c>
      <c r="AP35" s="49"/>
      <c r="AQ35" s="27">
        <f>+Parámetros!$F$11</f>
        <v>37778.400000000001</v>
      </c>
      <c r="AR35" s="27">
        <f>+Parámetros!$F$11</f>
        <v>37778.400000000001</v>
      </c>
      <c r="AS35" s="27">
        <f>+Parámetros!$F$11</f>
        <v>37778.400000000001</v>
      </c>
      <c r="AT35" s="27">
        <f>+Parámetros!$F$11</f>
        <v>37778.400000000001</v>
      </c>
      <c r="AU35" s="27">
        <f>+Parámetros!$F$11</f>
        <v>37778.400000000001</v>
      </c>
      <c r="AV35" s="27">
        <f>+Parámetros!$F$11</f>
        <v>37778.400000000001</v>
      </c>
      <c r="AW35" s="27">
        <f>+Parámetros!$F$11</f>
        <v>37778.400000000001</v>
      </c>
      <c r="AX35" s="27">
        <f>+Parámetros!$F$11</f>
        <v>37778.400000000001</v>
      </c>
      <c r="AY35" s="27">
        <f>+Parámetros!$F$11</f>
        <v>37778.400000000001</v>
      </c>
      <c r="AZ35" s="27">
        <f>+Parámetros!$F$11</f>
        <v>37778.400000000001</v>
      </c>
      <c r="BA35" s="27">
        <f>+Parámetros!$F$11</f>
        <v>37778.400000000001</v>
      </c>
      <c r="BB35" s="27">
        <f>+Parámetros!$F$11</f>
        <v>37778.400000000001</v>
      </c>
      <c r="BC35" s="49"/>
      <c r="BD35" s="27">
        <f>+Parámetros!$G$11</f>
        <v>41556.240000000005</v>
      </c>
      <c r="BE35" s="27">
        <f>+Parámetros!$G$11</f>
        <v>41556.240000000005</v>
      </c>
      <c r="BF35" s="27">
        <f>+Parámetros!$G$11</f>
        <v>41556.240000000005</v>
      </c>
      <c r="BG35" s="27">
        <f>+Parámetros!$G$11</f>
        <v>41556.240000000005</v>
      </c>
      <c r="BH35" s="27">
        <f>+Parámetros!$G$11</f>
        <v>41556.240000000005</v>
      </c>
      <c r="BI35" s="27">
        <f>+Parámetros!$G$11</f>
        <v>41556.240000000005</v>
      </c>
      <c r="BJ35" s="27">
        <f>+Parámetros!$G$11</f>
        <v>41556.240000000005</v>
      </c>
      <c r="BK35" s="27">
        <f>+Parámetros!$G$11</f>
        <v>41556.240000000005</v>
      </c>
      <c r="BL35" s="27">
        <f>+Parámetros!$G$11</f>
        <v>41556.240000000005</v>
      </c>
      <c r="BM35" s="27">
        <f>+Parámetros!$G$11</f>
        <v>41556.240000000005</v>
      </c>
      <c r="BN35" s="27">
        <f>+Parámetros!$G$11</f>
        <v>41556.240000000005</v>
      </c>
      <c r="BO35" s="27">
        <f>+Parámetros!$G$11</f>
        <v>41556.240000000005</v>
      </c>
      <c r="BP35" s="49"/>
      <c r="BQ35" s="27">
        <f>+Parámetros!$H$11</f>
        <v>45711.864000000009</v>
      </c>
      <c r="BR35" s="27">
        <f>+Parámetros!$H$11</f>
        <v>45711.864000000009</v>
      </c>
      <c r="BS35" s="27">
        <f>+Parámetros!$H$11</f>
        <v>45711.864000000009</v>
      </c>
      <c r="BT35" s="27">
        <f>+Parámetros!$H$11</f>
        <v>45711.864000000009</v>
      </c>
      <c r="BU35" s="27">
        <f>+Parámetros!$H$11</f>
        <v>45711.864000000009</v>
      </c>
      <c r="BV35" s="27">
        <f>+Parámetros!$H$11</f>
        <v>45711.864000000009</v>
      </c>
      <c r="BW35" s="27">
        <f>+Parámetros!$H$11</f>
        <v>45711.864000000009</v>
      </c>
      <c r="BX35" s="27">
        <f>+Parámetros!$H$11</f>
        <v>45711.864000000009</v>
      </c>
      <c r="BY35" s="27">
        <f>+Parámetros!$H$11</f>
        <v>45711.864000000009</v>
      </c>
      <c r="BZ35" s="27">
        <f>+Parámetros!$H$11</f>
        <v>45711.864000000009</v>
      </c>
      <c r="CA35" s="27">
        <f>+Parámetros!$H$11</f>
        <v>45711.864000000009</v>
      </c>
      <c r="CB35" s="27">
        <f>+Parámetros!$H$11</f>
        <v>45711.864000000009</v>
      </c>
      <c r="CC35" s="49"/>
      <c r="CD35" s="27">
        <f>+Parámetros!$I$11</f>
        <v>50283.050400000015</v>
      </c>
      <c r="CE35" s="27">
        <f>+Parámetros!$I$11</f>
        <v>50283.050400000015</v>
      </c>
      <c r="CF35" s="27">
        <f>+Parámetros!$I$11</f>
        <v>50283.050400000015</v>
      </c>
      <c r="CG35" s="27">
        <f>+Parámetros!$I$11</f>
        <v>50283.050400000015</v>
      </c>
      <c r="CH35" s="27">
        <f>+Parámetros!$I$11</f>
        <v>50283.050400000015</v>
      </c>
      <c r="CI35" s="27">
        <f>+Parámetros!$I$11</f>
        <v>50283.050400000015</v>
      </c>
      <c r="CJ35" s="27">
        <f>+Parámetros!$I$11</f>
        <v>50283.050400000015</v>
      </c>
      <c r="CK35" s="27">
        <f>+Parámetros!$I$11</f>
        <v>50283.050400000015</v>
      </c>
      <c r="CL35" s="27">
        <f>+Parámetros!$I$11</f>
        <v>50283.050400000015</v>
      </c>
      <c r="CM35" s="27">
        <f>+Parámetros!$I$11</f>
        <v>50283.050400000015</v>
      </c>
      <c r="CN35" s="27">
        <f>+Parámetros!$I$11</f>
        <v>50283.050400000015</v>
      </c>
      <c r="CO35" s="27">
        <f>+Parámetros!$I$11</f>
        <v>50283.050400000015</v>
      </c>
      <c r="CP35" s="49"/>
    </row>
    <row r="36" spans="1:94" s="27" customFormat="1" x14ac:dyDescent="0.25">
      <c r="B36" s="52"/>
      <c r="C36" s="51">
        <f>+C34*C35</f>
        <v>960000</v>
      </c>
      <c r="D36" s="51">
        <f t="shared" ref="D36:O36" si="80">+D34*D35</f>
        <v>360000</v>
      </c>
      <c r="E36" s="51">
        <f t="shared" si="80"/>
        <v>120000</v>
      </c>
      <c r="F36" s="51">
        <f t="shared" si="80"/>
        <v>360000</v>
      </c>
      <c r="G36" s="51">
        <f t="shared" si="80"/>
        <v>720000</v>
      </c>
      <c r="H36" s="51">
        <f t="shared" si="80"/>
        <v>720000</v>
      </c>
      <c r="I36" s="51">
        <f t="shared" si="80"/>
        <v>720000</v>
      </c>
      <c r="J36" s="51">
        <f t="shared" si="80"/>
        <v>360000</v>
      </c>
      <c r="K36" s="51">
        <f t="shared" si="80"/>
        <v>720000</v>
      </c>
      <c r="L36" s="51">
        <f t="shared" si="80"/>
        <v>120000</v>
      </c>
      <c r="M36" s="51">
        <f t="shared" si="80"/>
        <v>720000</v>
      </c>
      <c r="N36" s="51">
        <f t="shared" si="80"/>
        <v>720000</v>
      </c>
      <c r="O36" s="51">
        <f t="shared" si="80"/>
        <v>240000</v>
      </c>
      <c r="P36" s="49">
        <f>SUM(D36:O36)</f>
        <v>5880000</v>
      </c>
      <c r="Q36" s="51">
        <f t="shared" ref="Q36:AB36" si="81">+Q34*Q35</f>
        <v>404496</v>
      </c>
      <c r="R36" s="51">
        <f t="shared" si="81"/>
        <v>134832.00000000003</v>
      </c>
      <c r="S36" s="51">
        <f t="shared" si="81"/>
        <v>404496</v>
      </c>
      <c r="T36" s="51">
        <f t="shared" si="81"/>
        <v>808992</v>
      </c>
      <c r="U36" s="51">
        <f t="shared" si="81"/>
        <v>808992</v>
      </c>
      <c r="V36" s="51">
        <f t="shared" si="81"/>
        <v>808992</v>
      </c>
      <c r="W36" s="51">
        <f t="shared" si="81"/>
        <v>404496</v>
      </c>
      <c r="X36" s="51">
        <f t="shared" si="81"/>
        <v>808992</v>
      </c>
      <c r="Y36" s="51">
        <f t="shared" si="81"/>
        <v>134832.00000000003</v>
      </c>
      <c r="Z36" s="51">
        <f t="shared" si="81"/>
        <v>808992</v>
      </c>
      <c r="AA36" s="51">
        <f t="shared" si="81"/>
        <v>808992</v>
      </c>
      <c r="AB36" s="51">
        <f t="shared" si="81"/>
        <v>269664.00000000006</v>
      </c>
      <c r="AC36" s="49">
        <f>SUM(Q36:AB36)</f>
        <v>6606768</v>
      </c>
      <c r="AD36" s="51">
        <f t="shared" ref="AD36:AO36" si="82">+AD34*AD35</f>
        <v>463067.02080000011</v>
      </c>
      <c r="AE36" s="51">
        <f t="shared" si="82"/>
        <v>154355.67360000004</v>
      </c>
      <c r="AF36" s="51">
        <f t="shared" si="82"/>
        <v>463067.02080000011</v>
      </c>
      <c r="AG36" s="51">
        <f t="shared" si="82"/>
        <v>926134.04160000023</v>
      </c>
      <c r="AH36" s="51">
        <f t="shared" si="82"/>
        <v>926134.04160000023</v>
      </c>
      <c r="AI36" s="51">
        <f t="shared" si="82"/>
        <v>926134.04160000023</v>
      </c>
      <c r="AJ36" s="51">
        <f t="shared" si="82"/>
        <v>463067.02080000011</v>
      </c>
      <c r="AK36" s="51">
        <f t="shared" si="82"/>
        <v>926134.04160000023</v>
      </c>
      <c r="AL36" s="51">
        <f t="shared" si="82"/>
        <v>154355.67360000004</v>
      </c>
      <c r="AM36" s="51">
        <f t="shared" si="82"/>
        <v>926134.04160000023</v>
      </c>
      <c r="AN36" s="51">
        <f t="shared" si="82"/>
        <v>926134.04160000023</v>
      </c>
      <c r="AO36" s="51">
        <f t="shared" si="82"/>
        <v>308711.34720000008</v>
      </c>
      <c r="AP36" s="49">
        <f>SUM(AD36:AO36)</f>
        <v>7563428.0064000012</v>
      </c>
      <c r="AQ36" s="51">
        <f t="shared" ref="AQ36:BB36" si="83">+AQ34*AQ35</f>
        <v>539936.14625280013</v>
      </c>
      <c r="AR36" s="51">
        <f t="shared" si="83"/>
        <v>179978.71541760006</v>
      </c>
      <c r="AS36" s="51">
        <f t="shared" si="83"/>
        <v>539936.14625280013</v>
      </c>
      <c r="AT36" s="51">
        <f t="shared" si="83"/>
        <v>1079872.2925056003</v>
      </c>
      <c r="AU36" s="51">
        <f t="shared" si="83"/>
        <v>1079872.2925056003</v>
      </c>
      <c r="AV36" s="51">
        <f t="shared" si="83"/>
        <v>1079872.2925056003</v>
      </c>
      <c r="AW36" s="51">
        <f t="shared" si="83"/>
        <v>539936.14625280013</v>
      </c>
      <c r="AX36" s="51">
        <f t="shared" si="83"/>
        <v>1079872.2925056003</v>
      </c>
      <c r="AY36" s="51">
        <f t="shared" si="83"/>
        <v>179978.71541760006</v>
      </c>
      <c r="AZ36" s="51">
        <f t="shared" si="83"/>
        <v>1079872.2925056003</v>
      </c>
      <c r="BA36" s="51">
        <f t="shared" si="83"/>
        <v>1079872.2925056003</v>
      </c>
      <c r="BB36" s="51">
        <f t="shared" si="83"/>
        <v>359957.43083520012</v>
      </c>
      <c r="BC36" s="49">
        <f>SUM(AQ36:BB36)</f>
        <v>8818957.0554624032</v>
      </c>
      <c r="BD36" s="51">
        <f t="shared" ref="BD36:BO36" si="84">+BD34*BD35</f>
        <v>629565.54653076502</v>
      </c>
      <c r="BE36" s="51">
        <f t="shared" si="84"/>
        <v>209855.18217692172</v>
      </c>
      <c r="BF36" s="51">
        <f t="shared" si="84"/>
        <v>629565.54653076502</v>
      </c>
      <c r="BG36" s="51">
        <f t="shared" si="84"/>
        <v>1259131.09306153</v>
      </c>
      <c r="BH36" s="51">
        <f t="shared" si="84"/>
        <v>1259131.09306153</v>
      </c>
      <c r="BI36" s="51">
        <f t="shared" si="84"/>
        <v>1259131.09306153</v>
      </c>
      <c r="BJ36" s="51">
        <f t="shared" si="84"/>
        <v>629565.54653076502</v>
      </c>
      <c r="BK36" s="51">
        <f t="shared" si="84"/>
        <v>1259131.09306153</v>
      </c>
      <c r="BL36" s="51">
        <f t="shared" si="84"/>
        <v>209855.18217692172</v>
      </c>
      <c r="BM36" s="51">
        <f t="shared" si="84"/>
        <v>1259131.09306153</v>
      </c>
      <c r="BN36" s="51">
        <f t="shared" si="84"/>
        <v>1259131.09306153</v>
      </c>
      <c r="BO36" s="51">
        <f t="shared" si="84"/>
        <v>419710.36435384344</v>
      </c>
      <c r="BP36" s="49">
        <f>SUM(BD36:BO36)</f>
        <v>10282903.926669162</v>
      </c>
      <c r="BQ36" s="51">
        <f t="shared" ref="BQ36:CB36" si="85">+BQ34*BQ35</f>
        <v>734073.42725487205</v>
      </c>
      <c r="BR36" s="51">
        <f t="shared" si="85"/>
        <v>244691.14241829072</v>
      </c>
      <c r="BS36" s="51">
        <f t="shared" si="85"/>
        <v>734073.42725487205</v>
      </c>
      <c r="BT36" s="51">
        <f t="shared" si="85"/>
        <v>1468146.8545097441</v>
      </c>
      <c r="BU36" s="51">
        <f t="shared" si="85"/>
        <v>1468146.8545097441</v>
      </c>
      <c r="BV36" s="51">
        <f t="shared" si="85"/>
        <v>1468146.8545097441</v>
      </c>
      <c r="BW36" s="51">
        <f t="shared" si="85"/>
        <v>734073.42725487205</v>
      </c>
      <c r="BX36" s="51">
        <f t="shared" si="85"/>
        <v>1468146.8545097441</v>
      </c>
      <c r="BY36" s="51">
        <f t="shared" si="85"/>
        <v>244691.14241829072</v>
      </c>
      <c r="BZ36" s="51">
        <f t="shared" si="85"/>
        <v>1468146.8545097441</v>
      </c>
      <c r="CA36" s="51">
        <f t="shared" si="85"/>
        <v>1468146.8545097441</v>
      </c>
      <c r="CB36" s="51">
        <f t="shared" si="85"/>
        <v>489382.28483658144</v>
      </c>
      <c r="CC36" s="49">
        <f>SUM(BQ36:CB36)</f>
        <v>11989865.978496244</v>
      </c>
      <c r="CD36" s="51">
        <f t="shared" ref="CD36:CO36" si="86">+CD34*CD35</f>
        <v>855929.61617918103</v>
      </c>
      <c r="CE36" s="51">
        <f t="shared" si="86"/>
        <v>285309.87205972709</v>
      </c>
      <c r="CF36" s="51">
        <f t="shared" si="86"/>
        <v>855929.61617918103</v>
      </c>
      <c r="CG36" s="51">
        <f t="shared" si="86"/>
        <v>1711859.2323583621</v>
      </c>
      <c r="CH36" s="51">
        <f t="shared" si="86"/>
        <v>1711859.2323583621</v>
      </c>
      <c r="CI36" s="51">
        <f t="shared" si="86"/>
        <v>1711859.2323583621</v>
      </c>
      <c r="CJ36" s="51">
        <f t="shared" si="86"/>
        <v>855929.61617918103</v>
      </c>
      <c r="CK36" s="51">
        <f t="shared" si="86"/>
        <v>1711859.2323583621</v>
      </c>
      <c r="CL36" s="51">
        <f t="shared" si="86"/>
        <v>285309.87205972709</v>
      </c>
      <c r="CM36" s="51">
        <f t="shared" si="86"/>
        <v>1711859.2323583621</v>
      </c>
      <c r="CN36" s="51">
        <f t="shared" si="86"/>
        <v>1711859.2323583621</v>
      </c>
      <c r="CO36" s="51">
        <f t="shared" si="86"/>
        <v>570619.74411945418</v>
      </c>
      <c r="CP36" s="49">
        <f>SUM(CD36:CO36)</f>
        <v>13980183.730926625</v>
      </c>
    </row>
    <row r="37" spans="1:94" s="27" customFormat="1" x14ac:dyDescent="0.25">
      <c r="B37" s="52"/>
      <c r="P37" s="49"/>
      <c r="AC37" s="49"/>
      <c r="AP37" s="49"/>
      <c r="BC37" s="49"/>
      <c r="BP37" s="49"/>
      <c r="CC37" s="49"/>
      <c r="CP37" s="49"/>
    </row>
    <row r="38" spans="1:94" s="27" customFormat="1" x14ac:dyDescent="0.25">
      <c r="A38" s="27">
        <v>3</v>
      </c>
      <c r="B38" s="52"/>
      <c r="C38" s="27">
        <f>+C28*0.2</f>
        <v>16</v>
      </c>
      <c r="D38" s="27">
        <f t="shared" ref="D38:O38" si="87">+D28*0.2</f>
        <v>6</v>
      </c>
      <c r="E38" s="27">
        <f t="shared" si="87"/>
        <v>2</v>
      </c>
      <c r="F38" s="27">
        <f t="shared" si="87"/>
        <v>6</v>
      </c>
      <c r="G38" s="27">
        <f t="shared" si="87"/>
        <v>12</v>
      </c>
      <c r="H38" s="27">
        <f t="shared" si="87"/>
        <v>12</v>
      </c>
      <c r="I38" s="27">
        <f t="shared" si="87"/>
        <v>12</v>
      </c>
      <c r="J38" s="27">
        <f t="shared" si="87"/>
        <v>6</v>
      </c>
      <c r="K38" s="27">
        <f t="shared" si="87"/>
        <v>12</v>
      </c>
      <c r="L38" s="27">
        <f t="shared" si="87"/>
        <v>2</v>
      </c>
      <c r="M38" s="27">
        <f t="shared" si="87"/>
        <v>12</v>
      </c>
      <c r="N38" s="27">
        <f t="shared" si="87"/>
        <v>12</v>
      </c>
      <c r="O38" s="27">
        <f t="shared" si="87"/>
        <v>4</v>
      </c>
      <c r="P38" s="49">
        <f>+SUM(D38:O38)</f>
        <v>98</v>
      </c>
      <c r="Q38" s="27">
        <f t="shared" ref="Q38:AB38" si="88">+Q28*0.2</f>
        <v>6.36</v>
      </c>
      <c r="R38" s="27">
        <f t="shared" si="88"/>
        <v>2.1200000000000006</v>
      </c>
      <c r="S38" s="27">
        <f t="shared" si="88"/>
        <v>6.36</v>
      </c>
      <c r="T38" s="27">
        <f t="shared" si="88"/>
        <v>12.72</v>
      </c>
      <c r="U38" s="27">
        <f t="shared" si="88"/>
        <v>12.72</v>
      </c>
      <c r="V38" s="27">
        <f t="shared" si="88"/>
        <v>12.72</v>
      </c>
      <c r="W38" s="27">
        <f t="shared" si="88"/>
        <v>6.36</v>
      </c>
      <c r="X38" s="27">
        <f t="shared" si="88"/>
        <v>12.72</v>
      </c>
      <c r="Y38" s="27">
        <f t="shared" si="88"/>
        <v>2.1200000000000006</v>
      </c>
      <c r="Z38" s="27">
        <f t="shared" si="88"/>
        <v>12.72</v>
      </c>
      <c r="AA38" s="27">
        <f t="shared" si="88"/>
        <v>12.72</v>
      </c>
      <c r="AB38" s="27">
        <f t="shared" si="88"/>
        <v>4.2400000000000011</v>
      </c>
      <c r="AC38" s="49">
        <f>+SUM(Q38:AB38)</f>
        <v>103.88</v>
      </c>
      <c r="AD38" s="27">
        <f t="shared" ref="AD38:AO38" si="89">+AD28*0.2</f>
        <v>6.7416000000000018</v>
      </c>
      <c r="AE38" s="27">
        <f t="shared" si="89"/>
        <v>2.2472000000000008</v>
      </c>
      <c r="AF38" s="27">
        <f t="shared" si="89"/>
        <v>6.7416000000000018</v>
      </c>
      <c r="AG38" s="27">
        <f t="shared" si="89"/>
        <v>13.483200000000004</v>
      </c>
      <c r="AH38" s="27">
        <f t="shared" si="89"/>
        <v>13.483200000000004</v>
      </c>
      <c r="AI38" s="27">
        <f t="shared" si="89"/>
        <v>13.483200000000004</v>
      </c>
      <c r="AJ38" s="27">
        <f t="shared" si="89"/>
        <v>6.7416000000000018</v>
      </c>
      <c r="AK38" s="27">
        <f t="shared" si="89"/>
        <v>13.483200000000004</v>
      </c>
      <c r="AL38" s="27">
        <f t="shared" si="89"/>
        <v>2.2472000000000008</v>
      </c>
      <c r="AM38" s="27">
        <f t="shared" si="89"/>
        <v>13.483200000000004</v>
      </c>
      <c r="AN38" s="27">
        <f t="shared" si="89"/>
        <v>13.483200000000004</v>
      </c>
      <c r="AO38" s="27">
        <f t="shared" si="89"/>
        <v>4.4944000000000015</v>
      </c>
      <c r="AP38" s="49">
        <f>+SUM(AD38:AO38)</f>
        <v>110.11280000000004</v>
      </c>
      <c r="AQ38" s="27">
        <f t="shared" ref="AQ38:BB38" si="90">+AQ28*0.2</f>
        <v>7.1460960000000018</v>
      </c>
      <c r="AR38" s="27">
        <f t="shared" si="90"/>
        <v>2.3820320000000006</v>
      </c>
      <c r="AS38" s="27">
        <f t="shared" si="90"/>
        <v>7.1460960000000018</v>
      </c>
      <c r="AT38" s="27">
        <f t="shared" si="90"/>
        <v>14.292192000000004</v>
      </c>
      <c r="AU38" s="27">
        <f t="shared" si="90"/>
        <v>14.292192000000004</v>
      </c>
      <c r="AV38" s="27">
        <f t="shared" si="90"/>
        <v>14.292192000000004</v>
      </c>
      <c r="AW38" s="27">
        <f t="shared" si="90"/>
        <v>7.1460960000000018</v>
      </c>
      <c r="AX38" s="27">
        <f t="shared" si="90"/>
        <v>14.292192000000004</v>
      </c>
      <c r="AY38" s="27">
        <f t="shared" si="90"/>
        <v>2.3820320000000006</v>
      </c>
      <c r="AZ38" s="27">
        <f t="shared" si="90"/>
        <v>14.292192000000004</v>
      </c>
      <c r="BA38" s="27">
        <f t="shared" si="90"/>
        <v>14.292192000000004</v>
      </c>
      <c r="BB38" s="27">
        <f t="shared" si="90"/>
        <v>4.7640640000000012</v>
      </c>
      <c r="BC38" s="49">
        <f>+SUM(AQ38:BB38)</f>
        <v>116.71956800000001</v>
      </c>
      <c r="BD38" s="27">
        <f t="shared" ref="BD38:BO38" si="91">+BD28*0.2</f>
        <v>7.5748617600000019</v>
      </c>
      <c r="BE38" s="27">
        <f t="shared" si="91"/>
        <v>2.5249539200000011</v>
      </c>
      <c r="BF38" s="27">
        <f t="shared" si="91"/>
        <v>7.5748617600000019</v>
      </c>
      <c r="BG38" s="27">
        <f t="shared" si="91"/>
        <v>15.149723520000004</v>
      </c>
      <c r="BH38" s="27">
        <f t="shared" si="91"/>
        <v>15.149723520000004</v>
      </c>
      <c r="BI38" s="27">
        <f t="shared" si="91"/>
        <v>15.149723520000004</v>
      </c>
      <c r="BJ38" s="27">
        <f t="shared" si="91"/>
        <v>7.5748617600000019</v>
      </c>
      <c r="BK38" s="27">
        <f t="shared" si="91"/>
        <v>15.149723520000004</v>
      </c>
      <c r="BL38" s="27">
        <f t="shared" si="91"/>
        <v>2.5249539200000011</v>
      </c>
      <c r="BM38" s="27">
        <f t="shared" si="91"/>
        <v>15.149723520000004</v>
      </c>
      <c r="BN38" s="27">
        <f t="shared" si="91"/>
        <v>15.149723520000004</v>
      </c>
      <c r="BO38" s="27">
        <f t="shared" si="91"/>
        <v>5.0499078400000021</v>
      </c>
      <c r="BP38" s="49">
        <f>+SUM(BD38:BO38)</f>
        <v>123.72274208000005</v>
      </c>
      <c r="BQ38" s="27">
        <f t="shared" ref="BQ38:CB38" si="92">+BQ28*0.2</f>
        <v>8.0293534656000016</v>
      </c>
      <c r="BR38" s="27">
        <f t="shared" si="92"/>
        <v>2.676451155200001</v>
      </c>
      <c r="BS38" s="27">
        <f t="shared" si="92"/>
        <v>8.0293534656000016</v>
      </c>
      <c r="BT38" s="27">
        <f t="shared" si="92"/>
        <v>16.058706931200003</v>
      </c>
      <c r="BU38" s="27">
        <f t="shared" si="92"/>
        <v>16.058706931200003</v>
      </c>
      <c r="BV38" s="27">
        <f t="shared" si="92"/>
        <v>16.058706931200003</v>
      </c>
      <c r="BW38" s="27">
        <f t="shared" si="92"/>
        <v>8.0293534656000016</v>
      </c>
      <c r="BX38" s="27">
        <f t="shared" si="92"/>
        <v>16.058706931200003</v>
      </c>
      <c r="BY38" s="27">
        <f t="shared" si="92"/>
        <v>2.676451155200001</v>
      </c>
      <c r="BZ38" s="27">
        <f t="shared" si="92"/>
        <v>16.058706931200003</v>
      </c>
      <c r="CA38" s="27">
        <f t="shared" si="92"/>
        <v>16.058706931200003</v>
      </c>
      <c r="CB38" s="27">
        <f t="shared" si="92"/>
        <v>5.352902310400002</v>
      </c>
      <c r="CC38" s="49">
        <f>+SUM(BQ38:CB38)</f>
        <v>131.14610660480005</v>
      </c>
      <c r="CD38" s="27">
        <f t="shared" ref="CD38:CO38" si="93">+CD28*0.2</f>
        <v>8.511114673536003</v>
      </c>
      <c r="CE38" s="27">
        <f t="shared" si="93"/>
        <v>2.8370382245120016</v>
      </c>
      <c r="CF38" s="27">
        <f t="shared" si="93"/>
        <v>8.511114673536003</v>
      </c>
      <c r="CG38" s="27">
        <f t="shared" si="93"/>
        <v>17.022229347072006</v>
      </c>
      <c r="CH38" s="27">
        <f t="shared" si="93"/>
        <v>17.022229347072006</v>
      </c>
      <c r="CI38" s="27">
        <f t="shared" si="93"/>
        <v>17.022229347072006</v>
      </c>
      <c r="CJ38" s="27">
        <f t="shared" si="93"/>
        <v>8.511114673536003</v>
      </c>
      <c r="CK38" s="27">
        <f t="shared" si="93"/>
        <v>17.022229347072006</v>
      </c>
      <c r="CL38" s="27">
        <f t="shared" si="93"/>
        <v>2.8370382245120016</v>
      </c>
      <c r="CM38" s="27">
        <f t="shared" si="93"/>
        <v>17.022229347072006</v>
      </c>
      <c r="CN38" s="27">
        <f t="shared" si="93"/>
        <v>17.022229347072006</v>
      </c>
      <c r="CO38" s="27">
        <f t="shared" si="93"/>
        <v>5.6740764490240032</v>
      </c>
      <c r="CP38" s="49">
        <f>+SUM(CD38:CO38)</f>
        <v>139.01487300108803</v>
      </c>
    </row>
    <row r="39" spans="1:94" s="27" customFormat="1" x14ac:dyDescent="0.25">
      <c r="B39" s="52"/>
      <c r="C39" s="27">
        <v>30000</v>
      </c>
      <c r="D39" s="27">
        <f>+Parámetros!$C$12</f>
        <v>33000</v>
      </c>
      <c r="E39" s="27">
        <f>+Parámetros!$C$12</f>
        <v>33000</v>
      </c>
      <c r="F39" s="27">
        <f>+Parámetros!$C$12</f>
        <v>33000</v>
      </c>
      <c r="G39" s="27">
        <f>+Parámetros!$C$12</f>
        <v>33000</v>
      </c>
      <c r="H39" s="27">
        <f>+Parámetros!$C$12</f>
        <v>33000</v>
      </c>
      <c r="I39" s="27">
        <f>+Parámetros!$C$12</f>
        <v>33000</v>
      </c>
      <c r="J39" s="27">
        <f>+Parámetros!$C$12</f>
        <v>33000</v>
      </c>
      <c r="K39" s="27">
        <f>+Parámetros!$C$12</f>
        <v>33000</v>
      </c>
      <c r="L39" s="27">
        <f>+Parámetros!$C$12</f>
        <v>33000</v>
      </c>
      <c r="M39" s="27">
        <f>+Parámetros!$C$12</f>
        <v>33000</v>
      </c>
      <c r="N39" s="27">
        <f>+Parámetros!$C$12</f>
        <v>33000</v>
      </c>
      <c r="O39" s="27">
        <f>+Parámetros!$C$12</f>
        <v>33000</v>
      </c>
      <c r="P39" s="49"/>
      <c r="Q39" s="27">
        <f>+Parámetros!$D$12</f>
        <v>34980</v>
      </c>
      <c r="R39" s="27">
        <f>+Parámetros!$D$12</f>
        <v>34980</v>
      </c>
      <c r="S39" s="27">
        <f>+Parámetros!$D$12</f>
        <v>34980</v>
      </c>
      <c r="T39" s="27">
        <f>+Parámetros!$D$12</f>
        <v>34980</v>
      </c>
      <c r="U39" s="27">
        <f>+Parámetros!$D$12</f>
        <v>34980</v>
      </c>
      <c r="V39" s="27">
        <f>+Parámetros!$D$12</f>
        <v>34980</v>
      </c>
      <c r="W39" s="27">
        <f>+Parámetros!$D$12</f>
        <v>34980</v>
      </c>
      <c r="X39" s="27">
        <f>+Parámetros!$D$12</f>
        <v>34980</v>
      </c>
      <c r="Y39" s="27">
        <f>+Parámetros!$D$12</f>
        <v>34980</v>
      </c>
      <c r="Z39" s="27">
        <f>+Parámetros!$D$12</f>
        <v>34980</v>
      </c>
      <c r="AA39" s="27">
        <f>+Parámetros!$D$12</f>
        <v>34980</v>
      </c>
      <c r="AB39" s="27">
        <f>+Parámetros!$D$12</f>
        <v>34980</v>
      </c>
      <c r="AC39" s="49"/>
      <c r="AD39" s="27">
        <f>+Parámetros!$E$12</f>
        <v>37778.400000000001</v>
      </c>
      <c r="AE39" s="27">
        <f>+Parámetros!$E$12</f>
        <v>37778.400000000001</v>
      </c>
      <c r="AF39" s="27">
        <f>+Parámetros!$E$12</f>
        <v>37778.400000000001</v>
      </c>
      <c r="AG39" s="27">
        <f>+Parámetros!$E$12</f>
        <v>37778.400000000001</v>
      </c>
      <c r="AH39" s="27">
        <f>+Parámetros!$E$12</f>
        <v>37778.400000000001</v>
      </c>
      <c r="AI39" s="27">
        <f>+Parámetros!$E$12</f>
        <v>37778.400000000001</v>
      </c>
      <c r="AJ39" s="27">
        <f>+Parámetros!$E$12</f>
        <v>37778.400000000001</v>
      </c>
      <c r="AK39" s="27">
        <f>+Parámetros!$E$12</f>
        <v>37778.400000000001</v>
      </c>
      <c r="AL39" s="27">
        <f>+Parámetros!$E$12</f>
        <v>37778.400000000001</v>
      </c>
      <c r="AM39" s="27">
        <f>+Parámetros!$E$12</f>
        <v>37778.400000000001</v>
      </c>
      <c r="AN39" s="27">
        <f>+Parámetros!$E$12</f>
        <v>37778.400000000001</v>
      </c>
      <c r="AO39" s="27">
        <f>+Parámetros!$E$12</f>
        <v>37778.400000000001</v>
      </c>
      <c r="AP39" s="49"/>
      <c r="AQ39" s="27">
        <f>+Parámetros!$F$12</f>
        <v>41556.240000000005</v>
      </c>
      <c r="AR39" s="27">
        <f>+Parámetros!$F$12</f>
        <v>41556.240000000005</v>
      </c>
      <c r="AS39" s="27">
        <f>+Parámetros!$F$12</f>
        <v>41556.240000000005</v>
      </c>
      <c r="AT39" s="27">
        <f>+Parámetros!$F$12</f>
        <v>41556.240000000005</v>
      </c>
      <c r="AU39" s="27">
        <f>+Parámetros!$F$12</f>
        <v>41556.240000000005</v>
      </c>
      <c r="AV39" s="27">
        <f>+Parámetros!$F$12</f>
        <v>41556.240000000005</v>
      </c>
      <c r="AW39" s="27">
        <f>+Parámetros!$F$12</f>
        <v>41556.240000000005</v>
      </c>
      <c r="AX39" s="27">
        <f>+Parámetros!$F$12</f>
        <v>41556.240000000005</v>
      </c>
      <c r="AY39" s="27">
        <f>+Parámetros!$F$12</f>
        <v>41556.240000000005</v>
      </c>
      <c r="AZ39" s="27">
        <f>+Parámetros!$F$12</f>
        <v>41556.240000000005</v>
      </c>
      <c r="BA39" s="27">
        <f>+Parámetros!$F$12</f>
        <v>41556.240000000005</v>
      </c>
      <c r="BB39" s="27">
        <f>+Parámetros!$F$12</f>
        <v>41556.240000000005</v>
      </c>
      <c r="BC39" s="49"/>
      <c r="BD39" s="27">
        <f>+Parámetros!$G$12</f>
        <v>45711.864000000009</v>
      </c>
      <c r="BE39" s="27">
        <f>+Parámetros!$G$12</f>
        <v>45711.864000000009</v>
      </c>
      <c r="BF39" s="27">
        <f>+Parámetros!$G$12</f>
        <v>45711.864000000009</v>
      </c>
      <c r="BG39" s="27">
        <f>+Parámetros!$G$12</f>
        <v>45711.864000000009</v>
      </c>
      <c r="BH39" s="27">
        <f>+Parámetros!$G$12</f>
        <v>45711.864000000009</v>
      </c>
      <c r="BI39" s="27">
        <f>+Parámetros!$G$12</f>
        <v>45711.864000000009</v>
      </c>
      <c r="BJ39" s="27">
        <f>+Parámetros!$G$12</f>
        <v>45711.864000000009</v>
      </c>
      <c r="BK39" s="27">
        <f>+Parámetros!$G$12</f>
        <v>45711.864000000009</v>
      </c>
      <c r="BL39" s="27">
        <f>+Parámetros!$G$12</f>
        <v>45711.864000000009</v>
      </c>
      <c r="BM39" s="27">
        <f>+Parámetros!$G$12</f>
        <v>45711.864000000009</v>
      </c>
      <c r="BN39" s="27">
        <f>+Parámetros!$G$12</f>
        <v>45711.864000000009</v>
      </c>
      <c r="BO39" s="27">
        <f>+Parámetros!$G$12</f>
        <v>45711.864000000009</v>
      </c>
      <c r="BP39" s="49"/>
      <c r="BQ39" s="27">
        <f>+Parámetros!$H$12</f>
        <v>50283.050400000015</v>
      </c>
      <c r="BR39" s="27">
        <f>+Parámetros!$H$12</f>
        <v>50283.050400000015</v>
      </c>
      <c r="BS39" s="27">
        <f>+Parámetros!$H$12</f>
        <v>50283.050400000015</v>
      </c>
      <c r="BT39" s="27">
        <f>+Parámetros!$H$12</f>
        <v>50283.050400000015</v>
      </c>
      <c r="BU39" s="27">
        <f>+Parámetros!$H$12</f>
        <v>50283.050400000015</v>
      </c>
      <c r="BV39" s="27">
        <f>+Parámetros!$H$12</f>
        <v>50283.050400000015</v>
      </c>
      <c r="BW39" s="27">
        <f>+Parámetros!$H$12</f>
        <v>50283.050400000015</v>
      </c>
      <c r="BX39" s="27">
        <f>+Parámetros!$H$12</f>
        <v>50283.050400000015</v>
      </c>
      <c r="BY39" s="27">
        <f>+Parámetros!$H$12</f>
        <v>50283.050400000015</v>
      </c>
      <c r="BZ39" s="27">
        <f>+Parámetros!$H$12</f>
        <v>50283.050400000015</v>
      </c>
      <c r="CA39" s="27">
        <f>+Parámetros!$H$12</f>
        <v>50283.050400000015</v>
      </c>
      <c r="CB39" s="27">
        <f>+Parámetros!$H$12</f>
        <v>50283.050400000015</v>
      </c>
      <c r="CC39" s="49"/>
      <c r="CD39" s="27">
        <f>+Parámetros!$I$12</f>
        <v>55311.355440000021</v>
      </c>
      <c r="CE39" s="27">
        <f>+Parámetros!$I$12</f>
        <v>55311.355440000021</v>
      </c>
      <c r="CF39" s="27">
        <f>+Parámetros!$I$12</f>
        <v>55311.355440000021</v>
      </c>
      <c r="CG39" s="27">
        <f>+Parámetros!$I$12</f>
        <v>55311.355440000021</v>
      </c>
      <c r="CH39" s="27">
        <f>+Parámetros!$I$12</f>
        <v>55311.355440000021</v>
      </c>
      <c r="CI39" s="27">
        <f>+Parámetros!$I$12</f>
        <v>55311.355440000021</v>
      </c>
      <c r="CJ39" s="27">
        <f>+Parámetros!$I$12</f>
        <v>55311.355440000021</v>
      </c>
      <c r="CK39" s="27">
        <f>+Parámetros!$I$12</f>
        <v>55311.355440000021</v>
      </c>
      <c r="CL39" s="27">
        <f>+Parámetros!$I$12</f>
        <v>55311.355440000021</v>
      </c>
      <c r="CM39" s="27">
        <f>+Parámetros!$I$12</f>
        <v>55311.355440000021</v>
      </c>
      <c r="CN39" s="27">
        <f>+Parámetros!$I$12</f>
        <v>55311.355440000021</v>
      </c>
      <c r="CO39" s="27">
        <f>+Parámetros!$I$12</f>
        <v>55311.355440000021</v>
      </c>
      <c r="CP39" s="49"/>
    </row>
    <row r="40" spans="1:94" s="27" customFormat="1" x14ac:dyDescent="0.25">
      <c r="B40" s="52"/>
      <c r="C40" s="51">
        <f>+C38*C39</f>
        <v>480000</v>
      </c>
      <c r="D40" s="51">
        <f t="shared" ref="D40:O40" si="94">+D38*D39</f>
        <v>198000</v>
      </c>
      <c r="E40" s="51">
        <f t="shared" si="94"/>
        <v>66000</v>
      </c>
      <c r="F40" s="51">
        <f t="shared" si="94"/>
        <v>198000</v>
      </c>
      <c r="G40" s="51">
        <f t="shared" si="94"/>
        <v>396000</v>
      </c>
      <c r="H40" s="51">
        <f t="shared" si="94"/>
        <v>396000</v>
      </c>
      <c r="I40" s="51">
        <f t="shared" si="94"/>
        <v>396000</v>
      </c>
      <c r="J40" s="51">
        <f t="shared" si="94"/>
        <v>198000</v>
      </c>
      <c r="K40" s="51">
        <f t="shared" si="94"/>
        <v>396000</v>
      </c>
      <c r="L40" s="51">
        <f t="shared" si="94"/>
        <v>66000</v>
      </c>
      <c r="M40" s="51">
        <f t="shared" si="94"/>
        <v>396000</v>
      </c>
      <c r="N40" s="51">
        <f t="shared" si="94"/>
        <v>396000</v>
      </c>
      <c r="O40" s="51">
        <f t="shared" si="94"/>
        <v>132000</v>
      </c>
      <c r="P40" s="49">
        <f>SUM(D40:O40)</f>
        <v>3234000</v>
      </c>
      <c r="Q40" s="51">
        <f t="shared" ref="Q40:AB40" si="95">+Q38*Q39</f>
        <v>222472.80000000002</v>
      </c>
      <c r="R40" s="51">
        <f t="shared" si="95"/>
        <v>74157.60000000002</v>
      </c>
      <c r="S40" s="51">
        <f t="shared" si="95"/>
        <v>222472.80000000002</v>
      </c>
      <c r="T40" s="51">
        <f t="shared" si="95"/>
        <v>444945.60000000003</v>
      </c>
      <c r="U40" s="51">
        <f t="shared" si="95"/>
        <v>444945.60000000003</v>
      </c>
      <c r="V40" s="51">
        <f t="shared" si="95"/>
        <v>444945.60000000003</v>
      </c>
      <c r="W40" s="51">
        <f t="shared" si="95"/>
        <v>222472.80000000002</v>
      </c>
      <c r="X40" s="51">
        <f t="shared" si="95"/>
        <v>444945.60000000003</v>
      </c>
      <c r="Y40" s="51">
        <f t="shared" si="95"/>
        <v>74157.60000000002</v>
      </c>
      <c r="Z40" s="51">
        <f t="shared" si="95"/>
        <v>444945.60000000003</v>
      </c>
      <c r="AA40" s="51">
        <f t="shared" si="95"/>
        <v>444945.60000000003</v>
      </c>
      <c r="AB40" s="51">
        <f t="shared" si="95"/>
        <v>148315.20000000004</v>
      </c>
      <c r="AC40" s="49">
        <f>SUM(Q40:AB40)</f>
        <v>3633722.4000000008</v>
      </c>
      <c r="AD40" s="51">
        <f t="shared" ref="AD40:AO40" si="96">+AD38*AD39</f>
        <v>254686.86144000007</v>
      </c>
      <c r="AE40" s="51">
        <f t="shared" si="96"/>
        <v>84895.620480000027</v>
      </c>
      <c r="AF40" s="51">
        <f t="shared" si="96"/>
        <v>254686.86144000007</v>
      </c>
      <c r="AG40" s="51">
        <f t="shared" si="96"/>
        <v>509373.72288000013</v>
      </c>
      <c r="AH40" s="51">
        <f t="shared" si="96"/>
        <v>509373.72288000013</v>
      </c>
      <c r="AI40" s="51">
        <f t="shared" si="96"/>
        <v>509373.72288000013</v>
      </c>
      <c r="AJ40" s="51">
        <f t="shared" si="96"/>
        <v>254686.86144000007</v>
      </c>
      <c r="AK40" s="51">
        <f t="shared" si="96"/>
        <v>509373.72288000013</v>
      </c>
      <c r="AL40" s="51">
        <f t="shared" si="96"/>
        <v>84895.620480000027</v>
      </c>
      <c r="AM40" s="51">
        <f t="shared" si="96"/>
        <v>509373.72288000013</v>
      </c>
      <c r="AN40" s="51">
        <f t="shared" si="96"/>
        <v>509373.72288000013</v>
      </c>
      <c r="AO40" s="51">
        <f t="shared" si="96"/>
        <v>169791.24096000005</v>
      </c>
      <c r="AP40" s="49">
        <f>SUM(AD40:AO40)</f>
        <v>4159885.4035200016</v>
      </c>
      <c r="AQ40" s="51">
        <f t="shared" ref="AQ40:BB40" si="97">+AQ38*AQ39</f>
        <v>296964.88043904013</v>
      </c>
      <c r="AR40" s="51">
        <f t="shared" si="97"/>
        <v>98988.29347968004</v>
      </c>
      <c r="AS40" s="51">
        <f t="shared" si="97"/>
        <v>296964.88043904013</v>
      </c>
      <c r="AT40" s="51">
        <f t="shared" si="97"/>
        <v>593929.76087808027</v>
      </c>
      <c r="AU40" s="51">
        <f t="shared" si="97"/>
        <v>593929.76087808027</v>
      </c>
      <c r="AV40" s="51">
        <f t="shared" si="97"/>
        <v>593929.76087808027</v>
      </c>
      <c r="AW40" s="51">
        <f t="shared" si="97"/>
        <v>296964.88043904013</v>
      </c>
      <c r="AX40" s="51">
        <f t="shared" si="97"/>
        <v>593929.76087808027</v>
      </c>
      <c r="AY40" s="51">
        <f t="shared" si="97"/>
        <v>98988.29347968004</v>
      </c>
      <c r="AZ40" s="51">
        <f t="shared" si="97"/>
        <v>593929.76087808027</v>
      </c>
      <c r="BA40" s="51">
        <f t="shared" si="97"/>
        <v>593929.76087808027</v>
      </c>
      <c r="BB40" s="51">
        <f t="shared" si="97"/>
        <v>197976.58695936008</v>
      </c>
      <c r="BC40" s="49">
        <f>SUM(AQ40:BB40)</f>
        <v>4850426.3805043232</v>
      </c>
      <c r="BD40" s="51">
        <f t="shared" ref="BD40:BO40" si="98">+BD38*BD39</f>
        <v>346261.05059192079</v>
      </c>
      <c r="BE40" s="51">
        <f t="shared" si="98"/>
        <v>115420.35019730695</v>
      </c>
      <c r="BF40" s="51">
        <f t="shared" si="98"/>
        <v>346261.05059192079</v>
      </c>
      <c r="BG40" s="51">
        <f t="shared" si="98"/>
        <v>692522.10118384159</v>
      </c>
      <c r="BH40" s="51">
        <f t="shared" si="98"/>
        <v>692522.10118384159</v>
      </c>
      <c r="BI40" s="51">
        <f t="shared" si="98"/>
        <v>692522.10118384159</v>
      </c>
      <c r="BJ40" s="51">
        <f t="shared" si="98"/>
        <v>346261.05059192079</v>
      </c>
      <c r="BK40" s="51">
        <f t="shared" si="98"/>
        <v>692522.10118384159</v>
      </c>
      <c r="BL40" s="51">
        <f t="shared" si="98"/>
        <v>115420.35019730695</v>
      </c>
      <c r="BM40" s="51">
        <f t="shared" si="98"/>
        <v>692522.10118384159</v>
      </c>
      <c r="BN40" s="51">
        <f t="shared" si="98"/>
        <v>692522.10118384159</v>
      </c>
      <c r="BO40" s="51">
        <f t="shared" si="98"/>
        <v>230840.7003946139</v>
      </c>
      <c r="BP40" s="49">
        <f>SUM(BD40:BO40)</f>
        <v>5655597.1596680395</v>
      </c>
      <c r="BQ40" s="51">
        <f t="shared" ref="BQ40:CB40" si="99">+BQ38*BQ39</f>
        <v>403740.38499017968</v>
      </c>
      <c r="BR40" s="51">
        <f t="shared" si="99"/>
        <v>134580.1283300599</v>
      </c>
      <c r="BS40" s="51">
        <f t="shared" si="99"/>
        <v>403740.38499017968</v>
      </c>
      <c r="BT40" s="51">
        <f t="shared" si="99"/>
        <v>807480.76998035936</v>
      </c>
      <c r="BU40" s="51">
        <f t="shared" si="99"/>
        <v>807480.76998035936</v>
      </c>
      <c r="BV40" s="51">
        <f t="shared" si="99"/>
        <v>807480.76998035936</v>
      </c>
      <c r="BW40" s="51">
        <f t="shared" si="99"/>
        <v>403740.38499017968</v>
      </c>
      <c r="BX40" s="51">
        <f t="shared" si="99"/>
        <v>807480.76998035936</v>
      </c>
      <c r="BY40" s="51">
        <f t="shared" si="99"/>
        <v>134580.1283300599</v>
      </c>
      <c r="BZ40" s="51">
        <f t="shared" si="99"/>
        <v>807480.76998035936</v>
      </c>
      <c r="CA40" s="51">
        <f t="shared" si="99"/>
        <v>807480.76998035936</v>
      </c>
      <c r="CB40" s="51">
        <f t="shared" si="99"/>
        <v>269160.25666011981</v>
      </c>
      <c r="CC40" s="49">
        <f>SUM(BQ40:CB40)</f>
        <v>6594426.2881729351</v>
      </c>
      <c r="CD40" s="51">
        <f t="shared" ref="CD40:CO40" si="100">+CD38*CD39</f>
        <v>470761.28889854962</v>
      </c>
      <c r="CE40" s="51">
        <f t="shared" si="100"/>
        <v>156920.4296328499</v>
      </c>
      <c r="CF40" s="51">
        <f t="shared" si="100"/>
        <v>470761.28889854962</v>
      </c>
      <c r="CG40" s="51">
        <f t="shared" si="100"/>
        <v>941522.57779709925</v>
      </c>
      <c r="CH40" s="51">
        <f t="shared" si="100"/>
        <v>941522.57779709925</v>
      </c>
      <c r="CI40" s="51">
        <f t="shared" si="100"/>
        <v>941522.57779709925</v>
      </c>
      <c r="CJ40" s="51">
        <f t="shared" si="100"/>
        <v>470761.28889854962</v>
      </c>
      <c r="CK40" s="51">
        <f t="shared" si="100"/>
        <v>941522.57779709925</v>
      </c>
      <c r="CL40" s="51">
        <f t="shared" si="100"/>
        <v>156920.4296328499</v>
      </c>
      <c r="CM40" s="51">
        <f t="shared" si="100"/>
        <v>941522.57779709925</v>
      </c>
      <c r="CN40" s="51">
        <f t="shared" si="100"/>
        <v>941522.57779709925</v>
      </c>
      <c r="CO40" s="51">
        <f t="shared" si="100"/>
        <v>313840.85926569981</v>
      </c>
      <c r="CP40" s="49">
        <f>SUM(CD40:CO40)</f>
        <v>7689101.052009644</v>
      </c>
    </row>
    <row r="41" spans="1:94" s="27" customFormat="1" x14ac:dyDescent="0.25">
      <c r="B41" s="52"/>
      <c r="C41" s="51"/>
      <c r="P41" s="49"/>
      <c r="AC41" s="49"/>
      <c r="AP41" s="49"/>
      <c r="BC41" s="49"/>
      <c r="BP41" s="49"/>
      <c r="CC41" s="49"/>
      <c r="CP41" s="49"/>
    </row>
    <row r="42" spans="1:94" s="27" customFormat="1" x14ac:dyDescent="0.25">
      <c r="B42" s="52"/>
      <c r="C42" s="51">
        <f>+C32+C36+C40</f>
        <v>2720000</v>
      </c>
      <c r="D42" s="51">
        <f t="shared" ref="D42:O42" si="101">+D32+D36+D40</f>
        <v>1038000</v>
      </c>
      <c r="E42" s="51">
        <f t="shared" si="101"/>
        <v>346000</v>
      </c>
      <c r="F42" s="51">
        <f t="shared" si="101"/>
        <v>1038000</v>
      </c>
      <c r="G42" s="51">
        <f t="shared" si="101"/>
        <v>2076000</v>
      </c>
      <c r="H42" s="51">
        <f t="shared" si="101"/>
        <v>2076000</v>
      </c>
      <c r="I42" s="51">
        <f t="shared" si="101"/>
        <v>2076000</v>
      </c>
      <c r="J42" s="51">
        <f t="shared" si="101"/>
        <v>1038000</v>
      </c>
      <c r="K42" s="51">
        <f t="shared" si="101"/>
        <v>2076000</v>
      </c>
      <c r="L42" s="51">
        <f t="shared" si="101"/>
        <v>346000</v>
      </c>
      <c r="M42" s="51">
        <f t="shared" si="101"/>
        <v>2076000</v>
      </c>
      <c r="N42" s="51">
        <f t="shared" si="101"/>
        <v>2076000</v>
      </c>
      <c r="O42" s="51">
        <f t="shared" si="101"/>
        <v>692000</v>
      </c>
      <c r="P42" s="49">
        <f>SUM(D42:O42)</f>
        <v>16954000</v>
      </c>
      <c r="Q42" s="51">
        <f t="shared" ref="Q42:AB42" si="102">+Q32+Q36+Q40</f>
        <v>1166296.8</v>
      </c>
      <c r="R42" s="51">
        <f t="shared" si="102"/>
        <v>388765.60000000015</v>
      </c>
      <c r="S42" s="51">
        <f t="shared" si="102"/>
        <v>1166296.8</v>
      </c>
      <c r="T42" s="51">
        <f t="shared" si="102"/>
        <v>2332593.6</v>
      </c>
      <c r="U42" s="51">
        <f t="shared" si="102"/>
        <v>2332593.6</v>
      </c>
      <c r="V42" s="51">
        <f t="shared" si="102"/>
        <v>2332593.6</v>
      </c>
      <c r="W42" s="51">
        <f t="shared" si="102"/>
        <v>1166296.8</v>
      </c>
      <c r="X42" s="51">
        <f t="shared" si="102"/>
        <v>2332593.6</v>
      </c>
      <c r="Y42" s="51">
        <f t="shared" si="102"/>
        <v>388765.60000000015</v>
      </c>
      <c r="Z42" s="51">
        <f t="shared" si="102"/>
        <v>2332593.6</v>
      </c>
      <c r="AA42" s="51">
        <f t="shared" si="102"/>
        <v>2332593.6</v>
      </c>
      <c r="AB42" s="51">
        <f t="shared" si="102"/>
        <v>777531.2000000003</v>
      </c>
      <c r="AC42" s="49">
        <f>SUM(Q42:AB42)</f>
        <v>19049514.399999999</v>
      </c>
      <c r="AD42" s="51">
        <f t="shared" ref="AD42:AO42" si="103">+AD32+AD36+AD40</f>
        <v>1335176.5766400003</v>
      </c>
      <c r="AE42" s="51">
        <f t="shared" si="103"/>
        <v>445058.85888000019</v>
      </c>
      <c r="AF42" s="51">
        <f t="shared" si="103"/>
        <v>1335176.5766400003</v>
      </c>
      <c r="AG42" s="51">
        <f t="shared" si="103"/>
        <v>2670353.1532800007</v>
      </c>
      <c r="AH42" s="51">
        <f t="shared" si="103"/>
        <v>2670353.1532800007</v>
      </c>
      <c r="AI42" s="51">
        <f t="shared" si="103"/>
        <v>2670353.1532800007</v>
      </c>
      <c r="AJ42" s="51">
        <f t="shared" si="103"/>
        <v>1335176.5766400003</v>
      </c>
      <c r="AK42" s="51">
        <f t="shared" si="103"/>
        <v>2670353.1532800007</v>
      </c>
      <c r="AL42" s="51">
        <f t="shared" si="103"/>
        <v>445058.85888000019</v>
      </c>
      <c r="AM42" s="51">
        <f t="shared" si="103"/>
        <v>2670353.1532800007</v>
      </c>
      <c r="AN42" s="51">
        <f t="shared" si="103"/>
        <v>2670353.1532800007</v>
      </c>
      <c r="AO42" s="51">
        <f t="shared" si="103"/>
        <v>890117.71776000038</v>
      </c>
      <c r="AP42" s="49">
        <f>SUM(AD42:AO42)</f>
        <v>21807884.085120007</v>
      </c>
      <c r="AQ42" s="51">
        <f t="shared" ref="AQ42:BB42" si="104">+AQ32+AQ36+AQ40</f>
        <v>1556815.8883622405</v>
      </c>
      <c r="AR42" s="51">
        <f t="shared" si="104"/>
        <v>518938.62945408019</v>
      </c>
      <c r="AS42" s="51">
        <f t="shared" si="104"/>
        <v>1556815.8883622405</v>
      </c>
      <c r="AT42" s="51">
        <f t="shared" si="104"/>
        <v>3113631.776724481</v>
      </c>
      <c r="AU42" s="51">
        <f t="shared" si="104"/>
        <v>3113631.776724481</v>
      </c>
      <c r="AV42" s="51">
        <f t="shared" si="104"/>
        <v>3113631.776724481</v>
      </c>
      <c r="AW42" s="51">
        <f t="shared" si="104"/>
        <v>1556815.8883622405</v>
      </c>
      <c r="AX42" s="51">
        <f t="shared" si="104"/>
        <v>3113631.776724481</v>
      </c>
      <c r="AY42" s="51">
        <f t="shared" si="104"/>
        <v>518938.62945408019</v>
      </c>
      <c r="AZ42" s="51">
        <f t="shared" si="104"/>
        <v>3113631.776724481</v>
      </c>
      <c r="BA42" s="51">
        <f t="shared" si="104"/>
        <v>3113631.776724481</v>
      </c>
      <c r="BB42" s="51">
        <f t="shared" si="104"/>
        <v>1037877.2589081604</v>
      </c>
      <c r="BC42" s="49">
        <f>SUM(AQ42:BB42)</f>
        <v>25427992.843249924</v>
      </c>
      <c r="BD42" s="51">
        <f t="shared" ref="BD42:BO42" si="105">+BD32+BD36+BD40</f>
        <v>1815247.3258303725</v>
      </c>
      <c r="BE42" s="51">
        <f t="shared" si="105"/>
        <v>605082.44194345758</v>
      </c>
      <c r="BF42" s="51">
        <f t="shared" si="105"/>
        <v>1815247.3258303725</v>
      </c>
      <c r="BG42" s="51">
        <f t="shared" si="105"/>
        <v>3630494.651660745</v>
      </c>
      <c r="BH42" s="51">
        <f t="shared" si="105"/>
        <v>3630494.651660745</v>
      </c>
      <c r="BI42" s="51">
        <f t="shared" si="105"/>
        <v>3630494.651660745</v>
      </c>
      <c r="BJ42" s="51">
        <f t="shared" si="105"/>
        <v>1815247.3258303725</v>
      </c>
      <c r="BK42" s="51">
        <f t="shared" si="105"/>
        <v>3630494.651660745</v>
      </c>
      <c r="BL42" s="51">
        <f t="shared" si="105"/>
        <v>605082.44194345758</v>
      </c>
      <c r="BM42" s="51">
        <f t="shared" si="105"/>
        <v>3630494.651660745</v>
      </c>
      <c r="BN42" s="51">
        <f t="shared" si="105"/>
        <v>3630494.651660745</v>
      </c>
      <c r="BO42" s="51">
        <f t="shared" si="105"/>
        <v>1210164.8838869152</v>
      </c>
      <c r="BP42" s="49">
        <f>SUM(BD42:BO42)</f>
        <v>29649039.655229419</v>
      </c>
      <c r="BQ42" s="51">
        <f t="shared" ref="BQ42:CB42" si="106">+BQ32+BQ36+BQ40</f>
        <v>2116578.3819182143</v>
      </c>
      <c r="BR42" s="51">
        <f t="shared" si="106"/>
        <v>705526.12730607158</v>
      </c>
      <c r="BS42" s="51">
        <f t="shared" si="106"/>
        <v>2116578.3819182143</v>
      </c>
      <c r="BT42" s="51">
        <f t="shared" si="106"/>
        <v>4233156.7638364285</v>
      </c>
      <c r="BU42" s="51">
        <f t="shared" si="106"/>
        <v>4233156.7638364285</v>
      </c>
      <c r="BV42" s="51">
        <f t="shared" si="106"/>
        <v>4233156.7638364285</v>
      </c>
      <c r="BW42" s="51">
        <f t="shared" si="106"/>
        <v>2116578.3819182143</v>
      </c>
      <c r="BX42" s="51">
        <f t="shared" si="106"/>
        <v>4233156.7638364285</v>
      </c>
      <c r="BY42" s="51">
        <f t="shared" si="106"/>
        <v>705526.12730607158</v>
      </c>
      <c r="BZ42" s="51">
        <f t="shared" si="106"/>
        <v>4233156.7638364285</v>
      </c>
      <c r="CA42" s="51">
        <f t="shared" si="106"/>
        <v>4233156.7638364285</v>
      </c>
      <c r="CB42" s="51">
        <f t="shared" si="106"/>
        <v>1411052.2546121432</v>
      </c>
      <c r="CC42" s="49">
        <f>SUM(BQ42:CB42)</f>
        <v>34570780.237997502</v>
      </c>
      <c r="CD42" s="51">
        <f t="shared" ref="CD42:CO42" si="107">+CD32+CD36+CD40</f>
        <v>2467930.3933166387</v>
      </c>
      <c r="CE42" s="51">
        <f t="shared" si="107"/>
        <v>822643.46443887975</v>
      </c>
      <c r="CF42" s="51">
        <f t="shared" si="107"/>
        <v>2467930.3933166387</v>
      </c>
      <c r="CG42" s="51">
        <f t="shared" si="107"/>
        <v>4935860.7866332773</v>
      </c>
      <c r="CH42" s="51">
        <f t="shared" si="107"/>
        <v>4935860.7866332773</v>
      </c>
      <c r="CI42" s="51">
        <f t="shared" si="107"/>
        <v>4935860.7866332773</v>
      </c>
      <c r="CJ42" s="51">
        <f t="shared" si="107"/>
        <v>2467930.3933166387</v>
      </c>
      <c r="CK42" s="51">
        <f t="shared" si="107"/>
        <v>4935860.7866332773</v>
      </c>
      <c r="CL42" s="51">
        <f t="shared" si="107"/>
        <v>822643.46443887975</v>
      </c>
      <c r="CM42" s="51">
        <f t="shared" si="107"/>
        <v>4935860.7866332773</v>
      </c>
      <c r="CN42" s="51">
        <f t="shared" si="107"/>
        <v>4935860.7866332773</v>
      </c>
      <c r="CO42" s="51">
        <f t="shared" si="107"/>
        <v>1645286.9288777595</v>
      </c>
      <c r="CP42" s="49">
        <f>SUM(CD42:CO42)</f>
        <v>40309529.757505089</v>
      </c>
    </row>
    <row r="43" spans="1:94" s="27" customFormat="1" x14ac:dyDescent="0.25">
      <c r="B43" s="52"/>
      <c r="C43" s="51"/>
      <c r="D43" s="31">
        <f>+D42/$D$4</f>
        <v>2.8867011513432336E-2</v>
      </c>
      <c r="P43" s="49"/>
      <c r="AC43" s="49"/>
      <c r="AP43" s="49"/>
      <c r="BC43" s="49"/>
      <c r="BP43" s="49"/>
      <c r="CC43" s="49"/>
      <c r="CP43" s="49"/>
    </row>
    <row r="44" spans="1:94" s="27" customFormat="1" x14ac:dyDescent="0.25">
      <c r="B44" s="52"/>
      <c r="P44" s="49"/>
      <c r="AC44" s="49"/>
      <c r="AP44" s="49"/>
      <c r="BC44" s="49"/>
      <c r="BP44" s="49"/>
      <c r="CC44" s="49"/>
      <c r="CP44" s="49"/>
    </row>
    <row r="45" spans="1:94" s="27" customFormat="1" x14ac:dyDescent="0.25">
      <c r="B45" s="52"/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49">
        <f>SUM(D45:O45)</f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49">
        <f t="shared" ref="AC45:AC48" si="108">SUM(Q45:AB45)</f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49">
        <f t="shared" ref="AP45:AP48" si="109">SUM(AD45:AO45)</f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49">
        <f t="shared" ref="BC45:BC48" si="110">SUM(AQ45:BB45)</f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49">
        <f t="shared" ref="BP45:BP48" si="111">SUM(BD45:BO45)</f>
        <v>0</v>
      </c>
      <c r="BQ45" s="27">
        <v>0</v>
      </c>
      <c r="BR45" s="27">
        <v>0</v>
      </c>
      <c r="BS45" s="27">
        <v>0</v>
      </c>
      <c r="BT45" s="27">
        <v>0</v>
      </c>
      <c r="BU45" s="27">
        <v>0</v>
      </c>
      <c r="BV45" s="27">
        <v>0</v>
      </c>
      <c r="BW45" s="27">
        <v>0</v>
      </c>
      <c r="BX45" s="27">
        <v>0</v>
      </c>
      <c r="BY45" s="27">
        <v>0</v>
      </c>
      <c r="BZ45" s="27">
        <v>0</v>
      </c>
      <c r="CA45" s="27">
        <v>0</v>
      </c>
      <c r="CB45" s="27">
        <v>0</v>
      </c>
      <c r="CC45" s="49">
        <f t="shared" ref="CC45:CC48" si="112">SUM(BQ45:CB45)</f>
        <v>0</v>
      </c>
      <c r="CD45" s="27">
        <v>0</v>
      </c>
      <c r="CE45" s="27">
        <v>0</v>
      </c>
      <c r="CF45" s="27">
        <v>0</v>
      </c>
      <c r="CG45" s="27">
        <v>0</v>
      </c>
      <c r="CH45" s="27">
        <v>0</v>
      </c>
      <c r="CI45" s="27">
        <v>0</v>
      </c>
      <c r="CJ45" s="27">
        <v>0</v>
      </c>
      <c r="CK45" s="27">
        <v>0</v>
      </c>
      <c r="CL45" s="27">
        <v>0</v>
      </c>
      <c r="CM45" s="27">
        <v>0</v>
      </c>
      <c r="CN45" s="27">
        <v>0</v>
      </c>
      <c r="CO45" s="27">
        <v>0</v>
      </c>
      <c r="CP45" s="49">
        <f t="shared" ref="CP45:CP48" si="113">SUM(CD45:CO45)</f>
        <v>0</v>
      </c>
    </row>
    <row r="46" spans="1:94" s="27" customFormat="1" x14ac:dyDescent="0.25">
      <c r="B46" s="52"/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49">
        <f>SUM(D46:O46)</f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49">
        <f t="shared" si="108"/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49">
        <f t="shared" si="109"/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49">
        <f t="shared" si="110"/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49">
        <f t="shared" si="111"/>
        <v>0</v>
      </c>
      <c r="BQ46" s="27">
        <v>0</v>
      </c>
      <c r="BR46" s="27">
        <v>0</v>
      </c>
      <c r="BS46" s="27">
        <v>0</v>
      </c>
      <c r="BT46" s="27">
        <v>0</v>
      </c>
      <c r="BU46" s="27">
        <v>0</v>
      </c>
      <c r="BV46" s="27">
        <v>0</v>
      </c>
      <c r="BW46" s="27">
        <v>0</v>
      </c>
      <c r="BX46" s="27">
        <v>0</v>
      </c>
      <c r="BY46" s="27">
        <v>0</v>
      </c>
      <c r="BZ46" s="27">
        <v>0</v>
      </c>
      <c r="CA46" s="27">
        <v>0</v>
      </c>
      <c r="CB46" s="27">
        <v>0</v>
      </c>
      <c r="CC46" s="49">
        <f t="shared" si="112"/>
        <v>0</v>
      </c>
      <c r="CD46" s="27">
        <v>0</v>
      </c>
      <c r="CE46" s="27">
        <v>0</v>
      </c>
      <c r="CF46" s="27">
        <v>0</v>
      </c>
      <c r="CG46" s="27">
        <v>0</v>
      </c>
      <c r="CH46" s="27">
        <v>0</v>
      </c>
      <c r="CI46" s="27">
        <v>0</v>
      </c>
      <c r="CJ46" s="27">
        <v>0</v>
      </c>
      <c r="CK46" s="27">
        <v>0</v>
      </c>
      <c r="CL46" s="27">
        <v>0</v>
      </c>
      <c r="CM46" s="27">
        <v>0</v>
      </c>
      <c r="CN46" s="27">
        <v>0</v>
      </c>
      <c r="CO46" s="27">
        <v>0</v>
      </c>
      <c r="CP46" s="49">
        <f t="shared" si="113"/>
        <v>0</v>
      </c>
    </row>
    <row r="47" spans="1:94" s="27" customFormat="1" x14ac:dyDescent="0.25">
      <c r="B47" s="52"/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49">
        <f>SUM(D47:O47)</f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49">
        <f t="shared" si="108"/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49">
        <f t="shared" si="109"/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49">
        <f t="shared" si="110"/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49">
        <f t="shared" si="111"/>
        <v>0</v>
      </c>
      <c r="BQ47" s="27">
        <v>0</v>
      </c>
      <c r="BR47" s="27">
        <v>0</v>
      </c>
      <c r="BS47" s="27">
        <v>0</v>
      </c>
      <c r="BT47" s="27">
        <v>0</v>
      </c>
      <c r="BU47" s="27">
        <v>0</v>
      </c>
      <c r="BV47" s="27">
        <v>0</v>
      </c>
      <c r="BW47" s="27">
        <v>0</v>
      </c>
      <c r="BX47" s="27">
        <v>0</v>
      </c>
      <c r="BY47" s="27">
        <v>0</v>
      </c>
      <c r="BZ47" s="27">
        <v>0</v>
      </c>
      <c r="CA47" s="27">
        <v>0</v>
      </c>
      <c r="CB47" s="27">
        <v>0</v>
      </c>
      <c r="CC47" s="49">
        <f t="shared" si="112"/>
        <v>0</v>
      </c>
      <c r="CD47" s="27">
        <v>0</v>
      </c>
      <c r="CE47" s="27">
        <v>0</v>
      </c>
      <c r="CF47" s="27">
        <v>0</v>
      </c>
      <c r="CG47" s="27">
        <v>0</v>
      </c>
      <c r="CH47" s="27">
        <v>0</v>
      </c>
      <c r="CI47" s="27">
        <v>0</v>
      </c>
      <c r="CJ47" s="27">
        <v>0</v>
      </c>
      <c r="CK47" s="27">
        <v>0</v>
      </c>
      <c r="CL47" s="27">
        <v>0</v>
      </c>
      <c r="CM47" s="27">
        <v>0</v>
      </c>
      <c r="CN47" s="27">
        <v>0</v>
      </c>
      <c r="CO47" s="27">
        <v>0</v>
      </c>
      <c r="CP47" s="49">
        <f t="shared" si="113"/>
        <v>0</v>
      </c>
    </row>
    <row r="48" spans="1:94" s="27" customFormat="1" x14ac:dyDescent="0.25">
      <c r="B48" s="52"/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49">
        <f>SUM(D48:O48)</f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49">
        <f t="shared" si="108"/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49">
        <f t="shared" si="109"/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49">
        <f t="shared" si="110"/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49">
        <f t="shared" si="111"/>
        <v>0</v>
      </c>
      <c r="BQ48" s="27">
        <v>0</v>
      </c>
      <c r="BR48" s="27">
        <v>0</v>
      </c>
      <c r="BS48" s="27">
        <v>0</v>
      </c>
      <c r="BT48" s="27">
        <v>0</v>
      </c>
      <c r="BU48" s="27">
        <v>0</v>
      </c>
      <c r="BV48" s="27">
        <v>0</v>
      </c>
      <c r="BW48" s="27">
        <v>0</v>
      </c>
      <c r="BX48" s="27">
        <v>0</v>
      </c>
      <c r="BY48" s="27">
        <v>0</v>
      </c>
      <c r="BZ48" s="27">
        <v>0</v>
      </c>
      <c r="CA48" s="27">
        <v>0</v>
      </c>
      <c r="CB48" s="27">
        <v>0</v>
      </c>
      <c r="CC48" s="49">
        <f t="shared" si="112"/>
        <v>0</v>
      </c>
      <c r="CD48" s="27">
        <v>0</v>
      </c>
      <c r="CE48" s="27">
        <v>0</v>
      </c>
      <c r="CF48" s="27">
        <v>0</v>
      </c>
      <c r="CG48" s="27">
        <v>0</v>
      </c>
      <c r="CH48" s="27">
        <v>0</v>
      </c>
      <c r="CI48" s="27">
        <v>0</v>
      </c>
      <c r="CJ48" s="27">
        <v>0</v>
      </c>
      <c r="CK48" s="27">
        <v>0</v>
      </c>
      <c r="CL48" s="27">
        <v>0</v>
      </c>
      <c r="CM48" s="27">
        <v>0</v>
      </c>
      <c r="CN48" s="27">
        <v>0</v>
      </c>
      <c r="CO48" s="27">
        <v>0</v>
      </c>
      <c r="CP48" s="49">
        <f t="shared" si="113"/>
        <v>0</v>
      </c>
    </row>
    <row r="49" spans="2:94" s="27" customFormat="1" x14ac:dyDescent="0.25">
      <c r="B49" s="53"/>
      <c r="P49" s="49"/>
      <c r="AC49" s="49"/>
      <c r="AP49" s="49"/>
      <c r="BC49" s="49"/>
      <c r="BP49" s="49"/>
      <c r="CC49" s="49"/>
      <c r="CP49" s="49"/>
    </row>
    <row r="50" spans="2:94" x14ac:dyDescent="0.25">
      <c r="B50" s="52" t="s">
        <v>26</v>
      </c>
      <c r="C50" s="54">
        <f>+C23+C42+SUM(C45:C48)</f>
        <v>84640000</v>
      </c>
      <c r="D50" s="54">
        <f t="shared" ref="D50:P50" si="114">+D23+D42+SUM(D45:D48)</f>
        <v>35958000</v>
      </c>
      <c r="E50" s="54">
        <f t="shared" si="114"/>
        <v>11986000</v>
      </c>
      <c r="F50" s="54">
        <f t="shared" si="114"/>
        <v>35958000</v>
      </c>
      <c r="G50" s="54">
        <f t="shared" si="114"/>
        <v>71916000</v>
      </c>
      <c r="H50" s="54">
        <f t="shared" si="114"/>
        <v>71916000</v>
      </c>
      <c r="I50" s="54">
        <f t="shared" si="114"/>
        <v>71916000</v>
      </c>
      <c r="J50" s="54">
        <f t="shared" si="114"/>
        <v>35958000</v>
      </c>
      <c r="K50" s="54">
        <f t="shared" si="114"/>
        <v>71916000</v>
      </c>
      <c r="L50" s="54">
        <f t="shared" si="114"/>
        <v>11986000</v>
      </c>
      <c r="M50" s="54">
        <f t="shared" si="114"/>
        <v>71916000</v>
      </c>
      <c r="N50" s="54">
        <f t="shared" si="114"/>
        <v>71916000</v>
      </c>
      <c r="O50" s="54">
        <f t="shared" si="114"/>
        <v>23972000</v>
      </c>
      <c r="P50" s="55">
        <f t="shared" si="114"/>
        <v>587314000</v>
      </c>
      <c r="Q50" s="54">
        <f t="shared" ref="Q50:AO50" si="115">+Q23+Q42+SUM(Q45:Q48)</f>
        <v>40402408.800000004</v>
      </c>
      <c r="R50" s="54">
        <f t="shared" si="115"/>
        <v>13467469.600000003</v>
      </c>
      <c r="S50" s="54">
        <f t="shared" si="115"/>
        <v>40402408.800000004</v>
      </c>
      <c r="T50" s="54">
        <f t="shared" si="115"/>
        <v>80804817.600000009</v>
      </c>
      <c r="U50" s="54">
        <f t="shared" si="115"/>
        <v>80804817.600000009</v>
      </c>
      <c r="V50" s="54">
        <f t="shared" si="115"/>
        <v>80804817.600000009</v>
      </c>
      <c r="W50" s="54">
        <f t="shared" si="115"/>
        <v>40402408.800000004</v>
      </c>
      <c r="X50" s="54">
        <f t="shared" si="115"/>
        <v>80804817.600000009</v>
      </c>
      <c r="Y50" s="54">
        <f t="shared" si="115"/>
        <v>13467469.600000003</v>
      </c>
      <c r="Z50" s="54">
        <f t="shared" si="115"/>
        <v>80804817.600000009</v>
      </c>
      <c r="AA50" s="54">
        <f t="shared" si="115"/>
        <v>80804817.600000009</v>
      </c>
      <c r="AB50" s="54">
        <f t="shared" si="115"/>
        <v>26934939.200000007</v>
      </c>
      <c r="AC50" s="55">
        <f t="shared" si="115"/>
        <v>659906010.39999998</v>
      </c>
      <c r="AD50" s="54">
        <f t="shared" si="115"/>
        <v>46252677.594240017</v>
      </c>
      <c r="AE50" s="54">
        <f t="shared" si="115"/>
        <v>15417559.198080007</v>
      </c>
      <c r="AF50" s="54">
        <f t="shared" si="115"/>
        <v>46252677.594240017</v>
      </c>
      <c r="AG50" s="54">
        <f t="shared" si="115"/>
        <v>92505355.188480034</v>
      </c>
      <c r="AH50" s="54">
        <f t="shared" si="115"/>
        <v>92505355.188480034</v>
      </c>
      <c r="AI50" s="54">
        <f t="shared" si="115"/>
        <v>92505355.188480034</v>
      </c>
      <c r="AJ50" s="54">
        <f t="shared" si="115"/>
        <v>46252677.594240017</v>
      </c>
      <c r="AK50" s="54">
        <f t="shared" si="115"/>
        <v>92505355.188480034</v>
      </c>
      <c r="AL50" s="54">
        <f t="shared" si="115"/>
        <v>15417559.198080007</v>
      </c>
      <c r="AM50" s="54">
        <f t="shared" si="115"/>
        <v>92505355.188480034</v>
      </c>
      <c r="AN50" s="54">
        <f t="shared" si="115"/>
        <v>92505355.188480034</v>
      </c>
      <c r="AO50" s="54">
        <f t="shared" si="115"/>
        <v>30835118.396160014</v>
      </c>
      <c r="AP50" s="55">
        <f t="shared" ref="AP50" si="116">+AP23+AP42+SUM(AP45:AP48)</f>
        <v>755460400.70592022</v>
      </c>
      <c r="AQ50" s="54">
        <f t="shared" ref="AQ50:BC50" si="117">+AQ23+AQ42+SUM(AQ45:AQ48)</f>
        <v>54470558.221136667</v>
      </c>
      <c r="AR50" s="54">
        <f t="shared" si="117"/>
        <v>18156852.740378886</v>
      </c>
      <c r="AS50" s="54">
        <f t="shared" si="117"/>
        <v>54470558.221136667</v>
      </c>
      <c r="AT50" s="54">
        <f t="shared" si="117"/>
        <v>108941116.44227333</v>
      </c>
      <c r="AU50" s="54">
        <f t="shared" si="117"/>
        <v>108941116.44227333</v>
      </c>
      <c r="AV50" s="54">
        <f t="shared" si="117"/>
        <v>108941116.44227333</v>
      </c>
      <c r="AW50" s="54">
        <f t="shared" si="117"/>
        <v>54470558.221136667</v>
      </c>
      <c r="AX50" s="54">
        <f t="shared" si="117"/>
        <v>108941116.44227333</v>
      </c>
      <c r="AY50" s="54">
        <f t="shared" si="117"/>
        <v>18156852.740378886</v>
      </c>
      <c r="AZ50" s="54">
        <f t="shared" si="117"/>
        <v>108941116.44227333</v>
      </c>
      <c r="BA50" s="54">
        <f t="shared" si="117"/>
        <v>108941116.44227333</v>
      </c>
      <c r="BB50" s="54">
        <f t="shared" si="117"/>
        <v>36313705.480757773</v>
      </c>
      <c r="BC50" s="55">
        <f t="shared" si="117"/>
        <v>889685784.27856565</v>
      </c>
      <c r="BD50" s="54">
        <f t="shared" ref="BD50:BP50" si="118">+BD23+BD42+SUM(BD45:BD48)</f>
        <v>62883105.33931458</v>
      </c>
      <c r="BE50" s="54">
        <f t="shared" si="118"/>
        <v>20961035.113104865</v>
      </c>
      <c r="BF50" s="54">
        <f t="shared" si="118"/>
        <v>62883105.33931458</v>
      </c>
      <c r="BG50" s="54">
        <f t="shared" si="118"/>
        <v>125766210.67862916</v>
      </c>
      <c r="BH50" s="54">
        <f t="shared" si="118"/>
        <v>125766210.67862916</v>
      </c>
      <c r="BI50" s="54">
        <f t="shared" si="118"/>
        <v>125766210.67862916</v>
      </c>
      <c r="BJ50" s="54">
        <f t="shared" si="118"/>
        <v>62883105.33931458</v>
      </c>
      <c r="BK50" s="54">
        <f t="shared" si="118"/>
        <v>125766210.67862916</v>
      </c>
      <c r="BL50" s="54">
        <f t="shared" si="118"/>
        <v>20961035.113104865</v>
      </c>
      <c r="BM50" s="54">
        <f t="shared" si="118"/>
        <v>125766210.67862916</v>
      </c>
      <c r="BN50" s="54">
        <f t="shared" si="118"/>
        <v>125766210.67862916</v>
      </c>
      <c r="BO50" s="54">
        <f t="shared" si="118"/>
        <v>41922070.22620973</v>
      </c>
      <c r="BP50" s="55">
        <f t="shared" si="118"/>
        <v>1027090720.5421383</v>
      </c>
      <c r="BQ50" s="54">
        <f t="shared" ref="BQ50:CP50" si="119">+BQ23+BQ42+SUM(BQ45:BQ48)</f>
        <v>73321700.825640798</v>
      </c>
      <c r="BR50" s="54">
        <f t="shared" si="119"/>
        <v>24440566.941880271</v>
      </c>
      <c r="BS50" s="54">
        <f t="shared" si="119"/>
        <v>73321700.825640798</v>
      </c>
      <c r="BT50" s="54">
        <f t="shared" si="119"/>
        <v>146643401.6512816</v>
      </c>
      <c r="BU50" s="54">
        <f t="shared" si="119"/>
        <v>146643401.6512816</v>
      </c>
      <c r="BV50" s="54">
        <f t="shared" si="119"/>
        <v>146643401.6512816</v>
      </c>
      <c r="BW50" s="54">
        <f t="shared" si="119"/>
        <v>73321700.825640798</v>
      </c>
      <c r="BX50" s="54">
        <f t="shared" si="119"/>
        <v>146643401.6512816</v>
      </c>
      <c r="BY50" s="54">
        <f t="shared" si="119"/>
        <v>24440566.941880271</v>
      </c>
      <c r="BZ50" s="54">
        <f t="shared" si="119"/>
        <v>146643401.6512816</v>
      </c>
      <c r="CA50" s="54">
        <f t="shared" si="119"/>
        <v>146643401.6512816</v>
      </c>
      <c r="CB50" s="54">
        <f t="shared" si="119"/>
        <v>48881133.883760542</v>
      </c>
      <c r="CC50" s="55">
        <f t="shared" si="119"/>
        <v>1197587780.1521332</v>
      </c>
      <c r="CD50" s="54">
        <f t="shared" si="119"/>
        <v>85493103.162697196</v>
      </c>
      <c r="CE50" s="54">
        <f t="shared" si="119"/>
        <v>28497701.054232411</v>
      </c>
      <c r="CF50" s="54">
        <f t="shared" si="119"/>
        <v>85493103.162697196</v>
      </c>
      <c r="CG50" s="54">
        <f t="shared" si="119"/>
        <v>170986206.32539439</v>
      </c>
      <c r="CH50" s="54">
        <f t="shared" si="119"/>
        <v>170986206.32539439</v>
      </c>
      <c r="CI50" s="54">
        <f t="shared" si="119"/>
        <v>170986206.32539439</v>
      </c>
      <c r="CJ50" s="54">
        <f t="shared" si="119"/>
        <v>85493103.162697196</v>
      </c>
      <c r="CK50" s="54">
        <f t="shared" si="119"/>
        <v>170986206.32539439</v>
      </c>
      <c r="CL50" s="54">
        <f t="shared" si="119"/>
        <v>28497701.054232411</v>
      </c>
      <c r="CM50" s="54">
        <f t="shared" si="119"/>
        <v>170986206.32539439</v>
      </c>
      <c r="CN50" s="54">
        <f t="shared" si="119"/>
        <v>170986206.32539439</v>
      </c>
      <c r="CO50" s="54">
        <f t="shared" si="119"/>
        <v>56995402.108464822</v>
      </c>
      <c r="CP50" s="55">
        <f t="shared" si="119"/>
        <v>1396387351.6573877</v>
      </c>
    </row>
    <row r="51" spans="2:94" x14ac:dyDescent="0.25">
      <c r="B51" s="52" t="s">
        <v>901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55">
        <f>+P50/12</f>
        <v>48942833.333333336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55">
        <f>+AC50/12</f>
        <v>54992167.533333331</v>
      </c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55">
        <f>+AP50/12</f>
        <v>62955033.392160021</v>
      </c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55">
        <f>+BC50/12</f>
        <v>74140482.023213804</v>
      </c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55">
        <f>+BP50/12</f>
        <v>85590893.378511533</v>
      </c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55">
        <f>+CC50/12</f>
        <v>99798981.679344431</v>
      </c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55">
        <f>+CP50/12</f>
        <v>116365612.63811564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41"/>
  <sheetViews>
    <sheetView tabSelected="1" zoomScale="90" zoomScaleNormal="90" workbookViewId="0">
      <selection activeCell="F47" sqref="F47"/>
    </sheetView>
  </sheetViews>
  <sheetFormatPr defaultColWidth="11.5546875" defaultRowHeight="13.2" x14ac:dyDescent="0.25"/>
  <cols>
    <col min="1" max="1" width="4.33203125" style="53" customWidth="1"/>
    <col min="2" max="2" width="3.33203125" style="53" customWidth="1"/>
    <col min="3" max="3" width="26.5546875" style="53" bestFit="1" customWidth="1"/>
    <col min="4" max="4" width="14.6640625" style="53" customWidth="1"/>
    <col min="5" max="5" width="7.44140625" style="53" customWidth="1"/>
    <col min="6" max="6" width="25.109375" style="53" bestFit="1" customWidth="1"/>
    <col min="7" max="7" width="14.6640625" style="53" customWidth="1"/>
    <col min="8" max="8" width="2.6640625" style="53" customWidth="1"/>
    <col min="9" max="9" width="11.44140625" style="53"/>
    <col min="10" max="10" width="13.109375" style="87" customWidth="1"/>
    <col min="11" max="11" width="11.6640625" style="53" bestFit="1" customWidth="1"/>
    <col min="12" max="12" width="11.88671875" style="53" bestFit="1" customWidth="1"/>
    <col min="13" max="254" width="11.44140625" style="53"/>
    <col min="255" max="255" width="4.33203125" style="53" customWidth="1"/>
    <col min="256" max="256" width="4.6640625" style="53" customWidth="1"/>
    <col min="257" max="257" width="11.44140625" style="53"/>
    <col min="258" max="258" width="14.109375" style="53" customWidth="1"/>
    <col min="259" max="259" width="14.6640625" style="53" customWidth="1"/>
    <col min="260" max="260" width="12.6640625" style="53" customWidth="1"/>
    <col min="261" max="261" width="11.44140625" style="53"/>
    <col min="262" max="262" width="14" style="53" customWidth="1"/>
    <col min="263" max="263" width="14.6640625" style="53" customWidth="1"/>
    <col min="264" max="264" width="2.6640625" style="53" customWidth="1"/>
    <col min="265" max="265" width="11.44140625" style="53"/>
    <col min="266" max="266" width="20" style="53" bestFit="1" customWidth="1"/>
    <col min="267" max="267" width="11.6640625" style="53" bestFit="1" customWidth="1"/>
    <col min="268" max="268" width="11.88671875" style="53" bestFit="1" customWidth="1"/>
    <col min="269" max="510" width="11.44140625" style="53"/>
    <col min="511" max="511" width="4.33203125" style="53" customWidth="1"/>
    <col min="512" max="512" width="4.6640625" style="53" customWidth="1"/>
    <col min="513" max="513" width="11.44140625" style="53"/>
    <col min="514" max="514" width="14.109375" style="53" customWidth="1"/>
    <col min="515" max="515" width="14.6640625" style="53" customWidth="1"/>
    <col min="516" max="516" width="12.6640625" style="53" customWidth="1"/>
    <col min="517" max="517" width="11.44140625" style="53"/>
    <col min="518" max="518" width="14" style="53" customWidth="1"/>
    <col min="519" max="519" width="14.6640625" style="53" customWidth="1"/>
    <col min="520" max="520" width="2.6640625" style="53" customWidth="1"/>
    <col min="521" max="521" width="11.44140625" style="53"/>
    <col min="522" max="522" width="20" style="53" bestFit="1" customWidth="1"/>
    <col min="523" max="523" width="11.6640625" style="53" bestFit="1" customWidth="1"/>
    <col min="524" max="524" width="11.88671875" style="53" bestFit="1" customWidth="1"/>
    <col min="525" max="766" width="11.44140625" style="53"/>
    <col min="767" max="767" width="4.33203125" style="53" customWidth="1"/>
    <col min="768" max="768" width="4.6640625" style="53" customWidth="1"/>
    <col min="769" max="769" width="11.44140625" style="53"/>
    <col min="770" max="770" width="14.109375" style="53" customWidth="1"/>
    <col min="771" max="771" width="14.6640625" style="53" customWidth="1"/>
    <col min="772" max="772" width="12.6640625" style="53" customWidth="1"/>
    <col min="773" max="773" width="11.44140625" style="53"/>
    <col min="774" max="774" width="14" style="53" customWidth="1"/>
    <col min="775" max="775" width="14.6640625" style="53" customWidth="1"/>
    <col min="776" max="776" width="2.6640625" style="53" customWidth="1"/>
    <col min="777" max="777" width="11.44140625" style="53"/>
    <col min="778" max="778" width="20" style="53" bestFit="1" customWidth="1"/>
    <col min="779" max="779" width="11.6640625" style="53" bestFit="1" customWidth="1"/>
    <col min="780" max="780" width="11.88671875" style="53" bestFit="1" customWidth="1"/>
    <col min="781" max="1022" width="11.44140625" style="53"/>
    <col min="1023" max="1023" width="4.33203125" style="53" customWidth="1"/>
    <col min="1024" max="1024" width="4.6640625" style="53" customWidth="1"/>
    <col min="1025" max="1025" width="11.44140625" style="53"/>
    <col min="1026" max="1026" width="14.109375" style="53" customWidth="1"/>
    <col min="1027" max="1027" width="14.6640625" style="53" customWidth="1"/>
    <col min="1028" max="1028" width="12.6640625" style="53" customWidth="1"/>
    <col min="1029" max="1029" width="11.44140625" style="53"/>
    <col min="1030" max="1030" width="14" style="53" customWidth="1"/>
    <col min="1031" max="1031" width="14.6640625" style="53" customWidth="1"/>
    <col min="1032" max="1032" width="2.6640625" style="53" customWidth="1"/>
    <col min="1033" max="1033" width="11.44140625" style="53"/>
    <col min="1034" max="1034" width="20" style="53" bestFit="1" customWidth="1"/>
    <col min="1035" max="1035" width="11.6640625" style="53" bestFit="1" customWidth="1"/>
    <col min="1036" max="1036" width="11.88671875" style="53" bestFit="1" customWidth="1"/>
    <col min="1037" max="1278" width="11.44140625" style="53"/>
    <col min="1279" max="1279" width="4.33203125" style="53" customWidth="1"/>
    <col min="1280" max="1280" width="4.6640625" style="53" customWidth="1"/>
    <col min="1281" max="1281" width="11.44140625" style="53"/>
    <col min="1282" max="1282" width="14.109375" style="53" customWidth="1"/>
    <col min="1283" max="1283" width="14.6640625" style="53" customWidth="1"/>
    <col min="1284" max="1284" width="12.6640625" style="53" customWidth="1"/>
    <col min="1285" max="1285" width="11.44140625" style="53"/>
    <col min="1286" max="1286" width="14" style="53" customWidth="1"/>
    <col min="1287" max="1287" width="14.6640625" style="53" customWidth="1"/>
    <col min="1288" max="1288" width="2.6640625" style="53" customWidth="1"/>
    <col min="1289" max="1289" width="11.44140625" style="53"/>
    <col min="1290" max="1290" width="20" style="53" bestFit="1" customWidth="1"/>
    <col min="1291" max="1291" width="11.6640625" style="53" bestFit="1" customWidth="1"/>
    <col min="1292" max="1292" width="11.88671875" style="53" bestFit="1" customWidth="1"/>
    <col min="1293" max="1534" width="11.44140625" style="53"/>
    <col min="1535" max="1535" width="4.33203125" style="53" customWidth="1"/>
    <col min="1536" max="1536" width="4.6640625" style="53" customWidth="1"/>
    <col min="1537" max="1537" width="11.44140625" style="53"/>
    <col min="1538" max="1538" width="14.109375" style="53" customWidth="1"/>
    <col min="1539" max="1539" width="14.6640625" style="53" customWidth="1"/>
    <col min="1540" max="1540" width="12.6640625" style="53" customWidth="1"/>
    <col min="1541" max="1541" width="11.44140625" style="53"/>
    <col min="1542" max="1542" width="14" style="53" customWidth="1"/>
    <col min="1543" max="1543" width="14.6640625" style="53" customWidth="1"/>
    <col min="1544" max="1544" width="2.6640625" style="53" customWidth="1"/>
    <col min="1545" max="1545" width="11.44140625" style="53"/>
    <col min="1546" max="1546" width="20" style="53" bestFit="1" customWidth="1"/>
    <col min="1547" max="1547" width="11.6640625" style="53" bestFit="1" customWidth="1"/>
    <col min="1548" max="1548" width="11.88671875" style="53" bestFit="1" customWidth="1"/>
    <col min="1549" max="1790" width="11.44140625" style="53"/>
    <col min="1791" max="1791" width="4.33203125" style="53" customWidth="1"/>
    <col min="1792" max="1792" width="4.6640625" style="53" customWidth="1"/>
    <col min="1793" max="1793" width="11.44140625" style="53"/>
    <col min="1794" max="1794" width="14.109375" style="53" customWidth="1"/>
    <col min="1795" max="1795" width="14.6640625" style="53" customWidth="1"/>
    <col min="1796" max="1796" width="12.6640625" style="53" customWidth="1"/>
    <col min="1797" max="1797" width="11.44140625" style="53"/>
    <col min="1798" max="1798" width="14" style="53" customWidth="1"/>
    <col min="1799" max="1799" width="14.6640625" style="53" customWidth="1"/>
    <col min="1800" max="1800" width="2.6640625" style="53" customWidth="1"/>
    <col min="1801" max="1801" width="11.44140625" style="53"/>
    <col min="1802" max="1802" width="20" style="53" bestFit="1" customWidth="1"/>
    <col min="1803" max="1803" width="11.6640625" style="53" bestFit="1" customWidth="1"/>
    <col min="1804" max="1804" width="11.88671875" style="53" bestFit="1" customWidth="1"/>
    <col min="1805" max="2046" width="11.44140625" style="53"/>
    <col min="2047" max="2047" width="4.33203125" style="53" customWidth="1"/>
    <col min="2048" max="2048" width="4.6640625" style="53" customWidth="1"/>
    <col min="2049" max="2049" width="11.44140625" style="53"/>
    <col min="2050" max="2050" width="14.109375" style="53" customWidth="1"/>
    <col min="2051" max="2051" width="14.6640625" style="53" customWidth="1"/>
    <col min="2052" max="2052" width="12.6640625" style="53" customWidth="1"/>
    <col min="2053" max="2053" width="11.44140625" style="53"/>
    <col min="2054" max="2054" width="14" style="53" customWidth="1"/>
    <col min="2055" max="2055" width="14.6640625" style="53" customWidth="1"/>
    <col min="2056" max="2056" width="2.6640625" style="53" customWidth="1"/>
    <col min="2057" max="2057" width="11.44140625" style="53"/>
    <col min="2058" max="2058" width="20" style="53" bestFit="1" customWidth="1"/>
    <col min="2059" max="2059" width="11.6640625" style="53" bestFit="1" customWidth="1"/>
    <col min="2060" max="2060" width="11.88671875" style="53" bestFit="1" customWidth="1"/>
    <col min="2061" max="2302" width="11.44140625" style="53"/>
    <col min="2303" max="2303" width="4.33203125" style="53" customWidth="1"/>
    <col min="2304" max="2304" width="4.6640625" style="53" customWidth="1"/>
    <col min="2305" max="2305" width="11.44140625" style="53"/>
    <col min="2306" max="2306" width="14.109375" style="53" customWidth="1"/>
    <col min="2307" max="2307" width="14.6640625" style="53" customWidth="1"/>
    <col min="2308" max="2308" width="12.6640625" style="53" customWidth="1"/>
    <col min="2309" max="2309" width="11.44140625" style="53"/>
    <col min="2310" max="2310" width="14" style="53" customWidth="1"/>
    <col min="2311" max="2311" width="14.6640625" style="53" customWidth="1"/>
    <col min="2312" max="2312" width="2.6640625" style="53" customWidth="1"/>
    <col min="2313" max="2313" width="11.44140625" style="53"/>
    <col min="2314" max="2314" width="20" style="53" bestFit="1" customWidth="1"/>
    <col min="2315" max="2315" width="11.6640625" style="53" bestFit="1" customWidth="1"/>
    <col min="2316" max="2316" width="11.88671875" style="53" bestFit="1" customWidth="1"/>
    <col min="2317" max="2558" width="11.44140625" style="53"/>
    <col min="2559" max="2559" width="4.33203125" style="53" customWidth="1"/>
    <col min="2560" max="2560" width="4.6640625" style="53" customWidth="1"/>
    <col min="2561" max="2561" width="11.44140625" style="53"/>
    <col min="2562" max="2562" width="14.109375" style="53" customWidth="1"/>
    <col min="2563" max="2563" width="14.6640625" style="53" customWidth="1"/>
    <col min="2564" max="2564" width="12.6640625" style="53" customWidth="1"/>
    <col min="2565" max="2565" width="11.44140625" style="53"/>
    <col min="2566" max="2566" width="14" style="53" customWidth="1"/>
    <col min="2567" max="2567" width="14.6640625" style="53" customWidth="1"/>
    <col min="2568" max="2568" width="2.6640625" style="53" customWidth="1"/>
    <col min="2569" max="2569" width="11.44140625" style="53"/>
    <col min="2570" max="2570" width="20" style="53" bestFit="1" customWidth="1"/>
    <col min="2571" max="2571" width="11.6640625" style="53" bestFit="1" customWidth="1"/>
    <col min="2572" max="2572" width="11.88671875" style="53" bestFit="1" customWidth="1"/>
    <col min="2573" max="2814" width="11.44140625" style="53"/>
    <col min="2815" max="2815" width="4.33203125" style="53" customWidth="1"/>
    <col min="2816" max="2816" width="4.6640625" style="53" customWidth="1"/>
    <col min="2817" max="2817" width="11.44140625" style="53"/>
    <col min="2818" max="2818" width="14.109375" style="53" customWidth="1"/>
    <col min="2819" max="2819" width="14.6640625" style="53" customWidth="1"/>
    <col min="2820" max="2820" width="12.6640625" style="53" customWidth="1"/>
    <col min="2821" max="2821" width="11.44140625" style="53"/>
    <col min="2822" max="2822" width="14" style="53" customWidth="1"/>
    <col min="2823" max="2823" width="14.6640625" style="53" customWidth="1"/>
    <col min="2824" max="2824" width="2.6640625" style="53" customWidth="1"/>
    <col min="2825" max="2825" width="11.44140625" style="53"/>
    <col min="2826" max="2826" width="20" style="53" bestFit="1" customWidth="1"/>
    <col min="2827" max="2827" width="11.6640625" style="53" bestFit="1" customWidth="1"/>
    <col min="2828" max="2828" width="11.88671875" style="53" bestFit="1" customWidth="1"/>
    <col min="2829" max="3070" width="11.44140625" style="53"/>
    <col min="3071" max="3071" width="4.33203125" style="53" customWidth="1"/>
    <col min="3072" max="3072" width="4.6640625" style="53" customWidth="1"/>
    <col min="3073" max="3073" width="11.44140625" style="53"/>
    <col min="3074" max="3074" width="14.109375" style="53" customWidth="1"/>
    <col min="3075" max="3075" width="14.6640625" style="53" customWidth="1"/>
    <col min="3076" max="3076" width="12.6640625" style="53" customWidth="1"/>
    <col min="3077" max="3077" width="11.44140625" style="53"/>
    <col min="3078" max="3078" width="14" style="53" customWidth="1"/>
    <col min="3079" max="3079" width="14.6640625" style="53" customWidth="1"/>
    <col min="3080" max="3080" width="2.6640625" style="53" customWidth="1"/>
    <col min="3081" max="3081" width="11.44140625" style="53"/>
    <col min="3082" max="3082" width="20" style="53" bestFit="1" customWidth="1"/>
    <col min="3083" max="3083" width="11.6640625" style="53" bestFit="1" customWidth="1"/>
    <col min="3084" max="3084" width="11.88671875" style="53" bestFit="1" customWidth="1"/>
    <col min="3085" max="3326" width="11.44140625" style="53"/>
    <col min="3327" max="3327" width="4.33203125" style="53" customWidth="1"/>
    <col min="3328" max="3328" width="4.6640625" style="53" customWidth="1"/>
    <col min="3329" max="3329" width="11.44140625" style="53"/>
    <col min="3330" max="3330" width="14.109375" style="53" customWidth="1"/>
    <col min="3331" max="3331" width="14.6640625" style="53" customWidth="1"/>
    <col min="3332" max="3332" width="12.6640625" style="53" customWidth="1"/>
    <col min="3333" max="3333" width="11.44140625" style="53"/>
    <col min="3334" max="3334" width="14" style="53" customWidth="1"/>
    <col min="3335" max="3335" width="14.6640625" style="53" customWidth="1"/>
    <col min="3336" max="3336" width="2.6640625" style="53" customWidth="1"/>
    <col min="3337" max="3337" width="11.44140625" style="53"/>
    <col min="3338" max="3338" width="20" style="53" bestFit="1" customWidth="1"/>
    <col min="3339" max="3339" width="11.6640625" style="53" bestFit="1" customWidth="1"/>
    <col min="3340" max="3340" width="11.88671875" style="53" bestFit="1" customWidth="1"/>
    <col min="3341" max="3582" width="11.44140625" style="53"/>
    <col min="3583" max="3583" width="4.33203125" style="53" customWidth="1"/>
    <col min="3584" max="3584" width="4.6640625" style="53" customWidth="1"/>
    <col min="3585" max="3585" width="11.44140625" style="53"/>
    <col min="3586" max="3586" width="14.109375" style="53" customWidth="1"/>
    <col min="3587" max="3587" width="14.6640625" style="53" customWidth="1"/>
    <col min="3588" max="3588" width="12.6640625" style="53" customWidth="1"/>
    <col min="3589" max="3589" width="11.44140625" style="53"/>
    <col min="3590" max="3590" width="14" style="53" customWidth="1"/>
    <col min="3591" max="3591" width="14.6640625" style="53" customWidth="1"/>
    <col min="3592" max="3592" width="2.6640625" style="53" customWidth="1"/>
    <col min="3593" max="3593" width="11.44140625" style="53"/>
    <col min="3594" max="3594" width="20" style="53" bestFit="1" customWidth="1"/>
    <col min="3595" max="3595" width="11.6640625" style="53" bestFit="1" customWidth="1"/>
    <col min="3596" max="3596" width="11.88671875" style="53" bestFit="1" customWidth="1"/>
    <col min="3597" max="3838" width="11.44140625" style="53"/>
    <col min="3839" max="3839" width="4.33203125" style="53" customWidth="1"/>
    <col min="3840" max="3840" width="4.6640625" style="53" customWidth="1"/>
    <col min="3841" max="3841" width="11.44140625" style="53"/>
    <col min="3842" max="3842" width="14.109375" style="53" customWidth="1"/>
    <col min="3843" max="3843" width="14.6640625" style="53" customWidth="1"/>
    <col min="3844" max="3844" width="12.6640625" style="53" customWidth="1"/>
    <col min="3845" max="3845" width="11.44140625" style="53"/>
    <col min="3846" max="3846" width="14" style="53" customWidth="1"/>
    <col min="3847" max="3847" width="14.6640625" style="53" customWidth="1"/>
    <col min="3848" max="3848" width="2.6640625" style="53" customWidth="1"/>
    <col min="3849" max="3849" width="11.44140625" style="53"/>
    <col min="3850" max="3850" width="20" style="53" bestFit="1" customWidth="1"/>
    <col min="3851" max="3851" width="11.6640625" style="53" bestFit="1" customWidth="1"/>
    <col min="3852" max="3852" width="11.88671875" style="53" bestFit="1" customWidth="1"/>
    <col min="3853" max="4094" width="11.44140625" style="53"/>
    <col min="4095" max="4095" width="4.33203125" style="53" customWidth="1"/>
    <col min="4096" max="4096" width="4.6640625" style="53" customWidth="1"/>
    <col min="4097" max="4097" width="11.44140625" style="53"/>
    <col min="4098" max="4098" width="14.109375" style="53" customWidth="1"/>
    <col min="4099" max="4099" width="14.6640625" style="53" customWidth="1"/>
    <col min="4100" max="4100" width="12.6640625" style="53" customWidth="1"/>
    <col min="4101" max="4101" width="11.44140625" style="53"/>
    <col min="4102" max="4102" width="14" style="53" customWidth="1"/>
    <col min="4103" max="4103" width="14.6640625" style="53" customWidth="1"/>
    <col min="4104" max="4104" width="2.6640625" style="53" customWidth="1"/>
    <col min="4105" max="4105" width="11.44140625" style="53"/>
    <col min="4106" max="4106" width="20" style="53" bestFit="1" customWidth="1"/>
    <col min="4107" max="4107" width="11.6640625" style="53" bestFit="1" customWidth="1"/>
    <col min="4108" max="4108" width="11.88671875" style="53" bestFit="1" customWidth="1"/>
    <col min="4109" max="4350" width="11.44140625" style="53"/>
    <col min="4351" max="4351" width="4.33203125" style="53" customWidth="1"/>
    <col min="4352" max="4352" width="4.6640625" style="53" customWidth="1"/>
    <col min="4353" max="4353" width="11.44140625" style="53"/>
    <col min="4354" max="4354" width="14.109375" style="53" customWidth="1"/>
    <col min="4355" max="4355" width="14.6640625" style="53" customWidth="1"/>
    <col min="4356" max="4356" width="12.6640625" style="53" customWidth="1"/>
    <col min="4357" max="4357" width="11.44140625" style="53"/>
    <col min="4358" max="4358" width="14" style="53" customWidth="1"/>
    <col min="4359" max="4359" width="14.6640625" style="53" customWidth="1"/>
    <col min="4360" max="4360" width="2.6640625" style="53" customWidth="1"/>
    <col min="4361" max="4361" width="11.44140625" style="53"/>
    <col min="4362" max="4362" width="20" style="53" bestFit="1" customWidth="1"/>
    <col min="4363" max="4363" width="11.6640625" style="53" bestFit="1" customWidth="1"/>
    <col min="4364" max="4364" width="11.88671875" style="53" bestFit="1" customWidth="1"/>
    <col min="4365" max="4606" width="11.44140625" style="53"/>
    <col min="4607" max="4607" width="4.33203125" style="53" customWidth="1"/>
    <col min="4608" max="4608" width="4.6640625" style="53" customWidth="1"/>
    <col min="4609" max="4609" width="11.44140625" style="53"/>
    <col min="4610" max="4610" width="14.109375" style="53" customWidth="1"/>
    <col min="4611" max="4611" width="14.6640625" style="53" customWidth="1"/>
    <col min="4612" max="4612" width="12.6640625" style="53" customWidth="1"/>
    <col min="4613" max="4613" width="11.44140625" style="53"/>
    <col min="4614" max="4614" width="14" style="53" customWidth="1"/>
    <col min="4615" max="4615" width="14.6640625" style="53" customWidth="1"/>
    <col min="4616" max="4616" width="2.6640625" style="53" customWidth="1"/>
    <col min="4617" max="4617" width="11.44140625" style="53"/>
    <col min="4618" max="4618" width="20" style="53" bestFit="1" customWidth="1"/>
    <col min="4619" max="4619" width="11.6640625" style="53" bestFit="1" customWidth="1"/>
    <col min="4620" max="4620" width="11.88671875" style="53" bestFit="1" customWidth="1"/>
    <col min="4621" max="4862" width="11.44140625" style="53"/>
    <col min="4863" max="4863" width="4.33203125" style="53" customWidth="1"/>
    <col min="4864" max="4864" width="4.6640625" style="53" customWidth="1"/>
    <col min="4865" max="4865" width="11.44140625" style="53"/>
    <col min="4866" max="4866" width="14.109375" style="53" customWidth="1"/>
    <col min="4867" max="4867" width="14.6640625" style="53" customWidth="1"/>
    <col min="4868" max="4868" width="12.6640625" style="53" customWidth="1"/>
    <col min="4869" max="4869" width="11.44140625" style="53"/>
    <col min="4870" max="4870" width="14" style="53" customWidth="1"/>
    <col min="4871" max="4871" width="14.6640625" style="53" customWidth="1"/>
    <col min="4872" max="4872" width="2.6640625" style="53" customWidth="1"/>
    <col min="4873" max="4873" width="11.44140625" style="53"/>
    <col min="4874" max="4874" width="20" style="53" bestFit="1" customWidth="1"/>
    <col min="4875" max="4875" width="11.6640625" style="53" bestFit="1" customWidth="1"/>
    <col min="4876" max="4876" width="11.88671875" style="53" bestFit="1" customWidth="1"/>
    <col min="4877" max="5118" width="11.44140625" style="53"/>
    <col min="5119" max="5119" width="4.33203125" style="53" customWidth="1"/>
    <col min="5120" max="5120" width="4.6640625" style="53" customWidth="1"/>
    <col min="5121" max="5121" width="11.44140625" style="53"/>
    <col min="5122" max="5122" width="14.109375" style="53" customWidth="1"/>
    <col min="5123" max="5123" width="14.6640625" style="53" customWidth="1"/>
    <col min="5124" max="5124" width="12.6640625" style="53" customWidth="1"/>
    <col min="5125" max="5125" width="11.44140625" style="53"/>
    <col min="5126" max="5126" width="14" style="53" customWidth="1"/>
    <col min="5127" max="5127" width="14.6640625" style="53" customWidth="1"/>
    <col min="5128" max="5128" width="2.6640625" style="53" customWidth="1"/>
    <col min="5129" max="5129" width="11.44140625" style="53"/>
    <col min="5130" max="5130" width="20" style="53" bestFit="1" customWidth="1"/>
    <col min="5131" max="5131" width="11.6640625" style="53" bestFit="1" customWidth="1"/>
    <col min="5132" max="5132" width="11.88671875" style="53" bestFit="1" customWidth="1"/>
    <col min="5133" max="5374" width="11.44140625" style="53"/>
    <col min="5375" max="5375" width="4.33203125" style="53" customWidth="1"/>
    <col min="5376" max="5376" width="4.6640625" style="53" customWidth="1"/>
    <col min="5377" max="5377" width="11.44140625" style="53"/>
    <col min="5378" max="5378" width="14.109375" style="53" customWidth="1"/>
    <col min="5379" max="5379" width="14.6640625" style="53" customWidth="1"/>
    <col min="5380" max="5380" width="12.6640625" style="53" customWidth="1"/>
    <col min="5381" max="5381" width="11.44140625" style="53"/>
    <col min="5382" max="5382" width="14" style="53" customWidth="1"/>
    <col min="5383" max="5383" width="14.6640625" style="53" customWidth="1"/>
    <col min="5384" max="5384" width="2.6640625" style="53" customWidth="1"/>
    <col min="5385" max="5385" width="11.44140625" style="53"/>
    <col min="5386" max="5386" width="20" style="53" bestFit="1" customWidth="1"/>
    <col min="5387" max="5387" width="11.6640625" style="53" bestFit="1" customWidth="1"/>
    <col min="5388" max="5388" width="11.88671875" style="53" bestFit="1" customWidth="1"/>
    <col min="5389" max="5630" width="11.44140625" style="53"/>
    <col min="5631" max="5631" width="4.33203125" style="53" customWidth="1"/>
    <col min="5632" max="5632" width="4.6640625" style="53" customWidth="1"/>
    <col min="5633" max="5633" width="11.44140625" style="53"/>
    <col min="5634" max="5634" width="14.109375" style="53" customWidth="1"/>
    <col min="5635" max="5635" width="14.6640625" style="53" customWidth="1"/>
    <col min="5636" max="5636" width="12.6640625" style="53" customWidth="1"/>
    <col min="5637" max="5637" width="11.44140625" style="53"/>
    <col min="5638" max="5638" width="14" style="53" customWidth="1"/>
    <col min="5639" max="5639" width="14.6640625" style="53" customWidth="1"/>
    <col min="5640" max="5640" width="2.6640625" style="53" customWidth="1"/>
    <col min="5641" max="5641" width="11.44140625" style="53"/>
    <col min="5642" max="5642" width="20" style="53" bestFit="1" customWidth="1"/>
    <col min="5643" max="5643" width="11.6640625" style="53" bestFit="1" customWidth="1"/>
    <col min="5644" max="5644" width="11.88671875" style="53" bestFit="1" customWidth="1"/>
    <col min="5645" max="5886" width="11.44140625" style="53"/>
    <col min="5887" max="5887" width="4.33203125" style="53" customWidth="1"/>
    <col min="5888" max="5888" width="4.6640625" style="53" customWidth="1"/>
    <col min="5889" max="5889" width="11.44140625" style="53"/>
    <col min="5890" max="5890" width="14.109375" style="53" customWidth="1"/>
    <col min="5891" max="5891" width="14.6640625" style="53" customWidth="1"/>
    <col min="5892" max="5892" width="12.6640625" style="53" customWidth="1"/>
    <col min="5893" max="5893" width="11.44140625" style="53"/>
    <col min="5894" max="5894" width="14" style="53" customWidth="1"/>
    <col min="5895" max="5895" width="14.6640625" style="53" customWidth="1"/>
    <col min="5896" max="5896" width="2.6640625" style="53" customWidth="1"/>
    <col min="5897" max="5897" width="11.44140625" style="53"/>
    <col min="5898" max="5898" width="20" style="53" bestFit="1" customWidth="1"/>
    <col min="5899" max="5899" width="11.6640625" style="53" bestFit="1" customWidth="1"/>
    <col min="5900" max="5900" width="11.88671875" style="53" bestFit="1" customWidth="1"/>
    <col min="5901" max="6142" width="11.44140625" style="53"/>
    <col min="6143" max="6143" width="4.33203125" style="53" customWidth="1"/>
    <col min="6144" max="6144" width="4.6640625" style="53" customWidth="1"/>
    <col min="6145" max="6145" width="11.44140625" style="53"/>
    <col min="6146" max="6146" width="14.109375" style="53" customWidth="1"/>
    <col min="6147" max="6147" width="14.6640625" style="53" customWidth="1"/>
    <col min="6148" max="6148" width="12.6640625" style="53" customWidth="1"/>
    <col min="6149" max="6149" width="11.44140625" style="53"/>
    <col min="6150" max="6150" width="14" style="53" customWidth="1"/>
    <col min="6151" max="6151" width="14.6640625" style="53" customWidth="1"/>
    <col min="6152" max="6152" width="2.6640625" style="53" customWidth="1"/>
    <col min="6153" max="6153" width="11.44140625" style="53"/>
    <col min="6154" max="6154" width="20" style="53" bestFit="1" customWidth="1"/>
    <col min="6155" max="6155" width="11.6640625" style="53" bestFit="1" customWidth="1"/>
    <col min="6156" max="6156" width="11.88671875" style="53" bestFit="1" customWidth="1"/>
    <col min="6157" max="6398" width="11.44140625" style="53"/>
    <col min="6399" max="6399" width="4.33203125" style="53" customWidth="1"/>
    <col min="6400" max="6400" width="4.6640625" style="53" customWidth="1"/>
    <col min="6401" max="6401" width="11.44140625" style="53"/>
    <col min="6402" max="6402" width="14.109375" style="53" customWidth="1"/>
    <col min="6403" max="6403" width="14.6640625" style="53" customWidth="1"/>
    <col min="6404" max="6404" width="12.6640625" style="53" customWidth="1"/>
    <col min="6405" max="6405" width="11.44140625" style="53"/>
    <col min="6406" max="6406" width="14" style="53" customWidth="1"/>
    <col min="6407" max="6407" width="14.6640625" style="53" customWidth="1"/>
    <col min="6408" max="6408" width="2.6640625" style="53" customWidth="1"/>
    <col min="6409" max="6409" width="11.44140625" style="53"/>
    <col min="6410" max="6410" width="20" style="53" bestFit="1" customWidth="1"/>
    <col min="6411" max="6411" width="11.6640625" style="53" bestFit="1" customWidth="1"/>
    <col min="6412" max="6412" width="11.88671875" style="53" bestFit="1" customWidth="1"/>
    <col min="6413" max="6654" width="11.44140625" style="53"/>
    <col min="6655" max="6655" width="4.33203125" style="53" customWidth="1"/>
    <col min="6656" max="6656" width="4.6640625" style="53" customWidth="1"/>
    <col min="6657" max="6657" width="11.44140625" style="53"/>
    <col min="6658" max="6658" width="14.109375" style="53" customWidth="1"/>
    <col min="6659" max="6659" width="14.6640625" style="53" customWidth="1"/>
    <col min="6660" max="6660" width="12.6640625" style="53" customWidth="1"/>
    <col min="6661" max="6661" width="11.44140625" style="53"/>
    <col min="6662" max="6662" width="14" style="53" customWidth="1"/>
    <col min="6663" max="6663" width="14.6640625" style="53" customWidth="1"/>
    <col min="6664" max="6664" width="2.6640625" style="53" customWidth="1"/>
    <col min="6665" max="6665" width="11.44140625" style="53"/>
    <col min="6666" max="6666" width="20" style="53" bestFit="1" customWidth="1"/>
    <col min="6667" max="6667" width="11.6640625" style="53" bestFit="1" customWidth="1"/>
    <col min="6668" max="6668" width="11.88671875" style="53" bestFit="1" customWidth="1"/>
    <col min="6669" max="6910" width="11.44140625" style="53"/>
    <col min="6911" max="6911" width="4.33203125" style="53" customWidth="1"/>
    <col min="6912" max="6912" width="4.6640625" style="53" customWidth="1"/>
    <col min="6913" max="6913" width="11.44140625" style="53"/>
    <col min="6914" max="6914" width="14.109375" style="53" customWidth="1"/>
    <col min="6915" max="6915" width="14.6640625" style="53" customWidth="1"/>
    <col min="6916" max="6916" width="12.6640625" style="53" customWidth="1"/>
    <col min="6917" max="6917" width="11.44140625" style="53"/>
    <col min="6918" max="6918" width="14" style="53" customWidth="1"/>
    <col min="6919" max="6919" width="14.6640625" style="53" customWidth="1"/>
    <col min="6920" max="6920" width="2.6640625" style="53" customWidth="1"/>
    <col min="6921" max="6921" width="11.44140625" style="53"/>
    <col min="6922" max="6922" width="20" style="53" bestFit="1" customWidth="1"/>
    <col min="6923" max="6923" width="11.6640625" style="53" bestFit="1" customWidth="1"/>
    <col min="6924" max="6924" width="11.88671875" style="53" bestFit="1" customWidth="1"/>
    <col min="6925" max="7166" width="11.44140625" style="53"/>
    <col min="7167" max="7167" width="4.33203125" style="53" customWidth="1"/>
    <col min="7168" max="7168" width="4.6640625" style="53" customWidth="1"/>
    <col min="7169" max="7169" width="11.44140625" style="53"/>
    <col min="7170" max="7170" width="14.109375" style="53" customWidth="1"/>
    <col min="7171" max="7171" width="14.6640625" style="53" customWidth="1"/>
    <col min="7172" max="7172" width="12.6640625" style="53" customWidth="1"/>
    <col min="7173" max="7173" width="11.44140625" style="53"/>
    <col min="7174" max="7174" width="14" style="53" customWidth="1"/>
    <col min="7175" max="7175" width="14.6640625" style="53" customWidth="1"/>
    <col min="7176" max="7176" width="2.6640625" style="53" customWidth="1"/>
    <col min="7177" max="7177" width="11.44140625" style="53"/>
    <col min="7178" max="7178" width="20" style="53" bestFit="1" customWidth="1"/>
    <col min="7179" max="7179" width="11.6640625" style="53" bestFit="1" customWidth="1"/>
    <col min="7180" max="7180" width="11.88671875" style="53" bestFit="1" customWidth="1"/>
    <col min="7181" max="7422" width="11.44140625" style="53"/>
    <col min="7423" max="7423" width="4.33203125" style="53" customWidth="1"/>
    <col min="7424" max="7424" width="4.6640625" style="53" customWidth="1"/>
    <col min="7425" max="7425" width="11.44140625" style="53"/>
    <col min="7426" max="7426" width="14.109375" style="53" customWidth="1"/>
    <col min="7427" max="7427" width="14.6640625" style="53" customWidth="1"/>
    <col min="7428" max="7428" width="12.6640625" style="53" customWidth="1"/>
    <col min="7429" max="7429" width="11.44140625" style="53"/>
    <col min="7430" max="7430" width="14" style="53" customWidth="1"/>
    <col min="7431" max="7431" width="14.6640625" style="53" customWidth="1"/>
    <col min="7432" max="7432" width="2.6640625" style="53" customWidth="1"/>
    <col min="7433" max="7433" width="11.44140625" style="53"/>
    <col min="7434" max="7434" width="20" style="53" bestFit="1" customWidth="1"/>
    <col min="7435" max="7435" width="11.6640625" style="53" bestFit="1" customWidth="1"/>
    <col min="7436" max="7436" width="11.88671875" style="53" bestFit="1" customWidth="1"/>
    <col min="7437" max="7678" width="11.44140625" style="53"/>
    <col min="7679" max="7679" width="4.33203125" style="53" customWidth="1"/>
    <col min="7680" max="7680" width="4.6640625" style="53" customWidth="1"/>
    <col min="7681" max="7681" width="11.44140625" style="53"/>
    <col min="7682" max="7682" width="14.109375" style="53" customWidth="1"/>
    <col min="7683" max="7683" width="14.6640625" style="53" customWidth="1"/>
    <col min="7684" max="7684" width="12.6640625" style="53" customWidth="1"/>
    <col min="7685" max="7685" width="11.44140625" style="53"/>
    <col min="7686" max="7686" width="14" style="53" customWidth="1"/>
    <col min="7687" max="7687" width="14.6640625" style="53" customWidth="1"/>
    <col min="7688" max="7688" width="2.6640625" style="53" customWidth="1"/>
    <col min="7689" max="7689" width="11.44140625" style="53"/>
    <col min="7690" max="7690" width="20" style="53" bestFit="1" customWidth="1"/>
    <col min="7691" max="7691" width="11.6640625" style="53" bestFit="1" customWidth="1"/>
    <col min="7692" max="7692" width="11.88671875" style="53" bestFit="1" customWidth="1"/>
    <col min="7693" max="7934" width="11.44140625" style="53"/>
    <col min="7935" max="7935" width="4.33203125" style="53" customWidth="1"/>
    <col min="7936" max="7936" width="4.6640625" style="53" customWidth="1"/>
    <col min="7937" max="7937" width="11.44140625" style="53"/>
    <col min="7938" max="7938" width="14.109375" style="53" customWidth="1"/>
    <col min="7939" max="7939" width="14.6640625" style="53" customWidth="1"/>
    <col min="7940" max="7940" width="12.6640625" style="53" customWidth="1"/>
    <col min="7941" max="7941" width="11.44140625" style="53"/>
    <col min="7942" max="7942" width="14" style="53" customWidth="1"/>
    <col min="7943" max="7943" width="14.6640625" style="53" customWidth="1"/>
    <col min="7944" max="7944" width="2.6640625" style="53" customWidth="1"/>
    <col min="7945" max="7945" width="11.44140625" style="53"/>
    <col min="7946" max="7946" width="20" style="53" bestFit="1" customWidth="1"/>
    <col min="7947" max="7947" width="11.6640625" style="53" bestFit="1" customWidth="1"/>
    <col min="7948" max="7948" width="11.88671875" style="53" bestFit="1" customWidth="1"/>
    <col min="7949" max="8190" width="11.44140625" style="53"/>
    <col min="8191" max="8191" width="4.33203125" style="53" customWidth="1"/>
    <col min="8192" max="8192" width="4.6640625" style="53" customWidth="1"/>
    <col min="8193" max="8193" width="11.44140625" style="53"/>
    <col min="8194" max="8194" width="14.109375" style="53" customWidth="1"/>
    <col min="8195" max="8195" width="14.6640625" style="53" customWidth="1"/>
    <col min="8196" max="8196" width="12.6640625" style="53" customWidth="1"/>
    <col min="8197" max="8197" width="11.44140625" style="53"/>
    <col min="8198" max="8198" width="14" style="53" customWidth="1"/>
    <col min="8199" max="8199" width="14.6640625" style="53" customWidth="1"/>
    <col min="8200" max="8200" width="2.6640625" style="53" customWidth="1"/>
    <col min="8201" max="8201" width="11.44140625" style="53"/>
    <col min="8202" max="8202" width="20" style="53" bestFit="1" customWidth="1"/>
    <col min="8203" max="8203" width="11.6640625" style="53" bestFit="1" customWidth="1"/>
    <col min="8204" max="8204" width="11.88671875" style="53" bestFit="1" customWidth="1"/>
    <col min="8205" max="8446" width="11.44140625" style="53"/>
    <col min="8447" max="8447" width="4.33203125" style="53" customWidth="1"/>
    <col min="8448" max="8448" width="4.6640625" style="53" customWidth="1"/>
    <col min="8449" max="8449" width="11.44140625" style="53"/>
    <col min="8450" max="8450" width="14.109375" style="53" customWidth="1"/>
    <col min="8451" max="8451" width="14.6640625" style="53" customWidth="1"/>
    <col min="8452" max="8452" width="12.6640625" style="53" customWidth="1"/>
    <col min="8453" max="8453" width="11.44140625" style="53"/>
    <col min="8454" max="8454" width="14" style="53" customWidth="1"/>
    <col min="8455" max="8455" width="14.6640625" style="53" customWidth="1"/>
    <col min="8456" max="8456" width="2.6640625" style="53" customWidth="1"/>
    <col min="8457" max="8457" width="11.44140625" style="53"/>
    <col min="8458" max="8458" width="20" style="53" bestFit="1" customWidth="1"/>
    <col min="8459" max="8459" width="11.6640625" style="53" bestFit="1" customWidth="1"/>
    <col min="8460" max="8460" width="11.88671875" style="53" bestFit="1" customWidth="1"/>
    <col min="8461" max="8702" width="11.44140625" style="53"/>
    <col min="8703" max="8703" width="4.33203125" style="53" customWidth="1"/>
    <col min="8704" max="8704" width="4.6640625" style="53" customWidth="1"/>
    <col min="8705" max="8705" width="11.44140625" style="53"/>
    <col min="8706" max="8706" width="14.109375" style="53" customWidth="1"/>
    <col min="8707" max="8707" width="14.6640625" style="53" customWidth="1"/>
    <col min="8708" max="8708" width="12.6640625" style="53" customWidth="1"/>
    <col min="8709" max="8709" width="11.44140625" style="53"/>
    <col min="8710" max="8710" width="14" style="53" customWidth="1"/>
    <col min="8711" max="8711" width="14.6640625" style="53" customWidth="1"/>
    <col min="8712" max="8712" width="2.6640625" style="53" customWidth="1"/>
    <col min="8713" max="8713" width="11.44140625" style="53"/>
    <col min="8714" max="8714" width="20" style="53" bestFit="1" customWidth="1"/>
    <col min="8715" max="8715" width="11.6640625" style="53" bestFit="1" customWidth="1"/>
    <col min="8716" max="8716" width="11.88671875" style="53" bestFit="1" customWidth="1"/>
    <col min="8717" max="8958" width="11.44140625" style="53"/>
    <col min="8959" max="8959" width="4.33203125" style="53" customWidth="1"/>
    <col min="8960" max="8960" width="4.6640625" style="53" customWidth="1"/>
    <col min="8961" max="8961" width="11.44140625" style="53"/>
    <col min="8962" max="8962" width="14.109375" style="53" customWidth="1"/>
    <col min="8963" max="8963" width="14.6640625" style="53" customWidth="1"/>
    <col min="8964" max="8964" width="12.6640625" style="53" customWidth="1"/>
    <col min="8965" max="8965" width="11.44140625" style="53"/>
    <col min="8966" max="8966" width="14" style="53" customWidth="1"/>
    <col min="8967" max="8967" width="14.6640625" style="53" customWidth="1"/>
    <col min="8968" max="8968" width="2.6640625" style="53" customWidth="1"/>
    <col min="8969" max="8969" width="11.44140625" style="53"/>
    <col min="8970" max="8970" width="20" style="53" bestFit="1" customWidth="1"/>
    <col min="8971" max="8971" width="11.6640625" style="53" bestFit="1" customWidth="1"/>
    <col min="8972" max="8972" width="11.88671875" style="53" bestFit="1" customWidth="1"/>
    <col min="8973" max="9214" width="11.44140625" style="53"/>
    <col min="9215" max="9215" width="4.33203125" style="53" customWidth="1"/>
    <col min="9216" max="9216" width="4.6640625" style="53" customWidth="1"/>
    <col min="9217" max="9217" width="11.44140625" style="53"/>
    <col min="9218" max="9218" width="14.109375" style="53" customWidth="1"/>
    <col min="9219" max="9219" width="14.6640625" style="53" customWidth="1"/>
    <col min="9220" max="9220" width="12.6640625" style="53" customWidth="1"/>
    <col min="9221" max="9221" width="11.44140625" style="53"/>
    <col min="9222" max="9222" width="14" style="53" customWidth="1"/>
    <col min="9223" max="9223" width="14.6640625" style="53" customWidth="1"/>
    <col min="9224" max="9224" width="2.6640625" style="53" customWidth="1"/>
    <col min="9225" max="9225" width="11.44140625" style="53"/>
    <col min="9226" max="9226" width="20" style="53" bestFit="1" customWidth="1"/>
    <col min="9227" max="9227" width="11.6640625" style="53" bestFit="1" customWidth="1"/>
    <col min="9228" max="9228" width="11.88671875" style="53" bestFit="1" customWidth="1"/>
    <col min="9229" max="9470" width="11.44140625" style="53"/>
    <col min="9471" max="9471" width="4.33203125" style="53" customWidth="1"/>
    <col min="9472" max="9472" width="4.6640625" style="53" customWidth="1"/>
    <col min="9473" max="9473" width="11.44140625" style="53"/>
    <col min="9474" max="9474" width="14.109375" style="53" customWidth="1"/>
    <col min="9475" max="9475" width="14.6640625" style="53" customWidth="1"/>
    <col min="9476" max="9476" width="12.6640625" style="53" customWidth="1"/>
    <col min="9477" max="9477" width="11.44140625" style="53"/>
    <col min="9478" max="9478" width="14" style="53" customWidth="1"/>
    <col min="9479" max="9479" width="14.6640625" style="53" customWidth="1"/>
    <col min="9480" max="9480" width="2.6640625" style="53" customWidth="1"/>
    <col min="9481" max="9481" width="11.44140625" style="53"/>
    <col min="9482" max="9482" width="20" style="53" bestFit="1" customWidth="1"/>
    <col min="9483" max="9483" width="11.6640625" style="53" bestFit="1" customWidth="1"/>
    <col min="9484" max="9484" width="11.88671875" style="53" bestFit="1" customWidth="1"/>
    <col min="9485" max="9726" width="11.44140625" style="53"/>
    <col min="9727" max="9727" width="4.33203125" style="53" customWidth="1"/>
    <col min="9728" max="9728" width="4.6640625" style="53" customWidth="1"/>
    <col min="9729" max="9729" width="11.44140625" style="53"/>
    <col min="9730" max="9730" width="14.109375" style="53" customWidth="1"/>
    <col min="9731" max="9731" width="14.6640625" style="53" customWidth="1"/>
    <col min="9732" max="9732" width="12.6640625" style="53" customWidth="1"/>
    <col min="9733" max="9733" width="11.44140625" style="53"/>
    <col min="9734" max="9734" width="14" style="53" customWidth="1"/>
    <col min="9735" max="9735" width="14.6640625" style="53" customWidth="1"/>
    <col min="9736" max="9736" width="2.6640625" style="53" customWidth="1"/>
    <col min="9737" max="9737" width="11.44140625" style="53"/>
    <col min="9738" max="9738" width="20" style="53" bestFit="1" customWidth="1"/>
    <col min="9739" max="9739" width="11.6640625" style="53" bestFit="1" customWidth="1"/>
    <col min="9740" max="9740" width="11.88671875" style="53" bestFit="1" customWidth="1"/>
    <col min="9741" max="9982" width="11.44140625" style="53"/>
    <col min="9983" max="9983" width="4.33203125" style="53" customWidth="1"/>
    <col min="9984" max="9984" width="4.6640625" style="53" customWidth="1"/>
    <col min="9985" max="9985" width="11.44140625" style="53"/>
    <col min="9986" max="9986" width="14.109375" style="53" customWidth="1"/>
    <col min="9987" max="9987" width="14.6640625" style="53" customWidth="1"/>
    <col min="9988" max="9988" width="12.6640625" style="53" customWidth="1"/>
    <col min="9989" max="9989" width="11.44140625" style="53"/>
    <col min="9990" max="9990" width="14" style="53" customWidth="1"/>
    <col min="9991" max="9991" width="14.6640625" style="53" customWidth="1"/>
    <col min="9992" max="9992" width="2.6640625" style="53" customWidth="1"/>
    <col min="9993" max="9993" width="11.44140625" style="53"/>
    <col min="9994" max="9994" width="20" style="53" bestFit="1" customWidth="1"/>
    <col min="9995" max="9995" width="11.6640625" style="53" bestFit="1" customWidth="1"/>
    <col min="9996" max="9996" width="11.88671875" style="53" bestFit="1" customWidth="1"/>
    <col min="9997" max="10238" width="11.44140625" style="53"/>
    <col min="10239" max="10239" width="4.33203125" style="53" customWidth="1"/>
    <col min="10240" max="10240" width="4.6640625" style="53" customWidth="1"/>
    <col min="10241" max="10241" width="11.44140625" style="53"/>
    <col min="10242" max="10242" width="14.109375" style="53" customWidth="1"/>
    <col min="10243" max="10243" width="14.6640625" style="53" customWidth="1"/>
    <col min="10244" max="10244" width="12.6640625" style="53" customWidth="1"/>
    <col min="10245" max="10245" width="11.44140625" style="53"/>
    <col min="10246" max="10246" width="14" style="53" customWidth="1"/>
    <col min="10247" max="10247" width="14.6640625" style="53" customWidth="1"/>
    <col min="10248" max="10248" width="2.6640625" style="53" customWidth="1"/>
    <col min="10249" max="10249" width="11.44140625" style="53"/>
    <col min="10250" max="10250" width="20" style="53" bestFit="1" customWidth="1"/>
    <col min="10251" max="10251" width="11.6640625" style="53" bestFit="1" customWidth="1"/>
    <col min="10252" max="10252" width="11.88671875" style="53" bestFit="1" customWidth="1"/>
    <col min="10253" max="10494" width="11.44140625" style="53"/>
    <col min="10495" max="10495" width="4.33203125" style="53" customWidth="1"/>
    <col min="10496" max="10496" width="4.6640625" style="53" customWidth="1"/>
    <col min="10497" max="10497" width="11.44140625" style="53"/>
    <col min="10498" max="10498" width="14.109375" style="53" customWidth="1"/>
    <col min="10499" max="10499" width="14.6640625" style="53" customWidth="1"/>
    <col min="10500" max="10500" width="12.6640625" style="53" customWidth="1"/>
    <col min="10501" max="10501" width="11.44140625" style="53"/>
    <col min="10502" max="10502" width="14" style="53" customWidth="1"/>
    <col min="10503" max="10503" width="14.6640625" style="53" customWidth="1"/>
    <col min="10504" max="10504" width="2.6640625" style="53" customWidth="1"/>
    <col min="10505" max="10505" width="11.44140625" style="53"/>
    <col min="10506" max="10506" width="20" style="53" bestFit="1" customWidth="1"/>
    <col min="10507" max="10507" width="11.6640625" style="53" bestFit="1" customWidth="1"/>
    <col min="10508" max="10508" width="11.88671875" style="53" bestFit="1" customWidth="1"/>
    <col min="10509" max="10750" width="11.44140625" style="53"/>
    <col min="10751" max="10751" width="4.33203125" style="53" customWidth="1"/>
    <col min="10752" max="10752" width="4.6640625" style="53" customWidth="1"/>
    <col min="10753" max="10753" width="11.44140625" style="53"/>
    <col min="10754" max="10754" width="14.109375" style="53" customWidth="1"/>
    <col min="10755" max="10755" width="14.6640625" style="53" customWidth="1"/>
    <col min="10756" max="10756" width="12.6640625" style="53" customWidth="1"/>
    <col min="10757" max="10757" width="11.44140625" style="53"/>
    <col min="10758" max="10758" width="14" style="53" customWidth="1"/>
    <col min="10759" max="10759" width="14.6640625" style="53" customWidth="1"/>
    <col min="10760" max="10760" width="2.6640625" style="53" customWidth="1"/>
    <col min="10761" max="10761" width="11.44140625" style="53"/>
    <col min="10762" max="10762" width="20" style="53" bestFit="1" customWidth="1"/>
    <col min="10763" max="10763" width="11.6640625" style="53" bestFit="1" customWidth="1"/>
    <col min="10764" max="10764" width="11.88671875" style="53" bestFit="1" customWidth="1"/>
    <col min="10765" max="11006" width="11.44140625" style="53"/>
    <col min="11007" max="11007" width="4.33203125" style="53" customWidth="1"/>
    <col min="11008" max="11008" width="4.6640625" style="53" customWidth="1"/>
    <col min="11009" max="11009" width="11.44140625" style="53"/>
    <col min="11010" max="11010" width="14.109375" style="53" customWidth="1"/>
    <col min="11011" max="11011" width="14.6640625" style="53" customWidth="1"/>
    <col min="11012" max="11012" width="12.6640625" style="53" customWidth="1"/>
    <col min="11013" max="11013" width="11.44140625" style="53"/>
    <col min="11014" max="11014" width="14" style="53" customWidth="1"/>
    <col min="11015" max="11015" width="14.6640625" style="53" customWidth="1"/>
    <col min="11016" max="11016" width="2.6640625" style="53" customWidth="1"/>
    <col min="11017" max="11017" width="11.44140625" style="53"/>
    <col min="11018" max="11018" width="20" style="53" bestFit="1" customWidth="1"/>
    <col min="11019" max="11019" width="11.6640625" style="53" bestFit="1" customWidth="1"/>
    <col min="11020" max="11020" width="11.88671875" style="53" bestFit="1" customWidth="1"/>
    <col min="11021" max="11262" width="11.44140625" style="53"/>
    <col min="11263" max="11263" width="4.33203125" style="53" customWidth="1"/>
    <col min="11264" max="11264" width="4.6640625" style="53" customWidth="1"/>
    <col min="11265" max="11265" width="11.44140625" style="53"/>
    <col min="11266" max="11266" width="14.109375" style="53" customWidth="1"/>
    <col min="11267" max="11267" width="14.6640625" style="53" customWidth="1"/>
    <col min="11268" max="11268" width="12.6640625" style="53" customWidth="1"/>
    <col min="11269" max="11269" width="11.44140625" style="53"/>
    <col min="11270" max="11270" width="14" style="53" customWidth="1"/>
    <col min="11271" max="11271" width="14.6640625" style="53" customWidth="1"/>
    <col min="11272" max="11272" width="2.6640625" style="53" customWidth="1"/>
    <col min="11273" max="11273" width="11.44140625" style="53"/>
    <col min="11274" max="11274" width="20" style="53" bestFit="1" customWidth="1"/>
    <col min="11275" max="11275" width="11.6640625" style="53" bestFit="1" customWidth="1"/>
    <col min="11276" max="11276" width="11.88671875" style="53" bestFit="1" customWidth="1"/>
    <col min="11277" max="11518" width="11.44140625" style="53"/>
    <col min="11519" max="11519" width="4.33203125" style="53" customWidth="1"/>
    <col min="11520" max="11520" width="4.6640625" style="53" customWidth="1"/>
    <col min="11521" max="11521" width="11.44140625" style="53"/>
    <col min="11522" max="11522" width="14.109375" style="53" customWidth="1"/>
    <col min="11523" max="11523" width="14.6640625" style="53" customWidth="1"/>
    <col min="11524" max="11524" width="12.6640625" style="53" customWidth="1"/>
    <col min="11525" max="11525" width="11.44140625" style="53"/>
    <col min="11526" max="11526" width="14" style="53" customWidth="1"/>
    <col min="11527" max="11527" width="14.6640625" style="53" customWidth="1"/>
    <col min="11528" max="11528" width="2.6640625" style="53" customWidth="1"/>
    <col min="11529" max="11529" width="11.44140625" style="53"/>
    <col min="11530" max="11530" width="20" style="53" bestFit="1" customWidth="1"/>
    <col min="11531" max="11531" width="11.6640625" style="53" bestFit="1" customWidth="1"/>
    <col min="11532" max="11532" width="11.88671875" style="53" bestFit="1" customWidth="1"/>
    <col min="11533" max="11774" width="11.44140625" style="53"/>
    <col min="11775" max="11775" width="4.33203125" style="53" customWidth="1"/>
    <col min="11776" max="11776" width="4.6640625" style="53" customWidth="1"/>
    <col min="11777" max="11777" width="11.44140625" style="53"/>
    <col min="11778" max="11778" width="14.109375" style="53" customWidth="1"/>
    <col min="11779" max="11779" width="14.6640625" style="53" customWidth="1"/>
    <col min="11780" max="11780" width="12.6640625" style="53" customWidth="1"/>
    <col min="11781" max="11781" width="11.44140625" style="53"/>
    <col min="11782" max="11782" width="14" style="53" customWidth="1"/>
    <col min="11783" max="11783" width="14.6640625" style="53" customWidth="1"/>
    <col min="11784" max="11784" width="2.6640625" style="53" customWidth="1"/>
    <col min="11785" max="11785" width="11.44140625" style="53"/>
    <col min="11786" max="11786" width="20" style="53" bestFit="1" customWidth="1"/>
    <col min="11787" max="11787" width="11.6640625" style="53" bestFit="1" customWidth="1"/>
    <col min="11788" max="11788" width="11.88671875" style="53" bestFit="1" customWidth="1"/>
    <col min="11789" max="12030" width="11.44140625" style="53"/>
    <col min="12031" max="12031" width="4.33203125" style="53" customWidth="1"/>
    <col min="12032" max="12032" width="4.6640625" style="53" customWidth="1"/>
    <col min="12033" max="12033" width="11.44140625" style="53"/>
    <col min="12034" max="12034" width="14.109375" style="53" customWidth="1"/>
    <col min="12035" max="12035" width="14.6640625" style="53" customWidth="1"/>
    <col min="12036" max="12036" width="12.6640625" style="53" customWidth="1"/>
    <col min="12037" max="12037" width="11.44140625" style="53"/>
    <col min="12038" max="12038" width="14" style="53" customWidth="1"/>
    <col min="12039" max="12039" width="14.6640625" style="53" customWidth="1"/>
    <col min="12040" max="12040" width="2.6640625" style="53" customWidth="1"/>
    <col min="12041" max="12041" width="11.44140625" style="53"/>
    <col min="12042" max="12042" width="20" style="53" bestFit="1" customWidth="1"/>
    <col min="12043" max="12043" width="11.6640625" style="53" bestFit="1" customWidth="1"/>
    <col min="12044" max="12044" width="11.88671875" style="53" bestFit="1" customWidth="1"/>
    <col min="12045" max="12286" width="11.44140625" style="53"/>
    <col min="12287" max="12287" width="4.33203125" style="53" customWidth="1"/>
    <col min="12288" max="12288" width="4.6640625" style="53" customWidth="1"/>
    <col min="12289" max="12289" width="11.44140625" style="53"/>
    <col min="12290" max="12290" width="14.109375" style="53" customWidth="1"/>
    <col min="12291" max="12291" width="14.6640625" style="53" customWidth="1"/>
    <col min="12292" max="12292" width="12.6640625" style="53" customWidth="1"/>
    <col min="12293" max="12293" width="11.44140625" style="53"/>
    <col min="12294" max="12294" width="14" style="53" customWidth="1"/>
    <col min="12295" max="12295" width="14.6640625" style="53" customWidth="1"/>
    <col min="12296" max="12296" width="2.6640625" style="53" customWidth="1"/>
    <col min="12297" max="12297" width="11.44140625" style="53"/>
    <col min="12298" max="12298" width="20" style="53" bestFit="1" customWidth="1"/>
    <col min="12299" max="12299" width="11.6640625" style="53" bestFit="1" customWidth="1"/>
    <col min="12300" max="12300" width="11.88671875" style="53" bestFit="1" customWidth="1"/>
    <col min="12301" max="12542" width="11.44140625" style="53"/>
    <col min="12543" max="12543" width="4.33203125" style="53" customWidth="1"/>
    <col min="12544" max="12544" width="4.6640625" style="53" customWidth="1"/>
    <col min="12545" max="12545" width="11.44140625" style="53"/>
    <col min="12546" max="12546" width="14.109375" style="53" customWidth="1"/>
    <col min="12547" max="12547" width="14.6640625" style="53" customWidth="1"/>
    <col min="12548" max="12548" width="12.6640625" style="53" customWidth="1"/>
    <col min="12549" max="12549" width="11.44140625" style="53"/>
    <col min="12550" max="12550" width="14" style="53" customWidth="1"/>
    <col min="12551" max="12551" width="14.6640625" style="53" customWidth="1"/>
    <col min="12552" max="12552" width="2.6640625" style="53" customWidth="1"/>
    <col min="12553" max="12553" width="11.44140625" style="53"/>
    <col min="12554" max="12554" width="20" style="53" bestFit="1" customWidth="1"/>
    <col min="12555" max="12555" width="11.6640625" style="53" bestFit="1" customWidth="1"/>
    <col min="12556" max="12556" width="11.88671875" style="53" bestFit="1" customWidth="1"/>
    <col min="12557" max="12798" width="11.44140625" style="53"/>
    <col min="12799" max="12799" width="4.33203125" style="53" customWidth="1"/>
    <col min="12800" max="12800" width="4.6640625" style="53" customWidth="1"/>
    <col min="12801" max="12801" width="11.44140625" style="53"/>
    <col min="12802" max="12802" width="14.109375" style="53" customWidth="1"/>
    <col min="12803" max="12803" width="14.6640625" style="53" customWidth="1"/>
    <col min="12804" max="12804" width="12.6640625" style="53" customWidth="1"/>
    <col min="12805" max="12805" width="11.44140625" style="53"/>
    <col min="12806" max="12806" width="14" style="53" customWidth="1"/>
    <col min="12807" max="12807" width="14.6640625" style="53" customWidth="1"/>
    <col min="12808" max="12808" width="2.6640625" style="53" customWidth="1"/>
    <col min="12809" max="12809" width="11.44140625" style="53"/>
    <col min="12810" max="12810" width="20" style="53" bestFit="1" customWidth="1"/>
    <col min="12811" max="12811" width="11.6640625" style="53" bestFit="1" customWidth="1"/>
    <col min="12812" max="12812" width="11.88671875" style="53" bestFit="1" customWidth="1"/>
    <col min="12813" max="13054" width="11.44140625" style="53"/>
    <col min="13055" max="13055" width="4.33203125" style="53" customWidth="1"/>
    <col min="13056" max="13056" width="4.6640625" style="53" customWidth="1"/>
    <col min="13057" max="13057" width="11.44140625" style="53"/>
    <col min="13058" max="13058" width="14.109375" style="53" customWidth="1"/>
    <col min="13059" max="13059" width="14.6640625" style="53" customWidth="1"/>
    <col min="13060" max="13060" width="12.6640625" style="53" customWidth="1"/>
    <col min="13061" max="13061" width="11.44140625" style="53"/>
    <col min="13062" max="13062" width="14" style="53" customWidth="1"/>
    <col min="13063" max="13063" width="14.6640625" style="53" customWidth="1"/>
    <col min="13064" max="13064" width="2.6640625" style="53" customWidth="1"/>
    <col min="13065" max="13065" width="11.44140625" style="53"/>
    <col min="13066" max="13066" width="20" style="53" bestFit="1" customWidth="1"/>
    <col min="13067" max="13067" width="11.6640625" style="53" bestFit="1" customWidth="1"/>
    <col min="13068" max="13068" width="11.88671875" style="53" bestFit="1" customWidth="1"/>
    <col min="13069" max="13310" width="11.44140625" style="53"/>
    <col min="13311" max="13311" width="4.33203125" style="53" customWidth="1"/>
    <col min="13312" max="13312" width="4.6640625" style="53" customWidth="1"/>
    <col min="13313" max="13313" width="11.44140625" style="53"/>
    <col min="13314" max="13314" width="14.109375" style="53" customWidth="1"/>
    <col min="13315" max="13315" width="14.6640625" style="53" customWidth="1"/>
    <col min="13316" max="13316" width="12.6640625" style="53" customWidth="1"/>
    <col min="13317" max="13317" width="11.44140625" style="53"/>
    <col min="13318" max="13318" width="14" style="53" customWidth="1"/>
    <col min="13319" max="13319" width="14.6640625" style="53" customWidth="1"/>
    <col min="13320" max="13320" width="2.6640625" style="53" customWidth="1"/>
    <col min="13321" max="13321" width="11.44140625" style="53"/>
    <col min="13322" max="13322" width="20" style="53" bestFit="1" customWidth="1"/>
    <col min="13323" max="13323" width="11.6640625" style="53" bestFit="1" customWidth="1"/>
    <col min="13324" max="13324" width="11.88671875" style="53" bestFit="1" customWidth="1"/>
    <col min="13325" max="13566" width="11.44140625" style="53"/>
    <col min="13567" max="13567" width="4.33203125" style="53" customWidth="1"/>
    <col min="13568" max="13568" width="4.6640625" style="53" customWidth="1"/>
    <col min="13569" max="13569" width="11.44140625" style="53"/>
    <col min="13570" max="13570" width="14.109375" style="53" customWidth="1"/>
    <col min="13571" max="13571" width="14.6640625" style="53" customWidth="1"/>
    <col min="13572" max="13572" width="12.6640625" style="53" customWidth="1"/>
    <col min="13573" max="13573" width="11.44140625" style="53"/>
    <col min="13574" max="13574" width="14" style="53" customWidth="1"/>
    <col min="13575" max="13575" width="14.6640625" style="53" customWidth="1"/>
    <col min="13576" max="13576" width="2.6640625" style="53" customWidth="1"/>
    <col min="13577" max="13577" width="11.44140625" style="53"/>
    <col min="13578" max="13578" width="20" style="53" bestFit="1" customWidth="1"/>
    <col min="13579" max="13579" width="11.6640625" style="53" bestFit="1" customWidth="1"/>
    <col min="13580" max="13580" width="11.88671875" style="53" bestFit="1" customWidth="1"/>
    <col min="13581" max="13822" width="11.44140625" style="53"/>
    <col min="13823" max="13823" width="4.33203125" style="53" customWidth="1"/>
    <col min="13824" max="13824" width="4.6640625" style="53" customWidth="1"/>
    <col min="13825" max="13825" width="11.44140625" style="53"/>
    <col min="13826" max="13826" width="14.109375" style="53" customWidth="1"/>
    <col min="13827" max="13827" width="14.6640625" style="53" customWidth="1"/>
    <col min="13828" max="13828" width="12.6640625" style="53" customWidth="1"/>
    <col min="13829" max="13829" width="11.44140625" style="53"/>
    <col min="13830" max="13830" width="14" style="53" customWidth="1"/>
    <col min="13831" max="13831" width="14.6640625" style="53" customWidth="1"/>
    <col min="13832" max="13832" width="2.6640625" style="53" customWidth="1"/>
    <col min="13833" max="13833" width="11.44140625" style="53"/>
    <col min="13834" max="13834" width="20" style="53" bestFit="1" customWidth="1"/>
    <col min="13835" max="13835" width="11.6640625" style="53" bestFit="1" customWidth="1"/>
    <col min="13836" max="13836" width="11.88671875" style="53" bestFit="1" customWidth="1"/>
    <col min="13837" max="14078" width="11.44140625" style="53"/>
    <col min="14079" max="14079" width="4.33203125" style="53" customWidth="1"/>
    <col min="14080" max="14080" width="4.6640625" style="53" customWidth="1"/>
    <col min="14081" max="14081" width="11.44140625" style="53"/>
    <col min="14082" max="14082" width="14.109375" style="53" customWidth="1"/>
    <col min="14083" max="14083" width="14.6640625" style="53" customWidth="1"/>
    <col min="14084" max="14084" width="12.6640625" style="53" customWidth="1"/>
    <col min="14085" max="14085" width="11.44140625" style="53"/>
    <col min="14086" max="14086" width="14" style="53" customWidth="1"/>
    <col min="14087" max="14087" width="14.6640625" style="53" customWidth="1"/>
    <col min="14088" max="14088" width="2.6640625" style="53" customWidth="1"/>
    <col min="14089" max="14089" width="11.44140625" style="53"/>
    <col min="14090" max="14090" width="20" style="53" bestFit="1" customWidth="1"/>
    <col min="14091" max="14091" width="11.6640625" style="53" bestFit="1" customWidth="1"/>
    <col min="14092" max="14092" width="11.88671875" style="53" bestFit="1" customWidth="1"/>
    <col min="14093" max="14334" width="11.44140625" style="53"/>
    <col min="14335" max="14335" width="4.33203125" style="53" customWidth="1"/>
    <col min="14336" max="14336" width="4.6640625" style="53" customWidth="1"/>
    <col min="14337" max="14337" width="11.44140625" style="53"/>
    <col min="14338" max="14338" width="14.109375" style="53" customWidth="1"/>
    <col min="14339" max="14339" width="14.6640625" style="53" customWidth="1"/>
    <col min="14340" max="14340" width="12.6640625" style="53" customWidth="1"/>
    <col min="14341" max="14341" width="11.44140625" style="53"/>
    <col min="14342" max="14342" width="14" style="53" customWidth="1"/>
    <col min="14343" max="14343" width="14.6640625" style="53" customWidth="1"/>
    <col min="14344" max="14344" width="2.6640625" style="53" customWidth="1"/>
    <col min="14345" max="14345" width="11.44140625" style="53"/>
    <col min="14346" max="14346" width="20" style="53" bestFit="1" customWidth="1"/>
    <col min="14347" max="14347" width="11.6640625" style="53" bestFit="1" customWidth="1"/>
    <col min="14348" max="14348" width="11.88671875" style="53" bestFit="1" customWidth="1"/>
    <col min="14349" max="14590" width="11.44140625" style="53"/>
    <col min="14591" max="14591" width="4.33203125" style="53" customWidth="1"/>
    <col min="14592" max="14592" width="4.6640625" style="53" customWidth="1"/>
    <col min="14593" max="14593" width="11.44140625" style="53"/>
    <col min="14594" max="14594" width="14.109375" style="53" customWidth="1"/>
    <col min="14595" max="14595" width="14.6640625" style="53" customWidth="1"/>
    <col min="14596" max="14596" width="12.6640625" style="53" customWidth="1"/>
    <col min="14597" max="14597" width="11.44140625" style="53"/>
    <col min="14598" max="14598" width="14" style="53" customWidth="1"/>
    <col min="14599" max="14599" width="14.6640625" style="53" customWidth="1"/>
    <col min="14600" max="14600" width="2.6640625" style="53" customWidth="1"/>
    <col min="14601" max="14601" width="11.44140625" style="53"/>
    <col min="14602" max="14602" width="20" style="53" bestFit="1" customWidth="1"/>
    <col min="14603" max="14603" width="11.6640625" style="53" bestFit="1" customWidth="1"/>
    <col min="14604" max="14604" width="11.88671875" style="53" bestFit="1" customWidth="1"/>
    <col min="14605" max="14846" width="11.44140625" style="53"/>
    <col min="14847" max="14847" width="4.33203125" style="53" customWidth="1"/>
    <col min="14848" max="14848" width="4.6640625" style="53" customWidth="1"/>
    <col min="14849" max="14849" width="11.44140625" style="53"/>
    <col min="14850" max="14850" width="14.109375" style="53" customWidth="1"/>
    <col min="14851" max="14851" width="14.6640625" style="53" customWidth="1"/>
    <col min="14852" max="14852" width="12.6640625" style="53" customWidth="1"/>
    <col min="14853" max="14853" width="11.44140625" style="53"/>
    <col min="14854" max="14854" width="14" style="53" customWidth="1"/>
    <col min="14855" max="14855" width="14.6640625" style="53" customWidth="1"/>
    <col min="14856" max="14856" width="2.6640625" style="53" customWidth="1"/>
    <col min="14857" max="14857" width="11.44140625" style="53"/>
    <col min="14858" max="14858" width="20" style="53" bestFit="1" customWidth="1"/>
    <col min="14859" max="14859" width="11.6640625" style="53" bestFit="1" customWidth="1"/>
    <col min="14860" max="14860" width="11.88671875" style="53" bestFit="1" customWidth="1"/>
    <col min="14861" max="15102" width="11.44140625" style="53"/>
    <col min="15103" max="15103" width="4.33203125" style="53" customWidth="1"/>
    <col min="15104" max="15104" width="4.6640625" style="53" customWidth="1"/>
    <col min="15105" max="15105" width="11.44140625" style="53"/>
    <col min="15106" max="15106" width="14.109375" style="53" customWidth="1"/>
    <col min="15107" max="15107" width="14.6640625" style="53" customWidth="1"/>
    <col min="15108" max="15108" width="12.6640625" style="53" customWidth="1"/>
    <col min="15109" max="15109" width="11.44140625" style="53"/>
    <col min="15110" max="15110" width="14" style="53" customWidth="1"/>
    <col min="15111" max="15111" width="14.6640625" style="53" customWidth="1"/>
    <col min="15112" max="15112" width="2.6640625" style="53" customWidth="1"/>
    <col min="15113" max="15113" width="11.44140625" style="53"/>
    <col min="15114" max="15114" width="20" style="53" bestFit="1" customWidth="1"/>
    <col min="15115" max="15115" width="11.6640625" style="53" bestFit="1" customWidth="1"/>
    <col min="15116" max="15116" width="11.88671875" style="53" bestFit="1" customWidth="1"/>
    <col min="15117" max="15358" width="11.44140625" style="53"/>
    <col min="15359" max="15359" width="4.33203125" style="53" customWidth="1"/>
    <col min="15360" max="15360" width="4.6640625" style="53" customWidth="1"/>
    <col min="15361" max="15361" width="11.44140625" style="53"/>
    <col min="15362" max="15362" width="14.109375" style="53" customWidth="1"/>
    <col min="15363" max="15363" width="14.6640625" style="53" customWidth="1"/>
    <col min="15364" max="15364" width="12.6640625" style="53" customWidth="1"/>
    <col min="15365" max="15365" width="11.44140625" style="53"/>
    <col min="15366" max="15366" width="14" style="53" customWidth="1"/>
    <col min="15367" max="15367" width="14.6640625" style="53" customWidth="1"/>
    <col min="15368" max="15368" width="2.6640625" style="53" customWidth="1"/>
    <col min="15369" max="15369" width="11.44140625" style="53"/>
    <col min="15370" max="15370" width="20" style="53" bestFit="1" customWidth="1"/>
    <col min="15371" max="15371" width="11.6640625" style="53" bestFit="1" customWidth="1"/>
    <col min="15372" max="15372" width="11.88671875" style="53" bestFit="1" customWidth="1"/>
    <col min="15373" max="15614" width="11.44140625" style="53"/>
    <col min="15615" max="15615" width="4.33203125" style="53" customWidth="1"/>
    <col min="15616" max="15616" width="4.6640625" style="53" customWidth="1"/>
    <col min="15617" max="15617" width="11.44140625" style="53"/>
    <col min="15618" max="15618" width="14.109375" style="53" customWidth="1"/>
    <col min="15619" max="15619" width="14.6640625" style="53" customWidth="1"/>
    <col min="15620" max="15620" width="12.6640625" style="53" customWidth="1"/>
    <col min="15621" max="15621" width="11.44140625" style="53"/>
    <col min="15622" max="15622" width="14" style="53" customWidth="1"/>
    <col min="15623" max="15623" width="14.6640625" style="53" customWidth="1"/>
    <col min="15624" max="15624" width="2.6640625" style="53" customWidth="1"/>
    <col min="15625" max="15625" width="11.44140625" style="53"/>
    <col min="15626" max="15626" width="20" style="53" bestFit="1" customWidth="1"/>
    <col min="15627" max="15627" width="11.6640625" style="53" bestFit="1" customWidth="1"/>
    <col min="15628" max="15628" width="11.88671875" style="53" bestFit="1" customWidth="1"/>
    <col min="15629" max="15870" width="11.44140625" style="53"/>
    <col min="15871" max="15871" width="4.33203125" style="53" customWidth="1"/>
    <col min="15872" max="15872" width="4.6640625" style="53" customWidth="1"/>
    <col min="15873" max="15873" width="11.44140625" style="53"/>
    <col min="15874" max="15874" width="14.109375" style="53" customWidth="1"/>
    <col min="15875" max="15875" width="14.6640625" style="53" customWidth="1"/>
    <col min="15876" max="15876" width="12.6640625" style="53" customWidth="1"/>
    <col min="15877" max="15877" width="11.44140625" style="53"/>
    <col min="15878" max="15878" width="14" style="53" customWidth="1"/>
    <col min="15879" max="15879" width="14.6640625" style="53" customWidth="1"/>
    <col min="15880" max="15880" width="2.6640625" style="53" customWidth="1"/>
    <col min="15881" max="15881" width="11.44140625" style="53"/>
    <col min="15882" max="15882" width="20" style="53" bestFit="1" customWidth="1"/>
    <col min="15883" max="15883" width="11.6640625" style="53" bestFit="1" customWidth="1"/>
    <col min="15884" max="15884" width="11.88671875" style="53" bestFit="1" customWidth="1"/>
    <col min="15885" max="16126" width="11.44140625" style="53"/>
    <col min="16127" max="16127" width="4.33203125" style="53" customWidth="1"/>
    <col min="16128" max="16128" width="4.6640625" style="53" customWidth="1"/>
    <col min="16129" max="16129" width="11.44140625" style="53"/>
    <col min="16130" max="16130" width="14.109375" style="53" customWidth="1"/>
    <col min="16131" max="16131" width="14.6640625" style="53" customWidth="1"/>
    <col min="16132" max="16132" width="12.6640625" style="53" customWidth="1"/>
    <col min="16133" max="16133" width="11.44140625" style="53"/>
    <col min="16134" max="16134" width="14" style="53" customWidth="1"/>
    <col min="16135" max="16135" width="14.6640625" style="53" customWidth="1"/>
    <col min="16136" max="16136" width="2.6640625" style="53" customWidth="1"/>
    <col min="16137" max="16137" width="11.44140625" style="53"/>
    <col min="16138" max="16138" width="20" style="53" bestFit="1" customWidth="1"/>
    <col min="16139" max="16139" width="11.6640625" style="53" bestFit="1" customWidth="1"/>
    <col min="16140" max="16140" width="11.88671875" style="53" bestFit="1" customWidth="1"/>
    <col min="16141" max="16384" width="11.44140625" style="53"/>
  </cols>
  <sheetData>
    <row r="2" spans="2:13" x14ac:dyDescent="0.25">
      <c r="B2" s="82"/>
      <c r="C2" s="83"/>
      <c r="D2" s="84"/>
      <c r="E2" s="85"/>
      <c r="F2" s="85"/>
      <c r="G2" s="85"/>
      <c r="H2" s="86"/>
    </row>
    <row r="3" spans="2:13" x14ac:dyDescent="0.25">
      <c r="B3" s="88"/>
      <c r="C3" s="131" t="s">
        <v>891</v>
      </c>
      <c r="D3" s="131"/>
      <c r="E3" s="131"/>
      <c r="F3" s="131"/>
      <c r="G3" s="131"/>
      <c r="H3" s="89"/>
    </row>
    <row r="4" spans="2:13" x14ac:dyDescent="0.25">
      <c r="B4" s="88"/>
      <c r="C4" s="81"/>
      <c r="D4" s="81"/>
      <c r="E4" s="81"/>
      <c r="F4" s="81"/>
      <c r="G4" s="81"/>
      <c r="H4" s="89"/>
    </row>
    <row r="5" spans="2:13" x14ac:dyDescent="0.25">
      <c r="B5" s="88"/>
      <c r="C5" s="90" t="s">
        <v>53</v>
      </c>
      <c r="D5" s="81"/>
      <c r="E5" s="81"/>
      <c r="F5" s="90" t="s">
        <v>54</v>
      </c>
      <c r="G5" s="81"/>
      <c r="H5" s="89"/>
    </row>
    <row r="6" spans="2:13" x14ac:dyDescent="0.25">
      <c r="B6" s="88"/>
      <c r="C6" s="81"/>
      <c r="D6" s="81"/>
      <c r="E6" s="81"/>
      <c r="F6" s="81"/>
      <c r="G6" s="81"/>
      <c r="H6" s="89"/>
    </row>
    <row r="7" spans="2:13" ht="12.75" customHeight="1" x14ac:dyDescent="0.25">
      <c r="B7" s="88"/>
      <c r="C7" s="81" t="s">
        <v>52</v>
      </c>
      <c r="D7" s="81"/>
      <c r="E7" s="81"/>
      <c r="F7" s="81" t="s">
        <v>55</v>
      </c>
      <c r="G7" s="81"/>
      <c r="H7" s="89"/>
    </row>
    <row r="8" spans="2:13" ht="12.75" customHeight="1" x14ac:dyDescent="0.25">
      <c r="B8" s="88"/>
      <c r="C8" s="81" t="s">
        <v>56</v>
      </c>
      <c r="D8" s="81"/>
      <c r="E8" s="81"/>
      <c r="F8" s="81" t="s">
        <v>88</v>
      </c>
      <c r="G8" s="81"/>
      <c r="H8" s="89"/>
    </row>
    <row r="9" spans="2:13" ht="12.75" customHeight="1" x14ac:dyDescent="0.25">
      <c r="B9" s="88"/>
      <c r="C9" s="81" t="s">
        <v>57</v>
      </c>
      <c r="D9" s="81"/>
      <c r="E9" s="81"/>
      <c r="F9" s="81" t="s">
        <v>59</v>
      </c>
      <c r="G9" s="91"/>
      <c r="H9" s="89"/>
    </row>
    <row r="10" spans="2:13" ht="12.75" customHeight="1" x14ac:dyDescent="0.25">
      <c r="B10" s="88"/>
      <c r="C10" s="81" t="s">
        <v>58</v>
      </c>
      <c r="D10" s="81"/>
      <c r="E10" s="81"/>
      <c r="F10" s="81" t="s">
        <v>56</v>
      </c>
      <c r="G10" s="92"/>
      <c r="H10" s="89"/>
    </row>
    <row r="11" spans="2:13" ht="12.75" customHeight="1" x14ac:dyDescent="0.25">
      <c r="B11" s="88"/>
      <c r="C11" s="81" t="s">
        <v>2</v>
      </c>
      <c r="D11" s="81"/>
      <c r="E11" s="81"/>
      <c r="F11" s="81" t="s">
        <v>78</v>
      </c>
      <c r="G11" s="81"/>
      <c r="H11" s="89"/>
    </row>
    <row r="12" spans="2:13" ht="12.75" customHeight="1" x14ac:dyDescent="0.25">
      <c r="B12" s="88"/>
      <c r="C12" s="81" t="s">
        <v>60</v>
      </c>
      <c r="D12" s="81"/>
      <c r="E12" s="81"/>
      <c r="G12" s="81"/>
      <c r="H12" s="89"/>
    </row>
    <row r="13" spans="2:13" ht="12.75" customHeight="1" x14ac:dyDescent="0.25">
      <c r="B13" s="88"/>
      <c r="C13" s="81"/>
      <c r="E13" s="81"/>
      <c r="F13" s="81"/>
      <c r="G13" s="91"/>
      <c r="H13" s="89"/>
    </row>
    <row r="14" spans="2:13" x14ac:dyDescent="0.25">
      <c r="B14" s="88"/>
      <c r="C14" s="93" t="s">
        <v>61</v>
      </c>
      <c r="D14" s="93"/>
      <c r="E14" s="93"/>
      <c r="F14" s="93" t="s">
        <v>62</v>
      </c>
      <c r="G14" s="93"/>
      <c r="H14" s="89"/>
      <c r="J14" s="87" t="e">
        <f>+D14/G14</f>
        <v>#DIV/0!</v>
      </c>
      <c r="L14" s="81"/>
      <c r="M14" s="81"/>
    </row>
    <row r="15" spans="2:13" x14ac:dyDescent="0.25">
      <c r="B15" s="88"/>
      <c r="C15" s="81"/>
      <c r="D15" s="81"/>
      <c r="E15" s="81"/>
      <c r="F15" s="81"/>
      <c r="G15" s="81"/>
      <c r="H15" s="89"/>
      <c r="L15" s="81"/>
      <c r="M15" s="81"/>
    </row>
    <row r="16" spans="2:13" x14ac:dyDescent="0.25">
      <c r="B16" s="88"/>
      <c r="C16" s="81"/>
      <c r="D16" s="81"/>
      <c r="E16" s="81"/>
      <c r="F16" s="81"/>
      <c r="G16" s="81"/>
      <c r="H16" s="89"/>
      <c r="L16" s="81"/>
      <c r="M16" s="81"/>
    </row>
    <row r="17" spans="2:13" x14ac:dyDescent="0.25">
      <c r="B17" s="88"/>
      <c r="C17" s="90" t="s">
        <v>63</v>
      </c>
      <c r="D17" s="81"/>
      <c r="E17" s="81"/>
      <c r="F17" s="90" t="s">
        <v>64</v>
      </c>
      <c r="H17" s="89"/>
      <c r="L17" s="81"/>
      <c r="M17" s="81"/>
    </row>
    <row r="18" spans="2:13" x14ac:dyDescent="0.25">
      <c r="B18" s="88"/>
      <c r="C18" s="81"/>
      <c r="D18" s="81"/>
      <c r="E18" s="81"/>
      <c r="F18" s="81"/>
      <c r="G18" s="81"/>
      <c r="H18" s="89"/>
      <c r="L18" s="81"/>
      <c r="M18" s="81"/>
    </row>
    <row r="19" spans="2:13" ht="13.5" customHeight="1" x14ac:dyDescent="0.25">
      <c r="B19" s="88"/>
      <c r="C19" s="81" t="s">
        <v>86</v>
      </c>
      <c r="D19" s="93"/>
      <c r="E19" s="81"/>
      <c r="F19" s="81" t="s">
        <v>91</v>
      </c>
      <c r="G19" s="51">
        <f>+G10*4</f>
        <v>0</v>
      </c>
      <c r="H19" s="89"/>
      <c r="L19" s="81"/>
      <c r="M19" s="81"/>
    </row>
    <row r="20" spans="2:13" ht="13.5" customHeight="1" x14ac:dyDescent="0.25">
      <c r="B20" s="88"/>
      <c r="C20" s="81" t="s">
        <v>65</v>
      </c>
      <c r="D20" s="81"/>
      <c r="E20" s="81"/>
      <c r="F20" s="81"/>
      <c r="G20" s="81"/>
      <c r="H20" s="89"/>
      <c r="L20" s="81"/>
      <c r="M20" s="81"/>
    </row>
    <row r="21" spans="2:13" ht="13.5" customHeight="1" x14ac:dyDescent="0.25">
      <c r="B21" s="88"/>
      <c r="C21" s="81"/>
      <c r="D21" s="94"/>
      <c r="E21" s="81"/>
      <c r="F21" s="81"/>
      <c r="G21" s="94"/>
      <c r="H21" s="89"/>
      <c r="L21" s="81"/>
      <c r="M21" s="81"/>
    </row>
    <row r="22" spans="2:13" ht="13.5" customHeight="1" x14ac:dyDescent="0.25">
      <c r="B22" s="88"/>
      <c r="C22" s="93" t="s">
        <v>66</v>
      </c>
      <c r="D22" s="93">
        <f>SUM(D19:D21)</f>
        <v>0</v>
      </c>
      <c r="E22" s="81"/>
      <c r="F22" s="93" t="s">
        <v>95</v>
      </c>
      <c r="G22" s="93">
        <f>+G19+G14</f>
        <v>0</v>
      </c>
      <c r="H22" s="89"/>
      <c r="L22" s="81"/>
      <c r="M22" s="81"/>
    </row>
    <row r="23" spans="2:13" ht="13.5" customHeight="1" x14ac:dyDescent="0.25">
      <c r="B23" s="88"/>
      <c r="C23" s="81"/>
      <c r="D23" s="81"/>
      <c r="E23" s="81"/>
      <c r="F23" s="81"/>
      <c r="G23" s="81"/>
      <c r="H23" s="89"/>
      <c r="L23" s="81"/>
      <c r="M23" s="81"/>
    </row>
    <row r="24" spans="2:13" ht="13.5" customHeight="1" x14ac:dyDescent="0.25">
      <c r="B24" s="88"/>
      <c r="C24" s="81"/>
      <c r="D24" s="81"/>
      <c r="E24" s="81"/>
      <c r="F24" s="81"/>
      <c r="G24" s="81"/>
      <c r="H24" s="89"/>
      <c r="L24" s="81"/>
      <c r="M24" s="81"/>
    </row>
    <row r="25" spans="2:13" ht="13.5" customHeight="1" x14ac:dyDescent="0.25">
      <c r="B25" s="88"/>
      <c r="E25" s="81"/>
      <c r="H25" s="89"/>
      <c r="L25" s="81"/>
      <c r="M25" s="81"/>
    </row>
    <row r="26" spans="2:13" ht="13.5" customHeight="1" x14ac:dyDescent="0.25">
      <c r="B26" s="88"/>
      <c r="C26" s="90" t="s">
        <v>51</v>
      </c>
      <c r="D26" s="81"/>
      <c r="E26" s="81"/>
      <c r="F26" s="90" t="s">
        <v>67</v>
      </c>
      <c r="G26" s="81"/>
      <c r="H26" s="89"/>
      <c r="L26" s="81"/>
      <c r="M26" s="81"/>
    </row>
    <row r="27" spans="2:13" ht="13.5" customHeight="1" x14ac:dyDescent="0.25">
      <c r="B27" s="88"/>
      <c r="C27" s="81"/>
      <c r="D27" s="81"/>
      <c r="E27" s="81"/>
      <c r="F27" s="81"/>
      <c r="G27" s="81"/>
      <c r="H27" s="89"/>
      <c r="L27" s="81"/>
      <c r="M27" s="81"/>
    </row>
    <row r="28" spans="2:13" ht="13.5" customHeight="1" x14ac:dyDescent="0.25">
      <c r="B28" s="88"/>
      <c r="C28" s="81" t="s">
        <v>68</v>
      </c>
      <c r="D28" s="81"/>
      <c r="E28" s="81"/>
      <c r="F28" s="81" t="s">
        <v>69</v>
      </c>
      <c r="G28" s="81"/>
      <c r="H28" s="89"/>
    </row>
    <row r="29" spans="2:13" ht="13.5" customHeight="1" x14ac:dyDescent="0.25">
      <c r="B29" s="88"/>
      <c r="C29" s="81" t="s">
        <v>70</v>
      </c>
      <c r="D29" s="81"/>
      <c r="E29" s="81"/>
      <c r="F29" s="81" t="s">
        <v>71</v>
      </c>
      <c r="G29" s="81"/>
      <c r="H29" s="89"/>
    </row>
    <row r="30" spans="2:13" ht="13.5" customHeight="1" x14ac:dyDescent="0.25">
      <c r="B30" s="88"/>
      <c r="C30" s="81" t="s">
        <v>72</v>
      </c>
      <c r="D30" s="81"/>
      <c r="E30" s="81"/>
      <c r="F30" s="81" t="s">
        <v>73</v>
      </c>
      <c r="G30" s="81"/>
      <c r="H30" s="89"/>
    </row>
    <row r="31" spans="2:13" ht="13.5" customHeight="1" x14ac:dyDescent="0.25">
      <c r="B31" s="88"/>
      <c r="C31" s="81" t="s">
        <v>74</v>
      </c>
      <c r="D31" s="81"/>
      <c r="E31" s="81"/>
      <c r="F31" s="81" t="s">
        <v>96</v>
      </c>
      <c r="G31" s="81"/>
      <c r="H31" s="89"/>
    </row>
    <row r="32" spans="2:13" ht="13.5" customHeight="1" x14ac:dyDescent="0.25">
      <c r="B32" s="88"/>
      <c r="D32" s="81"/>
      <c r="E32" s="81"/>
      <c r="H32" s="89"/>
    </row>
    <row r="33" spans="2:11" ht="13.5" customHeight="1" x14ac:dyDescent="0.25">
      <c r="B33" s="88"/>
      <c r="D33" s="94"/>
      <c r="G33" s="94"/>
      <c r="H33" s="89"/>
      <c r="J33" s="40" t="s">
        <v>905</v>
      </c>
      <c r="K33" s="40" t="s">
        <v>906</v>
      </c>
    </row>
    <row r="34" spans="2:11" ht="13.5" customHeight="1" x14ac:dyDescent="0.25">
      <c r="B34" s="88"/>
      <c r="C34" s="93" t="s">
        <v>924</v>
      </c>
      <c r="D34" s="93">
        <f>SUM(D28:D32)</f>
        <v>0</v>
      </c>
      <c r="E34" s="81"/>
      <c r="F34" s="93" t="s">
        <v>75</v>
      </c>
      <c r="G34" s="93">
        <f>SUM(G28:G32)</f>
        <v>0</v>
      </c>
      <c r="H34" s="89"/>
      <c r="J34" s="95" t="e">
        <f>+G22/G34</f>
        <v>#DIV/0!</v>
      </c>
      <c r="K34" s="95"/>
    </row>
    <row r="35" spans="2:11" x14ac:dyDescent="0.25">
      <c r="B35" s="88"/>
      <c r="C35" s="81"/>
      <c r="D35" s="81"/>
      <c r="E35" s="81"/>
      <c r="F35" s="81"/>
      <c r="G35" s="81"/>
      <c r="H35" s="89"/>
      <c r="J35" s="53"/>
    </row>
    <row r="36" spans="2:11" x14ac:dyDescent="0.25">
      <c r="B36" s="88"/>
      <c r="C36" s="81"/>
      <c r="D36" s="81"/>
      <c r="E36" s="81"/>
      <c r="F36" s="81"/>
      <c r="G36" s="81"/>
      <c r="H36" s="89"/>
      <c r="J36" s="53"/>
    </row>
    <row r="37" spans="2:11" ht="13.8" thickBot="1" x14ac:dyDescent="0.3">
      <c r="B37" s="88"/>
      <c r="C37" s="93" t="s">
        <v>76</v>
      </c>
      <c r="D37" s="96">
        <f>+D22+D14+D34</f>
        <v>0</v>
      </c>
      <c r="E37" s="81"/>
      <c r="F37" s="93" t="s">
        <v>77</v>
      </c>
      <c r="G37" s="96">
        <f>+G34+G22+G14</f>
        <v>0</v>
      </c>
      <c r="H37" s="89"/>
      <c r="J37" s="53"/>
    </row>
    <row r="38" spans="2:11" ht="13.8" thickTop="1" x14ac:dyDescent="0.25">
      <c r="B38" s="88"/>
      <c r="C38" s="81"/>
      <c r="D38" s="81"/>
      <c r="E38" s="81"/>
      <c r="F38" s="81"/>
      <c r="G38" s="81"/>
      <c r="H38" s="89"/>
      <c r="J38" s="53"/>
    </row>
    <row r="39" spans="2:11" x14ac:dyDescent="0.25">
      <c r="B39" s="97"/>
      <c r="C39" s="94"/>
      <c r="D39" s="94"/>
      <c r="E39" s="94"/>
      <c r="F39" s="94"/>
      <c r="G39" s="94"/>
      <c r="H39" s="98"/>
      <c r="J39" s="53"/>
    </row>
    <row r="40" spans="2:11" x14ac:dyDescent="0.25">
      <c r="B40" s="81"/>
      <c r="C40" s="81"/>
      <c r="D40" s="81"/>
      <c r="E40" s="81"/>
      <c r="F40" s="81"/>
      <c r="G40" s="81"/>
      <c r="H40" s="81"/>
      <c r="J40" s="53"/>
    </row>
    <row r="41" spans="2:11" x14ac:dyDescent="0.25">
      <c r="J41" s="53"/>
    </row>
  </sheetData>
  <mergeCells count="1">
    <mergeCell ref="C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19"/>
  <sheetViews>
    <sheetView zoomScaleNormal="100" workbookViewId="0">
      <selection activeCell="F24" sqref="F24"/>
    </sheetView>
  </sheetViews>
  <sheetFormatPr defaultColWidth="11.44140625" defaultRowHeight="13.2" x14ac:dyDescent="0.25"/>
  <cols>
    <col min="1" max="1" width="3.33203125" style="27" customWidth="1"/>
    <col min="2" max="2" width="20.5546875" style="27" bestFit="1" customWidth="1"/>
    <col min="3" max="3" width="13.44140625" style="27" hidden="1" customWidth="1"/>
    <col min="4" max="4" width="19.109375" style="27" bestFit="1" customWidth="1"/>
    <col min="5" max="15" width="11.5546875" style="27" bestFit="1" customWidth="1"/>
    <col min="16" max="16" width="13" style="27" bestFit="1" customWidth="1"/>
    <col min="17" max="16384" width="11.44140625" style="27"/>
  </cols>
  <sheetData>
    <row r="2" spans="1:16" x14ac:dyDescent="0.25"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x14ac:dyDescent="0.25">
      <c r="B3" s="81"/>
    </row>
    <row r="4" spans="1:16" x14ac:dyDescent="0.25">
      <c r="B4" s="1" t="s">
        <v>97</v>
      </c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 t="s">
        <v>920</v>
      </c>
    </row>
    <row r="5" spans="1:16" x14ac:dyDescent="0.25">
      <c r="B5" s="53" t="s">
        <v>25</v>
      </c>
      <c r="D5" s="27">
        <v>1000000</v>
      </c>
      <c r="E5" s="27">
        <v>1000000</v>
      </c>
      <c r="F5" s="27">
        <v>1000000</v>
      </c>
      <c r="G5" s="27">
        <v>1000000</v>
      </c>
      <c r="H5" s="27">
        <v>1000000</v>
      </c>
      <c r="I5" s="27">
        <v>1000000</v>
      </c>
      <c r="J5" s="27">
        <v>1000000</v>
      </c>
      <c r="K5" s="27">
        <v>1000000</v>
      </c>
      <c r="L5" s="27">
        <v>1000000</v>
      </c>
      <c r="M5" s="27">
        <v>1000000</v>
      </c>
      <c r="N5" s="27">
        <v>1000000</v>
      </c>
      <c r="O5" s="27">
        <v>1000000</v>
      </c>
      <c r="P5" s="51">
        <f>SUM(C5:O5)</f>
        <v>12000000</v>
      </c>
    </row>
    <row r="6" spans="1:16" x14ac:dyDescent="0.25">
      <c r="B6" s="53" t="s">
        <v>18</v>
      </c>
      <c r="D6" s="27">
        <v>1000000</v>
      </c>
      <c r="E6" s="27">
        <v>1000000</v>
      </c>
      <c r="F6" s="27">
        <v>1000000</v>
      </c>
      <c r="G6" s="27">
        <v>1000000</v>
      </c>
      <c r="H6" s="27">
        <v>1000000</v>
      </c>
      <c r="I6" s="27">
        <v>1000000</v>
      </c>
      <c r="J6" s="27">
        <v>1000000</v>
      </c>
      <c r="K6" s="27">
        <v>1000000</v>
      </c>
      <c r="L6" s="27">
        <v>1000000</v>
      </c>
      <c r="M6" s="27">
        <v>1000000</v>
      </c>
      <c r="N6" s="27">
        <v>1000000</v>
      </c>
      <c r="O6" s="27">
        <v>1000000</v>
      </c>
      <c r="P6" s="51">
        <f t="shared" ref="P6:P9" si="0">SUM(C6:O6)</f>
        <v>12000000</v>
      </c>
    </row>
    <row r="7" spans="1:16" x14ac:dyDescent="0.25">
      <c r="B7" s="102" t="s">
        <v>960</v>
      </c>
      <c r="D7" s="27">
        <v>700000</v>
      </c>
      <c r="E7" s="27">
        <v>700000</v>
      </c>
      <c r="F7" s="27">
        <v>700000</v>
      </c>
      <c r="G7" s="27">
        <v>700000</v>
      </c>
      <c r="H7" s="27">
        <v>700000</v>
      </c>
      <c r="I7" s="27">
        <v>700000</v>
      </c>
      <c r="J7" s="27">
        <v>700000</v>
      </c>
      <c r="K7" s="27">
        <v>700000</v>
      </c>
      <c r="L7" s="27">
        <v>700000</v>
      </c>
      <c r="M7" s="27">
        <v>700000</v>
      </c>
      <c r="N7" s="27">
        <v>700000</v>
      </c>
      <c r="O7" s="27">
        <v>700000</v>
      </c>
      <c r="P7" s="51">
        <f t="shared" si="0"/>
        <v>8400000</v>
      </c>
    </row>
    <row r="8" spans="1:16" x14ac:dyDescent="0.25">
      <c r="B8" s="53" t="s">
        <v>5</v>
      </c>
      <c r="D8" s="27">
        <f t="shared" ref="D8:O8" si="1">+SUM(D5:D7)*5%</f>
        <v>135000</v>
      </c>
      <c r="E8" s="27">
        <f t="shared" si="1"/>
        <v>135000</v>
      </c>
      <c r="F8" s="27">
        <f t="shared" si="1"/>
        <v>135000</v>
      </c>
      <c r="G8" s="27">
        <f t="shared" si="1"/>
        <v>135000</v>
      </c>
      <c r="H8" s="27">
        <f t="shared" si="1"/>
        <v>135000</v>
      </c>
      <c r="I8" s="27">
        <f t="shared" si="1"/>
        <v>135000</v>
      </c>
      <c r="J8" s="27">
        <f t="shared" si="1"/>
        <v>135000</v>
      </c>
      <c r="K8" s="27">
        <f t="shared" si="1"/>
        <v>135000</v>
      </c>
      <c r="L8" s="27">
        <f t="shared" si="1"/>
        <v>135000</v>
      </c>
      <c r="M8" s="27">
        <f t="shared" si="1"/>
        <v>135000</v>
      </c>
      <c r="N8" s="27">
        <f t="shared" si="1"/>
        <v>135000</v>
      </c>
      <c r="O8" s="27">
        <f t="shared" si="1"/>
        <v>135000</v>
      </c>
      <c r="P8" s="51">
        <f t="shared" si="0"/>
        <v>1620000</v>
      </c>
    </row>
    <row r="9" spans="1:16" x14ac:dyDescent="0.25">
      <c r="B9" s="53" t="s">
        <v>44</v>
      </c>
      <c r="C9" s="51"/>
      <c r="D9" s="51">
        <f t="shared" ref="D9:O9" si="2">SUM(D5:D8)</f>
        <v>2835000</v>
      </c>
      <c r="E9" s="51">
        <f t="shared" si="2"/>
        <v>2835000</v>
      </c>
      <c r="F9" s="51">
        <f t="shared" si="2"/>
        <v>2835000</v>
      </c>
      <c r="G9" s="51">
        <f t="shared" si="2"/>
        <v>2835000</v>
      </c>
      <c r="H9" s="51">
        <f t="shared" si="2"/>
        <v>2835000</v>
      </c>
      <c r="I9" s="51">
        <f t="shared" si="2"/>
        <v>2835000</v>
      </c>
      <c r="J9" s="51">
        <f t="shared" si="2"/>
        <v>2835000</v>
      </c>
      <c r="K9" s="51">
        <f t="shared" si="2"/>
        <v>2835000</v>
      </c>
      <c r="L9" s="51">
        <f t="shared" si="2"/>
        <v>2835000</v>
      </c>
      <c r="M9" s="51">
        <f t="shared" si="2"/>
        <v>2835000</v>
      </c>
      <c r="N9" s="51">
        <f t="shared" si="2"/>
        <v>2835000</v>
      </c>
      <c r="O9" s="51">
        <f t="shared" si="2"/>
        <v>2835000</v>
      </c>
      <c r="P9" s="51">
        <f t="shared" si="0"/>
        <v>34020000</v>
      </c>
    </row>
    <row r="10" spans="1:16" x14ac:dyDescent="0.25">
      <c r="B10" s="53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x14ac:dyDescent="0.25">
      <c r="B11" s="53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 x14ac:dyDescent="0.25">
      <c r="B12" s="1" t="s">
        <v>912</v>
      </c>
      <c r="C12" s="1"/>
      <c r="D12" s="1">
        <v>1</v>
      </c>
      <c r="E12" s="1">
        <v>2</v>
      </c>
      <c r="F12" s="1">
        <v>3</v>
      </c>
      <c r="G12" s="1">
        <v>4</v>
      </c>
      <c r="H12" s="1">
        <v>5</v>
      </c>
      <c r="I12" s="1">
        <v>6</v>
      </c>
      <c r="J12" s="1">
        <v>7</v>
      </c>
      <c r="K12" s="1">
        <v>8</v>
      </c>
      <c r="L12" s="1">
        <v>9</v>
      </c>
      <c r="M12" s="1">
        <v>10</v>
      </c>
      <c r="N12" s="1">
        <v>11</v>
      </c>
      <c r="O12" s="1">
        <v>12</v>
      </c>
      <c r="P12" s="1" t="s">
        <v>920</v>
      </c>
    </row>
    <row r="13" spans="1:16" x14ac:dyDescent="0.25">
      <c r="A13" s="27">
        <v>1</v>
      </c>
      <c r="B13" s="53" t="s">
        <v>25</v>
      </c>
      <c r="D13" s="27">
        <v>1000000</v>
      </c>
      <c r="E13" s="27">
        <v>1000000</v>
      </c>
      <c r="F13" s="27">
        <v>1000000</v>
      </c>
      <c r="G13" s="27">
        <v>1000000</v>
      </c>
      <c r="H13" s="27">
        <v>1000000</v>
      </c>
      <c r="I13" s="27">
        <v>1000000</v>
      </c>
      <c r="J13" s="27">
        <v>1000000</v>
      </c>
      <c r="K13" s="27">
        <v>1000000</v>
      </c>
      <c r="L13" s="27">
        <v>1000000</v>
      </c>
      <c r="M13" s="27">
        <v>1000000</v>
      </c>
      <c r="N13" s="27">
        <v>1000000</v>
      </c>
      <c r="O13" s="27">
        <v>1000000</v>
      </c>
      <c r="P13" s="51">
        <f>SUM(C13:O13)</f>
        <v>12000000</v>
      </c>
    </row>
    <row r="14" spans="1:16" x14ac:dyDescent="0.25">
      <c r="A14" s="27">
        <v>2</v>
      </c>
      <c r="B14" s="53" t="s">
        <v>18</v>
      </c>
      <c r="D14" s="27">
        <v>1000000</v>
      </c>
      <c r="E14" s="27">
        <v>1000000</v>
      </c>
      <c r="F14" s="27">
        <v>1000000</v>
      </c>
      <c r="G14" s="27">
        <v>1000000</v>
      </c>
      <c r="H14" s="27">
        <v>1000000</v>
      </c>
      <c r="I14" s="27">
        <v>1000000</v>
      </c>
      <c r="J14" s="27">
        <v>1000000</v>
      </c>
      <c r="K14" s="27">
        <v>1000000</v>
      </c>
      <c r="L14" s="27">
        <v>1000000</v>
      </c>
      <c r="M14" s="27">
        <v>1000000</v>
      </c>
      <c r="N14" s="27">
        <v>1000000</v>
      </c>
      <c r="O14" s="27">
        <v>1000000</v>
      </c>
      <c r="P14" s="51">
        <f t="shared" ref="P14:P19" si="3">SUM(C14:O14)</f>
        <v>12000000</v>
      </c>
    </row>
    <row r="15" spans="1:16" x14ac:dyDescent="0.25">
      <c r="A15" s="27">
        <v>3</v>
      </c>
      <c r="B15" s="102" t="s">
        <v>961</v>
      </c>
      <c r="D15" s="27">
        <v>700000</v>
      </c>
      <c r="E15" s="27">
        <v>700000</v>
      </c>
      <c r="F15" s="27">
        <v>700000</v>
      </c>
      <c r="G15" s="27">
        <v>700000</v>
      </c>
      <c r="H15" s="27">
        <v>700000</v>
      </c>
      <c r="I15" s="27">
        <v>700000</v>
      </c>
      <c r="J15" s="27">
        <v>700000</v>
      </c>
      <c r="K15" s="27">
        <v>700000</v>
      </c>
      <c r="L15" s="27">
        <v>700000</v>
      </c>
      <c r="M15" s="27">
        <v>700000</v>
      </c>
      <c r="N15" s="27">
        <v>700000</v>
      </c>
      <c r="O15" s="27">
        <v>700000</v>
      </c>
      <c r="P15" s="51">
        <f t="shared" si="3"/>
        <v>8400000</v>
      </c>
    </row>
    <row r="16" spans="1:16" x14ac:dyDescent="0.25">
      <c r="A16" s="27">
        <v>4</v>
      </c>
      <c r="B16" s="102" t="s">
        <v>962</v>
      </c>
      <c r="D16" s="27">
        <v>450000</v>
      </c>
      <c r="E16" s="27">
        <v>450000</v>
      </c>
      <c r="F16" s="27">
        <v>450000</v>
      </c>
      <c r="G16" s="27">
        <v>450000</v>
      </c>
      <c r="H16" s="27">
        <v>450000</v>
      </c>
      <c r="I16" s="27">
        <v>450000</v>
      </c>
      <c r="J16" s="27">
        <v>450000</v>
      </c>
      <c r="K16" s="27">
        <v>450000</v>
      </c>
      <c r="L16" s="27">
        <v>450000</v>
      </c>
      <c r="M16" s="27">
        <v>450000</v>
      </c>
      <c r="N16" s="27">
        <v>450000</v>
      </c>
      <c r="O16" s="27">
        <v>450000</v>
      </c>
      <c r="P16" s="51">
        <f t="shared" si="3"/>
        <v>5400000</v>
      </c>
    </row>
    <row r="17" spans="1:16" x14ac:dyDescent="0.25">
      <c r="A17" s="27">
        <v>5</v>
      </c>
      <c r="B17" s="102" t="s">
        <v>963</v>
      </c>
      <c r="D17" s="27">
        <v>600000</v>
      </c>
      <c r="E17" s="27">
        <v>600000</v>
      </c>
      <c r="F17" s="27">
        <v>600000</v>
      </c>
      <c r="G17" s="27">
        <v>600000</v>
      </c>
      <c r="H17" s="27">
        <v>600000</v>
      </c>
      <c r="I17" s="27">
        <v>600000</v>
      </c>
      <c r="J17" s="27">
        <v>600000</v>
      </c>
      <c r="K17" s="27">
        <v>600000</v>
      </c>
      <c r="L17" s="27">
        <v>600000</v>
      </c>
      <c r="M17" s="27">
        <v>600000</v>
      </c>
      <c r="N17" s="27">
        <v>600000</v>
      </c>
      <c r="O17" s="27">
        <v>600000</v>
      </c>
      <c r="P17" s="51">
        <f t="shared" si="3"/>
        <v>7200000</v>
      </c>
    </row>
    <row r="18" spans="1:16" x14ac:dyDescent="0.25">
      <c r="A18" s="27">
        <v>6</v>
      </c>
      <c r="B18" s="53" t="s">
        <v>5</v>
      </c>
      <c r="D18" s="27">
        <f t="shared" ref="D18:O18" si="4">+SUM(D13:D17)*5%</f>
        <v>187500</v>
      </c>
      <c r="E18" s="27">
        <f t="shared" si="4"/>
        <v>187500</v>
      </c>
      <c r="F18" s="27">
        <f t="shared" si="4"/>
        <v>187500</v>
      </c>
      <c r="G18" s="27">
        <f t="shared" si="4"/>
        <v>187500</v>
      </c>
      <c r="H18" s="27">
        <f t="shared" si="4"/>
        <v>187500</v>
      </c>
      <c r="I18" s="27">
        <f t="shared" si="4"/>
        <v>187500</v>
      </c>
      <c r="J18" s="27">
        <f t="shared" si="4"/>
        <v>187500</v>
      </c>
      <c r="K18" s="27">
        <f t="shared" si="4"/>
        <v>187500</v>
      </c>
      <c r="L18" s="27">
        <f t="shared" si="4"/>
        <v>187500</v>
      </c>
      <c r="M18" s="27">
        <f t="shared" si="4"/>
        <v>187500</v>
      </c>
      <c r="N18" s="27">
        <f t="shared" si="4"/>
        <v>187500</v>
      </c>
      <c r="O18" s="27">
        <f t="shared" si="4"/>
        <v>187500</v>
      </c>
      <c r="P18" s="51">
        <f t="shared" si="3"/>
        <v>2250000</v>
      </c>
    </row>
    <row r="19" spans="1:16" x14ac:dyDescent="0.25">
      <c r="B19" s="53" t="s">
        <v>44</v>
      </c>
      <c r="C19" s="51"/>
      <c r="D19" s="51">
        <f t="shared" ref="D19:O19" si="5">SUM(D13:D18)</f>
        <v>3937500</v>
      </c>
      <c r="E19" s="51">
        <f t="shared" si="5"/>
        <v>3937500</v>
      </c>
      <c r="F19" s="51">
        <f t="shared" si="5"/>
        <v>3937500</v>
      </c>
      <c r="G19" s="51">
        <f t="shared" si="5"/>
        <v>3937500</v>
      </c>
      <c r="H19" s="51">
        <f t="shared" si="5"/>
        <v>3937500</v>
      </c>
      <c r="I19" s="51">
        <f t="shared" si="5"/>
        <v>3937500</v>
      </c>
      <c r="J19" s="51">
        <f t="shared" si="5"/>
        <v>3937500</v>
      </c>
      <c r="K19" s="51">
        <f t="shared" si="5"/>
        <v>3937500</v>
      </c>
      <c r="L19" s="51">
        <f t="shared" si="5"/>
        <v>3937500</v>
      </c>
      <c r="M19" s="51">
        <f t="shared" si="5"/>
        <v>3937500</v>
      </c>
      <c r="N19" s="51">
        <f t="shared" si="5"/>
        <v>3937500</v>
      </c>
      <c r="O19" s="51">
        <f t="shared" si="5"/>
        <v>3937500</v>
      </c>
      <c r="P19" s="51">
        <f t="shared" si="3"/>
        <v>47250000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103"/>
  <sheetViews>
    <sheetView workbookViewId="0">
      <pane xSplit="1" ySplit="7" topLeftCell="C47" activePane="bottomRight" state="frozen"/>
      <selection pane="topRight" activeCell="B1" sqref="B1"/>
      <selection pane="bottomLeft" activeCell="A8" sqref="A8"/>
      <selection pane="bottomRight" activeCell="E50" sqref="E50"/>
    </sheetView>
  </sheetViews>
  <sheetFormatPr defaultColWidth="11.44140625" defaultRowHeight="13.2" x14ac:dyDescent="0.25"/>
  <cols>
    <col min="1" max="1" width="34.88671875" style="5" bestFit="1" customWidth="1"/>
    <col min="2" max="11" width="16.5546875" style="5" customWidth="1"/>
    <col min="12" max="16384" width="11.44140625" style="5"/>
  </cols>
  <sheetData>
    <row r="3" spans="1:11" ht="19.8" x14ac:dyDescent="0.3">
      <c r="B3" s="15" t="s">
        <v>876</v>
      </c>
    </row>
    <row r="7" spans="1:11" ht="63" x14ac:dyDescent="0.25">
      <c r="A7" s="3" t="s">
        <v>103</v>
      </c>
      <c r="B7" s="4" t="s">
        <v>104</v>
      </c>
      <c r="C7" s="4" t="s">
        <v>105</v>
      </c>
      <c r="D7" s="4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111</v>
      </c>
      <c r="J7" s="4" t="s">
        <v>112</v>
      </c>
      <c r="K7" s="4" t="s">
        <v>113</v>
      </c>
    </row>
    <row r="8" spans="1:11" ht="15.6" x14ac:dyDescent="0.25">
      <c r="A8" s="6" t="s">
        <v>114</v>
      </c>
      <c r="B8" s="7">
        <v>40</v>
      </c>
      <c r="C8" s="7" t="s">
        <v>115</v>
      </c>
      <c r="D8" s="7" t="s">
        <v>116</v>
      </c>
      <c r="E8" s="7" t="s">
        <v>117</v>
      </c>
      <c r="F8" s="7" t="s">
        <v>118</v>
      </c>
      <c r="G8" s="7" t="s">
        <v>119</v>
      </c>
      <c r="H8" s="7" t="s">
        <v>120</v>
      </c>
      <c r="I8" s="7" t="s">
        <v>121</v>
      </c>
      <c r="J8" s="7" t="s">
        <v>122</v>
      </c>
      <c r="K8" s="7" t="s">
        <v>123</v>
      </c>
    </row>
    <row r="9" spans="1:11" ht="15.6" x14ac:dyDescent="0.25">
      <c r="A9" s="8" t="s">
        <v>124</v>
      </c>
      <c r="B9" s="9">
        <v>87</v>
      </c>
      <c r="C9" s="9" t="s">
        <v>125</v>
      </c>
      <c r="D9" s="9" t="s">
        <v>126</v>
      </c>
      <c r="E9" s="9" t="s">
        <v>127</v>
      </c>
      <c r="F9" s="9" t="s">
        <v>128</v>
      </c>
      <c r="G9" s="9" t="s">
        <v>129</v>
      </c>
      <c r="H9" s="9" t="s">
        <v>130</v>
      </c>
      <c r="I9" s="9" t="s">
        <v>131</v>
      </c>
      <c r="J9" s="9" t="s">
        <v>132</v>
      </c>
      <c r="K9" s="9" t="s">
        <v>133</v>
      </c>
    </row>
    <row r="10" spans="1:11" ht="15.6" x14ac:dyDescent="0.25">
      <c r="A10" s="6" t="s">
        <v>134</v>
      </c>
      <c r="B10" s="7">
        <v>17</v>
      </c>
      <c r="C10" s="7" t="s">
        <v>135</v>
      </c>
      <c r="D10" s="7" t="s">
        <v>136</v>
      </c>
      <c r="E10" s="7" t="s">
        <v>137</v>
      </c>
      <c r="F10" s="7" t="s">
        <v>138</v>
      </c>
      <c r="G10" s="7" t="s">
        <v>139</v>
      </c>
      <c r="H10" s="7" t="s">
        <v>140</v>
      </c>
      <c r="I10" s="7" t="s">
        <v>141</v>
      </c>
      <c r="J10" s="7" t="s">
        <v>142</v>
      </c>
      <c r="K10" s="7" t="s">
        <v>143</v>
      </c>
    </row>
    <row r="11" spans="1:11" ht="15.6" x14ac:dyDescent="0.25">
      <c r="A11" s="8" t="s">
        <v>144</v>
      </c>
      <c r="B11" s="9">
        <v>51</v>
      </c>
      <c r="C11" s="9" t="s">
        <v>145</v>
      </c>
      <c r="D11" s="9" t="s">
        <v>146</v>
      </c>
      <c r="E11" s="9" t="s">
        <v>147</v>
      </c>
      <c r="F11" s="9" t="s">
        <v>148</v>
      </c>
      <c r="G11" s="9" t="s">
        <v>149</v>
      </c>
      <c r="H11" s="9" t="s">
        <v>150</v>
      </c>
      <c r="I11" s="9" t="s">
        <v>151</v>
      </c>
      <c r="J11" s="9" t="s">
        <v>152</v>
      </c>
      <c r="K11" s="9" t="s">
        <v>153</v>
      </c>
    </row>
    <row r="12" spans="1:11" ht="15.6" x14ac:dyDescent="0.25">
      <c r="A12" s="6" t="s">
        <v>154</v>
      </c>
      <c r="B12" s="7">
        <v>18</v>
      </c>
      <c r="C12" s="7" t="s">
        <v>155</v>
      </c>
      <c r="D12" s="7" t="s">
        <v>156</v>
      </c>
      <c r="E12" s="7" t="s">
        <v>157</v>
      </c>
      <c r="F12" s="7" t="s">
        <v>158</v>
      </c>
      <c r="G12" s="7" t="s">
        <v>159</v>
      </c>
      <c r="H12" s="7" t="s">
        <v>160</v>
      </c>
      <c r="I12" s="7" t="s">
        <v>161</v>
      </c>
      <c r="J12" s="7" t="s">
        <v>162</v>
      </c>
      <c r="K12" s="7" t="s">
        <v>163</v>
      </c>
    </row>
    <row r="13" spans="1:11" ht="15.6" x14ac:dyDescent="0.25">
      <c r="A13" s="8" t="s">
        <v>164</v>
      </c>
      <c r="B13" s="9">
        <v>62</v>
      </c>
      <c r="C13" s="9" t="s">
        <v>165</v>
      </c>
      <c r="D13" s="9" t="s">
        <v>166</v>
      </c>
      <c r="E13" s="9" t="s">
        <v>167</v>
      </c>
      <c r="F13" s="9" t="s">
        <v>150</v>
      </c>
      <c r="G13" s="9" t="s">
        <v>168</v>
      </c>
      <c r="H13" s="9" t="s">
        <v>169</v>
      </c>
      <c r="I13" s="9" t="s">
        <v>170</v>
      </c>
      <c r="J13" s="9" t="s">
        <v>171</v>
      </c>
      <c r="K13" s="9" t="s">
        <v>172</v>
      </c>
    </row>
    <row r="14" spans="1:11" ht="15.6" x14ac:dyDescent="0.25">
      <c r="A14" s="6" t="s">
        <v>173</v>
      </c>
      <c r="B14" s="7">
        <v>11</v>
      </c>
      <c r="C14" s="7" t="s">
        <v>174</v>
      </c>
      <c r="D14" s="7" t="s">
        <v>175</v>
      </c>
      <c r="E14" s="7" t="s">
        <v>176</v>
      </c>
      <c r="F14" s="7" t="s">
        <v>177</v>
      </c>
      <c r="G14" s="7" t="s">
        <v>178</v>
      </c>
      <c r="H14" s="7" t="s">
        <v>179</v>
      </c>
      <c r="I14" s="7" t="s">
        <v>180</v>
      </c>
      <c r="J14" s="7" t="s">
        <v>181</v>
      </c>
      <c r="K14" s="7" t="s">
        <v>182</v>
      </c>
    </row>
    <row r="15" spans="1:11" ht="15.6" x14ac:dyDescent="0.25">
      <c r="A15" s="8" t="s">
        <v>183</v>
      </c>
      <c r="B15" s="9">
        <v>612</v>
      </c>
      <c r="C15" s="9" t="s">
        <v>184</v>
      </c>
      <c r="D15" s="9" t="s">
        <v>185</v>
      </c>
      <c r="E15" s="9" t="s">
        <v>186</v>
      </c>
      <c r="F15" s="9" t="s">
        <v>187</v>
      </c>
      <c r="G15" s="9" t="s">
        <v>188</v>
      </c>
      <c r="H15" s="9" t="s">
        <v>189</v>
      </c>
      <c r="I15" s="9" t="s">
        <v>190</v>
      </c>
      <c r="J15" s="9" t="s">
        <v>191</v>
      </c>
      <c r="K15" s="9" t="s">
        <v>182</v>
      </c>
    </row>
    <row r="16" spans="1:11" ht="15.6" x14ac:dyDescent="0.25">
      <c r="A16" s="6" t="s">
        <v>192</v>
      </c>
      <c r="B16" s="7">
        <v>28</v>
      </c>
      <c r="C16" s="7" t="s">
        <v>193</v>
      </c>
      <c r="D16" s="7" t="s">
        <v>194</v>
      </c>
      <c r="E16" s="7" t="s">
        <v>195</v>
      </c>
      <c r="F16" s="7" t="s">
        <v>196</v>
      </c>
      <c r="G16" s="7" t="s">
        <v>197</v>
      </c>
      <c r="H16" s="7" t="s">
        <v>198</v>
      </c>
      <c r="I16" s="7" t="s">
        <v>199</v>
      </c>
      <c r="J16" s="7" t="s">
        <v>200</v>
      </c>
      <c r="K16" s="7" t="s">
        <v>201</v>
      </c>
    </row>
    <row r="17" spans="1:11" ht="15.6" x14ac:dyDescent="0.25">
      <c r="A17" s="8" t="s">
        <v>202</v>
      </c>
      <c r="B17" s="9">
        <v>35</v>
      </c>
      <c r="C17" s="9" t="s">
        <v>203</v>
      </c>
      <c r="D17" s="9" t="s">
        <v>204</v>
      </c>
      <c r="E17" s="9" t="s">
        <v>205</v>
      </c>
      <c r="F17" s="9" t="s">
        <v>206</v>
      </c>
      <c r="G17" s="9" t="s">
        <v>207</v>
      </c>
      <c r="H17" s="9" t="s">
        <v>208</v>
      </c>
      <c r="I17" s="9" t="s">
        <v>209</v>
      </c>
      <c r="J17" s="9" t="s">
        <v>210</v>
      </c>
      <c r="K17" s="9" t="s">
        <v>211</v>
      </c>
    </row>
    <row r="18" spans="1:11" ht="15.6" x14ac:dyDescent="0.25">
      <c r="A18" s="6" t="s">
        <v>212</v>
      </c>
      <c r="B18" s="7">
        <v>27</v>
      </c>
      <c r="C18" s="7" t="s">
        <v>198</v>
      </c>
      <c r="D18" s="7" t="s">
        <v>213</v>
      </c>
      <c r="E18" s="7" t="s">
        <v>214</v>
      </c>
      <c r="F18" s="7" t="s">
        <v>206</v>
      </c>
      <c r="G18" s="7" t="s">
        <v>215</v>
      </c>
      <c r="H18" s="7" t="s">
        <v>216</v>
      </c>
      <c r="I18" s="7" t="s">
        <v>217</v>
      </c>
      <c r="J18" s="7" t="s">
        <v>218</v>
      </c>
      <c r="K18" s="7" t="s">
        <v>219</v>
      </c>
    </row>
    <row r="19" spans="1:11" ht="15.6" x14ac:dyDescent="0.25">
      <c r="A19" s="8" t="s">
        <v>220</v>
      </c>
      <c r="B19" s="9">
        <v>42</v>
      </c>
      <c r="C19" s="9" t="s">
        <v>221</v>
      </c>
      <c r="D19" s="9" t="s">
        <v>222</v>
      </c>
      <c r="E19" s="9" t="s">
        <v>223</v>
      </c>
      <c r="F19" s="9" t="s">
        <v>224</v>
      </c>
      <c r="G19" s="9" t="s">
        <v>225</v>
      </c>
      <c r="H19" s="9" t="s">
        <v>226</v>
      </c>
      <c r="I19" s="9" t="s">
        <v>227</v>
      </c>
      <c r="J19" s="9" t="s">
        <v>228</v>
      </c>
      <c r="K19" s="9" t="s">
        <v>229</v>
      </c>
    </row>
    <row r="20" spans="1:11" ht="15.6" x14ac:dyDescent="0.25">
      <c r="A20" s="6" t="s">
        <v>230</v>
      </c>
      <c r="B20" s="7">
        <v>39</v>
      </c>
      <c r="C20" s="7" t="s">
        <v>196</v>
      </c>
      <c r="D20" s="7" t="s">
        <v>231</v>
      </c>
      <c r="E20" s="7" t="s">
        <v>232</v>
      </c>
      <c r="F20" s="7" t="s">
        <v>128</v>
      </c>
      <c r="G20" s="7" t="s">
        <v>233</v>
      </c>
      <c r="H20" s="7" t="s">
        <v>130</v>
      </c>
      <c r="I20" s="7" t="s">
        <v>234</v>
      </c>
      <c r="J20" s="7" t="s">
        <v>235</v>
      </c>
      <c r="K20" s="7" t="s">
        <v>236</v>
      </c>
    </row>
    <row r="21" spans="1:11" ht="15.6" x14ac:dyDescent="0.25">
      <c r="A21" s="8" t="s">
        <v>237</v>
      </c>
      <c r="B21" s="9">
        <v>169</v>
      </c>
      <c r="C21" s="9" t="s">
        <v>238</v>
      </c>
      <c r="D21" s="9" t="s">
        <v>239</v>
      </c>
      <c r="E21" s="9" t="s">
        <v>240</v>
      </c>
      <c r="F21" s="9" t="s">
        <v>241</v>
      </c>
      <c r="G21" s="9" t="s">
        <v>242</v>
      </c>
      <c r="H21" s="9" t="s">
        <v>135</v>
      </c>
      <c r="I21" s="9" t="s">
        <v>243</v>
      </c>
      <c r="J21" s="9" t="s">
        <v>244</v>
      </c>
      <c r="K21" s="9" t="s">
        <v>245</v>
      </c>
    </row>
    <row r="22" spans="1:11" ht="15.6" x14ac:dyDescent="0.25">
      <c r="A22" s="6" t="s">
        <v>246</v>
      </c>
      <c r="B22" s="7">
        <v>14</v>
      </c>
      <c r="C22" s="7" t="s">
        <v>169</v>
      </c>
      <c r="D22" s="7" t="s">
        <v>247</v>
      </c>
      <c r="E22" s="7" t="s">
        <v>248</v>
      </c>
      <c r="F22" s="7" t="s">
        <v>138</v>
      </c>
      <c r="G22" s="7" t="s">
        <v>249</v>
      </c>
      <c r="H22" s="7" t="s">
        <v>140</v>
      </c>
      <c r="I22" s="7" t="s">
        <v>250</v>
      </c>
      <c r="J22" s="7" t="s">
        <v>251</v>
      </c>
      <c r="K22" s="7" t="s">
        <v>252</v>
      </c>
    </row>
    <row r="23" spans="1:11" ht="15.6" x14ac:dyDescent="0.25">
      <c r="A23" s="8" t="s">
        <v>253</v>
      </c>
      <c r="B23" s="9">
        <v>38</v>
      </c>
      <c r="C23" s="9" t="s">
        <v>155</v>
      </c>
      <c r="D23" s="9" t="s">
        <v>254</v>
      </c>
      <c r="E23" s="9" t="s">
        <v>255</v>
      </c>
      <c r="F23" s="9" t="s">
        <v>256</v>
      </c>
      <c r="G23" s="9" t="s">
        <v>257</v>
      </c>
      <c r="H23" s="9" t="s">
        <v>258</v>
      </c>
      <c r="I23" s="9" t="s">
        <v>259</v>
      </c>
      <c r="J23" s="9" t="s">
        <v>260</v>
      </c>
      <c r="K23" s="9" t="s">
        <v>261</v>
      </c>
    </row>
    <row r="24" spans="1:11" ht="15.6" x14ac:dyDescent="0.25">
      <c r="A24" s="6" t="s">
        <v>262</v>
      </c>
      <c r="B24" s="7">
        <v>7</v>
      </c>
      <c r="C24" s="7" t="s">
        <v>263</v>
      </c>
      <c r="D24" s="7" t="s">
        <v>264</v>
      </c>
      <c r="E24" s="7" t="s">
        <v>265</v>
      </c>
      <c r="F24" s="7" t="s">
        <v>266</v>
      </c>
      <c r="G24" s="7" t="s">
        <v>267</v>
      </c>
      <c r="H24" s="7" t="s">
        <v>268</v>
      </c>
      <c r="I24" s="7" t="s">
        <v>269</v>
      </c>
      <c r="J24" s="7" t="s">
        <v>270</v>
      </c>
      <c r="K24" s="7" t="s">
        <v>271</v>
      </c>
    </row>
    <row r="25" spans="1:11" ht="15.6" x14ac:dyDescent="0.25">
      <c r="A25" s="8" t="s">
        <v>272</v>
      </c>
      <c r="B25" s="9">
        <v>99</v>
      </c>
      <c r="C25" s="9" t="s">
        <v>196</v>
      </c>
      <c r="D25" s="9" t="s">
        <v>273</v>
      </c>
      <c r="E25" s="9" t="s">
        <v>274</v>
      </c>
      <c r="F25" s="9" t="s">
        <v>256</v>
      </c>
      <c r="G25" s="9" t="s">
        <v>275</v>
      </c>
      <c r="H25" s="9" t="s">
        <v>128</v>
      </c>
      <c r="I25" s="9" t="s">
        <v>276</v>
      </c>
      <c r="J25" s="9" t="s">
        <v>277</v>
      </c>
      <c r="K25" s="9" t="s">
        <v>278</v>
      </c>
    </row>
    <row r="26" spans="1:11" ht="15.6" x14ac:dyDescent="0.25">
      <c r="A26" s="6" t="s">
        <v>279</v>
      </c>
      <c r="B26" s="7">
        <v>30</v>
      </c>
      <c r="C26" s="7" t="s">
        <v>280</v>
      </c>
      <c r="D26" s="7" t="s">
        <v>281</v>
      </c>
      <c r="E26" s="7" t="s">
        <v>282</v>
      </c>
      <c r="F26" s="7" t="s">
        <v>283</v>
      </c>
      <c r="G26" s="7" t="s">
        <v>284</v>
      </c>
      <c r="H26" s="7" t="s">
        <v>165</v>
      </c>
      <c r="I26" s="7" t="s">
        <v>285</v>
      </c>
      <c r="J26" s="7" t="s">
        <v>286</v>
      </c>
      <c r="K26" s="7" t="s">
        <v>287</v>
      </c>
    </row>
    <row r="27" spans="1:11" ht="15.6" x14ac:dyDescent="0.25">
      <c r="A27" s="8" t="s">
        <v>288</v>
      </c>
      <c r="B27" s="9">
        <v>111</v>
      </c>
      <c r="C27" s="9" t="s">
        <v>289</v>
      </c>
      <c r="D27" s="9" t="s">
        <v>290</v>
      </c>
      <c r="E27" s="9" t="s">
        <v>291</v>
      </c>
      <c r="F27" s="9" t="s">
        <v>292</v>
      </c>
      <c r="G27" s="9" t="s">
        <v>293</v>
      </c>
      <c r="H27" s="9" t="s">
        <v>294</v>
      </c>
      <c r="I27" s="9" t="s">
        <v>295</v>
      </c>
      <c r="J27" s="9" t="s">
        <v>296</v>
      </c>
      <c r="K27" s="9" t="s">
        <v>297</v>
      </c>
    </row>
    <row r="28" spans="1:11" ht="15.6" x14ac:dyDescent="0.25">
      <c r="A28" s="6" t="s">
        <v>298</v>
      </c>
      <c r="B28" s="7">
        <v>58</v>
      </c>
      <c r="C28" s="7" t="s">
        <v>135</v>
      </c>
      <c r="D28" s="7" t="s">
        <v>299</v>
      </c>
      <c r="E28" s="7" t="s">
        <v>300</v>
      </c>
      <c r="F28" s="7" t="s">
        <v>292</v>
      </c>
      <c r="G28" s="7" t="s">
        <v>301</v>
      </c>
      <c r="H28" s="7" t="s">
        <v>283</v>
      </c>
      <c r="I28" s="7" t="s">
        <v>302</v>
      </c>
      <c r="J28" s="7" t="s">
        <v>303</v>
      </c>
      <c r="K28" s="7" t="s">
        <v>304</v>
      </c>
    </row>
    <row r="29" spans="1:11" ht="15.6" x14ac:dyDescent="0.25">
      <c r="A29" s="8" t="s">
        <v>305</v>
      </c>
      <c r="B29" s="9">
        <v>49</v>
      </c>
      <c r="C29" s="9" t="s">
        <v>198</v>
      </c>
      <c r="D29" s="9" t="s">
        <v>306</v>
      </c>
      <c r="E29" s="9" t="s">
        <v>307</v>
      </c>
      <c r="F29" s="9" t="s">
        <v>308</v>
      </c>
      <c r="G29" s="9" t="s">
        <v>309</v>
      </c>
      <c r="H29" s="9" t="s">
        <v>128</v>
      </c>
      <c r="I29" s="9" t="s">
        <v>310</v>
      </c>
      <c r="J29" s="9" t="s">
        <v>311</v>
      </c>
      <c r="K29" s="9" t="s">
        <v>312</v>
      </c>
    </row>
    <row r="30" spans="1:11" ht="15.6" x14ac:dyDescent="0.25">
      <c r="A30" s="6" t="s">
        <v>313</v>
      </c>
      <c r="B30" s="7">
        <v>24</v>
      </c>
      <c r="C30" s="7" t="s">
        <v>314</v>
      </c>
      <c r="D30" s="7" t="s">
        <v>315</v>
      </c>
      <c r="E30" s="7" t="s">
        <v>316</v>
      </c>
      <c r="F30" s="7" t="s">
        <v>258</v>
      </c>
      <c r="G30" s="7" t="s">
        <v>317</v>
      </c>
      <c r="H30" s="7" t="s">
        <v>135</v>
      </c>
      <c r="I30" s="7" t="s">
        <v>318</v>
      </c>
      <c r="J30" s="7" t="s">
        <v>319</v>
      </c>
      <c r="K30" s="7" t="s">
        <v>320</v>
      </c>
    </row>
    <row r="31" spans="1:11" ht="15.6" x14ac:dyDescent="0.25">
      <c r="A31" s="8" t="s">
        <v>321</v>
      </c>
      <c r="B31" s="9">
        <v>459</v>
      </c>
      <c r="C31" s="9" t="s">
        <v>322</v>
      </c>
      <c r="D31" s="9" t="s">
        <v>323</v>
      </c>
      <c r="E31" s="9" t="s">
        <v>324</v>
      </c>
      <c r="F31" s="9" t="s">
        <v>325</v>
      </c>
      <c r="G31" s="9" t="s">
        <v>326</v>
      </c>
      <c r="H31" s="9" t="s">
        <v>327</v>
      </c>
      <c r="I31" s="9" t="s">
        <v>328</v>
      </c>
      <c r="J31" s="9" t="s">
        <v>329</v>
      </c>
      <c r="K31" s="9" t="s">
        <v>330</v>
      </c>
    </row>
    <row r="32" spans="1:11" ht="15.6" x14ac:dyDescent="0.25">
      <c r="A32" s="6" t="s">
        <v>331</v>
      </c>
      <c r="B32" s="7">
        <v>185</v>
      </c>
      <c r="C32" s="7" t="s">
        <v>332</v>
      </c>
      <c r="D32" s="7" t="s">
        <v>333</v>
      </c>
      <c r="E32" s="7" t="s">
        <v>334</v>
      </c>
      <c r="F32" s="7" t="s">
        <v>335</v>
      </c>
      <c r="G32" s="7" t="s">
        <v>336</v>
      </c>
      <c r="H32" s="7" t="s">
        <v>337</v>
      </c>
      <c r="I32" s="7" t="s">
        <v>338</v>
      </c>
      <c r="J32" s="7" t="s">
        <v>339</v>
      </c>
      <c r="K32" s="7" t="s">
        <v>340</v>
      </c>
    </row>
    <row r="33" spans="1:11" ht="15.6" x14ac:dyDescent="0.25">
      <c r="A33" s="8" t="s">
        <v>341</v>
      </c>
      <c r="B33" s="9">
        <v>34</v>
      </c>
      <c r="C33" s="9" t="s">
        <v>115</v>
      </c>
      <c r="D33" s="9" t="s">
        <v>342</v>
      </c>
      <c r="E33" s="9" t="s">
        <v>343</v>
      </c>
      <c r="F33" s="9" t="s">
        <v>292</v>
      </c>
      <c r="G33" s="9" t="s">
        <v>344</v>
      </c>
      <c r="H33" s="9" t="s">
        <v>258</v>
      </c>
      <c r="I33" s="9" t="s">
        <v>345</v>
      </c>
      <c r="J33" s="9" t="s">
        <v>346</v>
      </c>
      <c r="K33" s="9" t="s">
        <v>347</v>
      </c>
    </row>
    <row r="34" spans="1:11" ht="15.6" x14ac:dyDescent="0.25">
      <c r="A34" s="6" t="s">
        <v>348</v>
      </c>
      <c r="B34" s="7">
        <v>118</v>
      </c>
      <c r="C34" s="7" t="s">
        <v>125</v>
      </c>
      <c r="D34" s="7" t="s">
        <v>349</v>
      </c>
      <c r="E34" s="7" t="s">
        <v>350</v>
      </c>
      <c r="F34" s="7" t="s">
        <v>241</v>
      </c>
      <c r="G34" s="7" t="s">
        <v>293</v>
      </c>
      <c r="H34" s="7" t="s">
        <v>145</v>
      </c>
      <c r="I34" s="7" t="s">
        <v>351</v>
      </c>
      <c r="J34" s="7" t="s">
        <v>352</v>
      </c>
      <c r="K34" s="7" t="s">
        <v>353</v>
      </c>
    </row>
    <row r="35" spans="1:11" ht="15.6" x14ac:dyDescent="0.25">
      <c r="A35" s="8" t="s">
        <v>354</v>
      </c>
      <c r="B35" s="9">
        <v>24</v>
      </c>
      <c r="C35" s="9" t="s">
        <v>335</v>
      </c>
      <c r="D35" s="9" t="s">
        <v>355</v>
      </c>
      <c r="E35" s="9" t="s">
        <v>356</v>
      </c>
      <c r="F35" s="9" t="s">
        <v>165</v>
      </c>
      <c r="G35" s="9" t="s">
        <v>357</v>
      </c>
      <c r="H35" s="9" t="s">
        <v>125</v>
      </c>
      <c r="I35" s="9" t="s">
        <v>358</v>
      </c>
      <c r="J35" s="9" t="s">
        <v>359</v>
      </c>
      <c r="K35" s="9" t="s">
        <v>360</v>
      </c>
    </row>
    <row r="36" spans="1:11" ht="15.6" x14ac:dyDescent="0.25">
      <c r="A36" s="6" t="s">
        <v>361</v>
      </c>
      <c r="B36" s="7">
        <v>167</v>
      </c>
      <c r="C36" s="7" t="s">
        <v>294</v>
      </c>
      <c r="D36" s="7" t="s">
        <v>362</v>
      </c>
      <c r="E36" s="7" t="s">
        <v>363</v>
      </c>
      <c r="F36" s="7" t="s">
        <v>364</v>
      </c>
      <c r="G36" s="7" t="s">
        <v>365</v>
      </c>
      <c r="H36" s="7" t="s">
        <v>256</v>
      </c>
      <c r="I36" s="7" t="s">
        <v>366</v>
      </c>
      <c r="J36" s="7" t="s">
        <v>367</v>
      </c>
      <c r="K36" s="7" t="s">
        <v>368</v>
      </c>
    </row>
    <row r="37" spans="1:11" ht="15.6" x14ac:dyDescent="0.25">
      <c r="A37" s="8" t="s">
        <v>369</v>
      </c>
      <c r="B37" s="9">
        <v>49</v>
      </c>
      <c r="C37" s="9" t="s">
        <v>370</v>
      </c>
      <c r="D37" s="9" t="s">
        <v>371</v>
      </c>
      <c r="E37" s="9" t="s">
        <v>372</v>
      </c>
      <c r="F37" s="9" t="s">
        <v>165</v>
      </c>
      <c r="G37" s="9" t="s">
        <v>373</v>
      </c>
      <c r="H37" s="9" t="s">
        <v>337</v>
      </c>
      <c r="I37" s="9" t="s">
        <v>374</v>
      </c>
      <c r="J37" s="9" t="s">
        <v>375</v>
      </c>
      <c r="K37" s="9" t="s">
        <v>376</v>
      </c>
    </row>
    <row r="38" spans="1:11" ht="15.6" x14ac:dyDescent="0.25">
      <c r="A38" s="6" t="s">
        <v>377</v>
      </c>
      <c r="B38" s="7">
        <v>90</v>
      </c>
      <c r="C38" s="7" t="s">
        <v>115</v>
      </c>
      <c r="D38" s="7" t="s">
        <v>378</v>
      </c>
      <c r="E38" s="7" t="s">
        <v>379</v>
      </c>
      <c r="F38" s="7" t="s">
        <v>169</v>
      </c>
      <c r="G38" s="7" t="s">
        <v>380</v>
      </c>
      <c r="H38" s="7" t="s">
        <v>258</v>
      </c>
      <c r="I38" s="7" t="s">
        <v>381</v>
      </c>
      <c r="J38" s="7" t="s">
        <v>382</v>
      </c>
      <c r="K38" s="7" t="s">
        <v>383</v>
      </c>
    </row>
    <row r="39" spans="1:11" ht="15.6" x14ac:dyDescent="0.25">
      <c r="A39" s="8" t="s">
        <v>384</v>
      </c>
      <c r="B39" s="9">
        <v>87</v>
      </c>
      <c r="C39" s="9" t="s">
        <v>385</v>
      </c>
      <c r="D39" s="9" t="s">
        <v>386</v>
      </c>
      <c r="E39" s="9" t="s">
        <v>387</v>
      </c>
      <c r="F39" s="9" t="s">
        <v>388</v>
      </c>
      <c r="G39" s="9" t="s">
        <v>389</v>
      </c>
      <c r="H39" s="9" t="s">
        <v>203</v>
      </c>
      <c r="I39" s="9" t="s">
        <v>390</v>
      </c>
      <c r="J39" s="9" t="s">
        <v>391</v>
      </c>
      <c r="K39" s="9" t="s">
        <v>392</v>
      </c>
    </row>
    <row r="40" spans="1:11" ht="15.6" x14ac:dyDescent="0.25">
      <c r="A40" s="6" t="s">
        <v>393</v>
      </c>
      <c r="B40" s="7">
        <v>34</v>
      </c>
      <c r="C40" s="7" t="s">
        <v>118</v>
      </c>
      <c r="D40" s="7" t="s">
        <v>394</v>
      </c>
      <c r="E40" s="7" t="s">
        <v>395</v>
      </c>
      <c r="F40" s="7" t="s">
        <v>396</v>
      </c>
      <c r="G40" s="7" t="s">
        <v>397</v>
      </c>
      <c r="H40" s="7" t="s">
        <v>158</v>
      </c>
      <c r="I40" s="7" t="s">
        <v>398</v>
      </c>
      <c r="J40" s="7" t="s">
        <v>399</v>
      </c>
      <c r="K40" s="7" t="s">
        <v>400</v>
      </c>
    </row>
    <row r="41" spans="1:11" ht="15.6" x14ac:dyDescent="0.25">
      <c r="A41" s="8" t="s">
        <v>401</v>
      </c>
      <c r="B41" s="9">
        <v>264</v>
      </c>
      <c r="C41" s="9" t="s">
        <v>402</v>
      </c>
      <c r="D41" s="9" t="s">
        <v>403</v>
      </c>
      <c r="E41" s="9" t="s">
        <v>404</v>
      </c>
      <c r="F41" s="9" t="s">
        <v>405</v>
      </c>
      <c r="G41" s="9" t="s">
        <v>406</v>
      </c>
      <c r="H41" s="9" t="s">
        <v>405</v>
      </c>
      <c r="I41" s="9" t="s">
        <v>407</v>
      </c>
      <c r="J41" s="9" t="s">
        <v>408</v>
      </c>
      <c r="K41" s="9" t="s">
        <v>409</v>
      </c>
    </row>
    <row r="42" spans="1:11" ht="15.6" x14ac:dyDescent="0.25">
      <c r="A42" s="6" t="s">
        <v>410</v>
      </c>
      <c r="B42" s="7">
        <v>87</v>
      </c>
      <c r="C42" s="7" t="s">
        <v>411</v>
      </c>
      <c r="D42" s="7" t="s">
        <v>412</v>
      </c>
      <c r="E42" s="7" t="s">
        <v>413</v>
      </c>
      <c r="F42" s="7" t="s">
        <v>414</v>
      </c>
      <c r="G42" s="7" t="s">
        <v>415</v>
      </c>
      <c r="H42" s="7" t="s">
        <v>158</v>
      </c>
      <c r="I42" s="7" t="s">
        <v>416</v>
      </c>
      <c r="J42" s="7" t="s">
        <v>417</v>
      </c>
      <c r="K42" s="7" t="s">
        <v>418</v>
      </c>
    </row>
    <row r="43" spans="1:11" ht="15.6" x14ac:dyDescent="0.25">
      <c r="A43" s="8" t="s">
        <v>419</v>
      </c>
      <c r="B43" s="9">
        <v>15</v>
      </c>
      <c r="C43" s="9" t="s">
        <v>268</v>
      </c>
      <c r="D43" s="9" t="s">
        <v>420</v>
      </c>
      <c r="E43" s="9" t="s">
        <v>421</v>
      </c>
      <c r="F43" s="9" t="s">
        <v>422</v>
      </c>
      <c r="G43" s="9" t="s">
        <v>423</v>
      </c>
      <c r="H43" s="9" t="s">
        <v>424</v>
      </c>
      <c r="I43" s="9" t="s">
        <v>425</v>
      </c>
      <c r="J43" s="9" t="s">
        <v>426</v>
      </c>
      <c r="K43" s="9" t="s">
        <v>427</v>
      </c>
    </row>
    <row r="44" spans="1:11" ht="15.6" x14ac:dyDescent="0.25">
      <c r="A44" s="6" t="s">
        <v>428</v>
      </c>
      <c r="B44" s="7">
        <v>31</v>
      </c>
      <c r="C44" s="7" t="s">
        <v>429</v>
      </c>
      <c r="D44" s="7" t="s">
        <v>430</v>
      </c>
      <c r="E44" s="7" t="s">
        <v>431</v>
      </c>
      <c r="F44" s="7" t="s">
        <v>216</v>
      </c>
      <c r="G44" s="7" t="s">
        <v>432</v>
      </c>
      <c r="H44" s="7" t="s">
        <v>140</v>
      </c>
      <c r="I44" s="7" t="s">
        <v>433</v>
      </c>
      <c r="J44" s="7" t="s">
        <v>434</v>
      </c>
      <c r="K44" s="7" t="s">
        <v>435</v>
      </c>
    </row>
    <row r="45" spans="1:11" ht="15.6" x14ac:dyDescent="0.25">
      <c r="A45" s="8" t="s">
        <v>436</v>
      </c>
      <c r="B45" s="9">
        <v>22</v>
      </c>
      <c r="C45" s="9" t="s">
        <v>155</v>
      </c>
      <c r="D45" s="9" t="s">
        <v>437</v>
      </c>
      <c r="E45" s="9" t="s">
        <v>438</v>
      </c>
      <c r="F45" s="9" t="s">
        <v>388</v>
      </c>
      <c r="G45" s="9" t="s">
        <v>439</v>
      </c>
      <c r="H45" s="9" t="s">
        <v>440</v>
      </c>
      <c r="I45" s="9" t="s">
        <v>441</v>
      </c>
      <c r="J45" s="9" t="s">
        <v>442</v>
      </c>
      <c r="K45" s="9" t="s">
        <v>443</v>
      </c>
    </row>
    <row r="46" spans="1:11" ht="15.6" x14ac:dyDescent="0.25">
      <c r="A46" s="6" t="s">
        <v>444</v>
      </c>
      <c r="B46" s="7">
        <v>251</v>
      </c>
      <c r="C46" s="7" t="s">
        <v>294</v>
      </c>
      <c r="D46" s="7" t="s">
        <v>445</v>
      </c>
      <c r="E46" s="7" t="s">
        <v>446</v>
      </c>
      <c r="F46" s="7" t="s">
        <v>447</v>
      </c>
      <c r="G46" s="7" t="s">
        <v>448</v>
      </c>
      <c r="H46" s="7" t="s">
        <v>292</v>
      </c>
      <c r="I46" s="7" t="s">
        <v>449</v>
      </c>
      <c r="J46" s="7" t="s">
        <v>450</v>
      </c>
      <c r="K46" s="7" t="s">
        <v>451</v>
      </c>
    </row>
    <row r="47" spans="1:11" ht="15.6" x14ac:dyDescent="0.25">
      <c r="A47" s="8" t="s">
        <v>452</v>
      </c>
      <c r="B47" s="9">
        <v>115</v>
      </c>
      <c r="C47" s="9" t="s">
        <v>308</v>
      </c>
      <c r="D47" s="9" t="s">
        <v>453</v>
      </c>
      <c r="E47" s="9" t="s">
        <v>454</v>
      </c>
      <c r="F47" s="9" t="s">
        <v>455</v>
      </c>
      <c r="G47" s="9" t="s">
        <v>456</v>
      </c>
      <c r="H47" s="9" t="s">
        <v>457</v>
      </c>
      <c r="I47" s="9" t="s">
        <v>458</v>
      </c>
      <c r="J47" s="9" t="s">
        <v>459</v>
      </c>
      <c r="K47" s="9" t="s">
        <v>460</v>
      </c>
    </row>
    <row r="48" spans="1:11" ht="15.6" x14ac:dyDescent="0.25">
      <c r="A48" s="6" t="s">
        <v>461</v>
      </c>
      <c r="B48" s="7">
        <v>112</v>
      </c>
      <c r="C48" s="7" t="s">
        <v>462</v>
      </c>
      <c r="D48" s="7" t="s">
        <v>463</v>
      </c>
      <c r="E48" s="7" t="s">
        <v>464</v>
      </c>
      <c r="F48" s="7" t="s">
        <v>150</v>
      </c>
      <c r="G48" s="7" t="s">
        <v>465</v>
      </c>
      <c r="H48" s="7" t="s">
        <v>385</v>
      </c>
      <c r="I48" s="7" t="s">
        <v>466</v>
      </c>
      <c r="J48" s="7" t="s">
        <v>467</v>
      </c>
      <c r="K48" s="7" t="s">
        <v>468</v>
      </c>
    </row>
    <row r="49" spans="1:11" ht="15.6" x14ac:dyDescent="0.25">
      <c r="A49" s="8" t="s">
        <v>469</v>
      </c>
      <c r="B49" s="9">
        <v>32</v>
      </c>
      <c r="C49" s="9" t="s">
        <v>196</v>
      </c>
      <c r="D49" s="9" t="s">
        <v>470</v>
      </c>
      <c r="E49" s="9" t="s">
        <v>471</v>
      </c>
      <c r="F49" s="9" t="s">
        <v>150</v>
      </c>
      <c r="G49" s="9" t="s">
        <v>472</v>
      </c>
      <c r="H49" s="9" t="s">
        <v>292</v>
      </c>
      <c r="I49" s="9" t="s">
        <v>473</v>
      </c>
      <c r="J49" s="9" t="s">
        <v>474</v>
      </c>
      <c r="K49" s="9" t="s">
        <v>475</v>
      </c>
    </row>
    <row r="50" spans="1:11" s="18" customFormat="1" ht="15.6" x14ac:dyDescent="0.25">
      <c r="A50" s="16" t="s">
        <v>476</v>
      </c>
      <c r="B50" s="17">
        <v>35</v>
      </c>
      <c r="C50" s="17" t="s">
        <v>477</v>
      </c>
      <c r="D50" s="17" t="s">
        <v>478</v>
      </c>
      <c r="E50" s="17" t="s">
        <v>479</v>
      </c>
      <c r="F50" s="17">
        <v>0.5</v>
      </c>
      <c r="G50" s="17" t="s">
        <v>480</v>
      </c>
      <c r="H50" s="17" t="s">
        <v>481</v>
      </c>
      <c r="I50" s="17" t="s">
        <v>482</v>
      </c>
      <c r="J50" s="17" t="s">
        <v>483</v>
      </c>
      <c r="K50" s="17" t="s">
        <v>484</v>
      </c>
    </row>
    <row r="51" spans="1:11" ht="15.6" x14ac:dyDescent="0.25">
      <c r="A51" s="8" t="s">
        <v>485</v>
      </c>
      <c r="B51" s="9">
        <v>70</v>
      </c>
      <c r="C51" s="9" t="s">
        <v>294</v>
      </c>
      <c r="D51" s="9" t="s">
        <v>486</v>
      </c>
      <c r="E51" s="9" t="s">
        <v>487</v>
      </c>
      <c r="F51" s="9" t="s">
        <v>440</v>
      </c>
      <c r="G51" s="9" t="s">
        <v>432</v>
      </c>
      <c r="H51" s="9" t="s">
        <v>118</v>
      </c>
      <c r="I51" s="9" t="s">
        <v>488</v>
      </c>
      <c r="J51" s="9" t="s">
        <v>489</v>
      </c>
      <c r="K51" s="9" t="s">
        <v>490</v>
      </c>
    </row>
    <row r="52" spans="1:11" ht="15.6" x14ac:dyDescent="0.25">
      <c r="A52" s="6" t="s">
        <v>491</v>
      </c>
      <c r="B52" s="7">
        <v>131</v>
      </c>
      <c r="C52" s="7" t="s">
        <v>492</v>
      </c>
      <c r="D52" s="7" t="s">
        <v>493</v>
      </c>
      <c r="E52" s="7" t="s">
        <v>494</v>
      </c>
      <c r="F52" s="7" t="s">
        <v>495</v>
      </c>
      <c r="G52" s="7" t="s">
        <v>496</v>
      </c>
      <c r="H52" s="7" t="s">
        <v>385</v>
      </c>
      <c r="I52" s="7" t="s">
        <v>497</v>
      </c>
      <c r="J52" s="7" t="s">
        <v>498</v>
      </c>
      <c r="K52" s="7" t="s">
        <v>499</v>
      </c>
    </row>
    <row r="53" spans="1:11" ht="15.6" x14ac:dyDescent="0.25">
      <c r="A53" s="8" t="s">
        <v>500</v>
      </c>
      <c r="B53" s="9">
        <v>61</v>
      </c>
      <c r="C53" s="9" t="s">
        <v>385</v>
      </c>
      <c r="D53" s="9" t="s">
        <v>501</v>
      </c>
      <c r="E53" s="9" t="s">
        <v>427</v>
      </c>
      <c r="F53" s="9" t="s">
        <v>429</v>
      </c>
      <c r="G53" s="9" t="s">
        <v>502</v>
      </c>
      <c r="H53" s="9" t="s">
        <v>457</v>
      </c>
      <c r="I53" s="9" t="s">
        <v>503</v>
      </c>
      <c r="J53" s="9" t="s">
        <v>504</v>
      </c>
      <c r="K53" s="9" t="s">
        <v>505</v>
      </c>
    </row>
    <row r="54" spans="1:11" ht="15.6" x14ac:dyDescent="0.25">
      <c r="A54" s="6" t="s">
        <v>506</v>
      </c>
      <c r="B54" s="7">
        <v>21</v>
      </c>
      <c r="C54" s="7" t="s">
        <v>120</v>
      </c>
      <c r="D54" s="7" t="s">
        <v>507</v>
      </c>
      <c r="E54" s="7" t="s">
        <v>508</v>
      </c>
      <c r="F54" s="7" t="s">
        <v>402</v>
      </c>
      <c r="G54" s="7" t="s">
        <v>509</v>
      </c>
      <c r="H54" s="7" t="s">
        <v>208</v>
      </c>
      <c r="I54" s="7" t="s">
        <v>510</v>
      </c>
      <c r="J54" s="7" t="s">
        <v>511</v>
      </c>
      <c r="K54" s="7" t="s">
        <v>512</v>
      </c>
    </row>
    <row r="55" spans="1:11" ht="15.6" x14ac:dyDescent="0.25">
      <c r="A55" s="8" t="s">
        <v>513</v>
      </c>
      <c r="B55" s="9">
        <v>25</v>
      </c>
      <c r="C55" s="9" t="s">
        <v>135</v>
      </c>
      <c r="D55" s="9" t="s">
        <v>514</v>
      </c>
      <c r="E55" s="9" t="s">
        <v>515</v>
      </c>
      <c r="F55" s="9" t="s">
        <v>203</v>
      </c>
      <c r="G55" s="9" t="s">
        <v>516</v>
      </c>
      <c r="H55" s="9" t="s">
        <v>148</v>
      </c>
      <c r="I55" s="9" t="s">
        <v>517</v>
      </c>
      <c r="J55" s="9" t="s">
        <v>518</v>
      </c>
      <c r="K55" s="9" t="s">
        <v>519</v>
      </c>
    </row>
    <row r="56" spans="1:11" ht="15.6" x14ac:dyDescent="0.25">
      <c r="A56" s="6" t="s">
        <v>520</v>
      </c>
      <c r="B56" s="7">
        <v>50</v>
      </c>
      <c r="C56" s="7" t="s">
        <v>364</v>
      </c>
      <c r="D56" s="7" t="s">
        <v>521</v>
      </c>
      <c r="E56" s="7" t="s">
        <v>522</v>
      </c>
      <c r="F56" s="7" t="s">
        <v>203</v>
      </c>
      <c r="G56" s="7" t="s">
        <v>523</v>
      </c>
      <c r="H56" s="7" t="s">
        <v>524</v>
      </c>
      <c r="I56" s="7" t="s">
        <v>525</v>
      </c>
      <c r="J56" s="7" t="s">
        <v>526</v>
      </c>
      <c r="K56" s="7" t="s">
        <v>527</v>
      </c>
    </row>
    <row r="57" spans="1:11" ht="15.6" x14ac:dyDescent="0.25">
      <c r="A57" s="8" t="s">
        <v>528</v>
      </c>
      <c r="B57" s="9">
        <v>165</v>
      </c>
      <c r="C57" s="9" t="s">
        <v>130</v>
      </c>
      <c r="D57" s="9" t="s">
        <v>529</v>
      </c>
      <c r="E57" s="9" t="s">
        <v>530</v>
      </c>
      <c r="F57" s="9" t="s">
        <v>531</v>
      </c>
      <c r="G57" s="9" t="s">
        <v>532</v>
      </c>
      <c r="H57" s="9" t="s">
        <v>533</v>
      </c>
      <c r="I57" s="9" t="s">
        <v>534</v>
      </c>
      <c r="J57" s="9" t="s">
        <v>535</v>
      </c>
      <c r="K57" s="9" t="s">
        <v>536</v>
      </c>
    </row>
    <row r="58" spans="1:11" ht="15.6" x14ac:dyDescent="0.25">
      <c r="A58" s="6" t="s">
        <v>537</v>
      </c>
      <c r="B58" s="7">
        <v>126</v>
      </c>
      <c r="C58" s="7" t="s">
        <v>115</v>
      </c>
      <c r="D58" s="7" t="s">
        <v>538</v>
      </c>
      <c r="E58" s="7" t="s">
        <v>539</v>
      </c>
      <c r="F58" s="7" t="s">
        <v>492</v>
      </c>
      <c r="G58" s="7" t="s">
        <v>540</v>
      </c>
      <c r="H58" s="7" t="s">
        <v>165</v>
      </c>
      <c r="I58" s="7" t="s">
        <v>541</v>
      </c>
      <c r="J58" s="7" t="s">
        <v>542</v>
      </c>
      <c r="K58" s="7" t="s">
        <v>543</v>
      </c>
    </row>
    <row r="59" spans="1:11" ht="15.6" x14ac:dyDescent="0.25">
      <c r="A59" s="8" t="s">
        <v>544</v>
      </c>
      <c r="B59" s="9">
        <v>102</v>
      </c>
      <c r="C59" s="9" t="s">
        <v>289</v>
      </c>
      <c r="D59" s="9" t="s">
        <v>545</v>
      </c>
      <c r="E59" s="9" t="s">
        <v>546</v>
      </c>
      <c r="F59" s="9" t="s">
        <v>308</v>
      </c>
      <c r="G59" s="9" t="s">
        <v>547</v>
      </c>
      <c r="H59" s="9" t="s">
        <v>258</v>
      </c>
      <c r="I59" s="9" t="s">
        <v>548</v>
      </c>
      <c r="J59" s="9" t="s">
        <v>549</v>
      </c>
      <c r="K59" s="9" t="s">
        <v>550</v>
      </c>
    </row>
    <row r="60" spans="1:11" ht="15.6" x14ac:dyDescent="0.25">
      <c r="A60" s="6" t="s">
        <v>551</v>
      </c>
      <c r="B60" s="7">
        <v>24</v>
      </c>
      <c r="C60" s="7" t="s">
        <v>552</v>
      </c>
      <c r="D60" s="7" t="s">
        <v>553</v>
      </c>
      <c r="E60" s="7" t="s">
        <v>554</v>
      </c>
      <c r="F60" s="7" t="s">
        <v>130</v>
      </c>
      <c r="G60" s="7" t="s">
        <v>555</v>
      </c>
      <c r="H60" s="7" t="s">
        <v>289</v>
      </c>
      <c r="I60" s="7" t="s">
        <v>556</v>
      </c>
      <c r="J60" s="7" t="s">
        <v>557</v>
      </c>
      <c r="K60" s="7" t="s">
        <v>558</v>
      </c>
    </row>
    <row r="61" spans="1:11" ht="15.6" x14ac:dyDescent="0.25">
      <c r="A61" s="8" t="s">
        <v>559</v>
      </c>
      <c r="B61" s="9">
        <v>5</v>
      </c>
      <c r="C61" s="9" t="s">
        <v>552</v>
      </c>
      <c r="D61" s="9" t="s">
        <v>560</v>
      </c>
      <c r="E61" s="9" t="s">
        <v>561</v>
      </c>
      <c r="F61" s="9" t="s">
        <v>562</v>
      </c>
      <c r="G61" s="9" t="s">
        <v>563</v>
      </c>
      <c r="H61" s="9" t="s">
        <v>280</v>
      </c>
      <c r="I61" s="9" t="s">
        <v>564</v>
      </c>
      <c r="J61" s="9" t="s">
        <v>565</v>
      </c>
      <c r="K61" s="9" t="s">
        <v>566</v>
      </c>
    </row>
    <row r="62" spans="1:11" ht="15.6" x14ac:dyDescent="0.25">
      <c r="A62" s="6" t="s">
        <v>567</v>
      </c>
      <c r="B62" s="7">
        <v>311</v>
      </c>
      <c r="C62" s="7" t="s">
        <v>568</v>
      </c>
      <c r="D62" s="7" t="s">
        <v>569</v>
      </c>
      <c r="E62" s="7" t="s">
        <v>570</v>
      </c>
      <c r="F62" s="7" t="s">
        <v>128</v>
      </c>
      <c r="G62" s="7" t="s">
        <v>571</v>
      </c>
      <c r="H62" s="7" t="s">
        <v>492</v>
      </c>
      <c r="I62" s="7" t="s">
        <v>572</v>
      </c>
      <c r="J62" s="7" t="s">
        <v>573</v>
      </c>
      <c r="K62" s="7" t="s">
        <v>574</v>
      </c>
    </row>
    <row r="63" spans="1:11" ht="15.6" x14ac:dyDescent="0.25">
      <c r="A63" s="8" t="s">
        <v>575</v>
      </c>
      <c r="B63" s="9">
        <v>16</v>
      </c>
      <c r="C63" s="9" t="s">
        <v>332</v>
      </c>
      <c r="D63" s="9" t="s">
        <v>576</v>
      </c>
      <c r="E63" s="9" t="s">
        <v>577</v>
      </c>
      <c r="F63" s="9" t="s">
        <v>578</v>
      </c>
      <c r="G63" s="9" t="s">
        <v>579</v>
      </c>
      <c r="H63" s="9" t="s">
        <v>440</v>
      </c>
      <c r="I63" s="9" t="s">
        <v>580</v>
      </c>
      <c r="J63" s="9" t="s">
        <v>581</v>
      </c>
      <c r="K63" s="9" t="s">
        <v>582</v>
      </c>
    </row>
    <row r="64" spans="1:11" ht="15.6" x14ac:dyDescent="0.25">
      <c r="A64" s="6" t="s">
        <v>583</v>
      </c>
      <c r="B64" s="7">
        <v>130</v>
      </c>
      <c r="C64" s="7" t="s">
        <v>562</v>
      </c>
      <c r="D64" s="7" t="s">
        <v>584</v>
      </c>
      <c r="E64" s="7" t="s">
        <v>326</v>
      </c>
      <c r="F64" s="7" t="s">
        <v>130</v>
      </c>
      <c r="G64" s="7" t="s">
        <v>585</v>
      </c>
      <c r="H64" s="7" t="s">
        <v>586</v>
      </c>
      <c r="I64" s="7" t="s">
        <v>587</v>
      </c>
      <c r="J64" s="7" t="s">
        <v>588</v>
      </c>
      <c r="K64" s="7" t="s">
        <v>589</v>
      </c>
    </row>
    <row r="65" spans="1:11" ht="15.6" x14ac:dyDescent="0.25">
      <c r="A65" s="8" t="s">
        <v>590</v>
      </c>
      <c r="B65" s="9">
        <v>25</v>
      </c>
      <c r="C65" s="9" t="s">
        <v>118</v>
      </c>
      <c r="D65" s="9" t="s">
        <v>591</v>
      </c>
      <c r="E65" s="9" t="s">
        <v>592</v>
      </c>
      <c r="F65" s="9" t="s">
        <v>593</v>
      </c>
      <c r="G65" s="9" t="s">
        <v>594</v>
      </c>
      <c r="H65" s="9" t="s">
        <v>414</v>
      </c>
      <c r="I65" s="9" t="s">
        <v>595</v>
      </c>
      <c r="J65" s="9" t="s">
        <v>596</v>
      </c>
      <c r="K65" s="9" t="s">
        <v>597</v>
      </c>
    </row>
    <row r="66" spans="1:11" ht="15.6" x14ac:dyDescent="0.25">
      <c r="A66" s="6" t="s">
        <v>598</v>
      </c>
      <c r="B66" s="7">
        <v>21</v>
      </c>
      <c r="C66" s="7" t="s">
        <v>155</v>
      </c>
      <c r="D66" s="7" t="s">
        <v>599</v>
      </c>
      <c r="E66" s="7" t="s">
        <v>600</v>
      </c>
      <c r="F66" s="7" t="s">
        <v>169</v>
      </c>
      <c r="G66" s="7" t="s">
        <v>601</v>
      </c>
      <c r="H66" s="7" t="s">
        <v>462</v>
      </c>
      <c r="I66" s="7" t="s">
        <v>602</v>
      </c>
      <c r="J66" s="7" t="s">
        <v>603</v>
      </c>
      <c r="K66" s="7" t="s">
        <v>604</v>
      </c>
    </row>
    <row r="67" spans="1:11" ht="15.6" x14ac:dyDescent="0.25">
      <c r="A67" s="8" t="s">
        <v>605</v>
      </c>
      <c r="B67" s="9">
        <v>61</v>
      </c>
      <c r="C67" s="9" t="s">
        <v>184</v>
      </c>
      <c r="D67" s="9" t="s">
        <v>606</v>
      </c>
      <c r="E67" s="9" t="s">
        <v>607</v>
      </c>
      <c r="F67" s="9" t="s">
        <v>179</v>
      </c>
      <c r="G67" s="9" t="s">
        <v>480</v>
      </c>
      <c r="H67" s="9" t="s">
        <v>179</v>
      </c>
      <c r="I67" s="9" t="s">
        <v>608</v>
      </c>
      <c r="J67" s="9" t="s">
        <v>609</v>
      </c>
      <c r="K67" s="9" t="s">
        <v>610</v>
      </c>
    </row>
    <row r="68" spans="1:11" ht="15.6" x14ac:dyDescent="0.25">
      <c r="A68" s="6" t="s">
        <v>611</v>
      </c>
      <c r="B68" s="7">
        <v>111</v>
      </c>
      <c r="C68" s="7" t="s">
        <v>258</v>
      </c>
      <c r="D68" s="7" t="s">
        <v>612</v>
      </c>
      <c r="E68" s="7" t="s">
        <v>613</v>
      </c>
      <c r="F68" s="7" t="s">
        <v>150</v>
      </c>
      <c r="G68" s="7" t="s">
        <v>614</v>
      </c>
      <c r="H68" s="7" t="s">
        <v>128</v>
      </c>
      <c r="I68" s="7" t="s">
        <v>615</v>
      </c>
      <c r="J68" s="7" t="s">
        <v>616</v>
      </c>
      <c r="K68" s="7" t="s">
        <v>617</v>
      </c>
    </row>
    <row r="69" spans="1:11" ht="15.6" x14ac:dyDescent="0.25">
      <c r="A69" s="8" t="s">
        <v>618</v>
      </c>
      <c r="B69" s="9">
        <v>41</v>
      </c>
      <c r="C69" s="9" t="s">
        <v>145</v>
      </c>
      <c r="D69" s="9" t="s">
        <v>619</v>
      </c>
      <c r="E69" s="9" t="s">
        <v>620</v>
      </c>
      <c r="F69" s="9" t="s">
        <v>455</v>
      </c>
      <c r="G69" s="9" t="s">
        <v>621</v>
      </c>
      <c r="H69" s="9" t="s">
        <v>447</v>
      </c>
      <c r="I69" s="9" t="s">
        <v>622</v>
      </c>
      <c r="J69" s="9" t="s">
        <v>623</v>
      </c>
      <c r="K69" s="9" t="s">
        <v>624</v>
      </c>
    </row>
    <row r="70" spans="1:11" ht="15.6" x14ac:dyDescent="0.25">
      <c r="A70" s="6" t="s">
        <v>625</v>
      </c>
      <c r="B70" s="7">
        <v>244</v>
      </c>
      <c r="C70" s="7" t="s">
        <v>138</v>
      </c>
      <c r="D70" s="7" t="s">
        <v>626</v>
      </c>
      <c r="E70" s="7" t="s">
        <v>627</v>
      </c>
      <c r="F70" s="7" t="s">
        <v>628</v>
      </c>
      <c r="G70" s="7" t="s">
        <v>629</v>
      </c>
      <c r="H70" s="7" t="s">
        <v>630</v>
      </c>
      <c r="I70" s="7" t="s">
        <v>631</v>
      </c>
      <c r="J70" s="7" t="s">
        <v>632</v>
      </c>
      <c r="K70" s="7" t="s">
        <v>633</v>
      </c>
    </row>
    <row r="71" spans="1:11" ht="15.6" x14ac:dyDescent="0.25">
      <c r="A71" s="8" t="s">
        <v>634</v>
      </c>
      <c r="B71" s="9">
        <v>20</v>
      </c>
      <c r="C71" s="9" t="s">
        <v>531</v>
      </c>
      <c r="D71" s="9" t="s">
        <v>635</v>
      </c>
      <c r="E71" s="9" t="s">
        <v>119</v>
      </c>
      <c r="F71" s="9" t="s">
        <v>158</v>
      </c>
      <c r="G71" s="9" t="s">
        <v>636</v>
      </c>
      <c r="H71" s="9" t="s">
        <v>402</v>
      </c>
      <c r="I71" s="9" t="s">
        <v>637</v>
      </c>
      <c r="J71" s="9" t="s">
        <v>638</v>
      </c>
      <c r="K71" s="9" t="s">
        <v>639</v>
      </c>
    </row>
    <row r="72" spans="1:11" ht="15.6" x14ac:dyDescent="0.25">
      <c r="A72" s="6" t="s">
        <v>640</v>
      </c>
      <c r="B72" s="7">
        <v>10</v>
      </c>
      <c r="C72" s="7" t="s">
        <v>531</v>
      </c>
      <c r="D72" s="7" t="s">
        <v>641</v>
      </c>
      <c r="E72" s="7" t="s">
        <v>642</v>
      </c>
      <c r="F72" s="7" t="s">
        <v>208</v>
      </c>
      <c r="G72" s="7" t="s">
        <v>643</v>
      </c>
      <c r="H72" s="7" t="s">
        <v>524</v>
      </c>
      <c r="I72" s="7" t="s">
        <v>644</v>
      </c>
      <c r="J72" s="7" t="s">
        <v>645</v>
      </c>
      <c r="K72" s="7" t="s">
        <v>646</v>
      </c>
    </row>
    <row r="73" spans="1:11" ht="15.6" x14ac:dyDescent="0.25">
      <c r="A73" s="8" t="s">
        <v>647</v>
      </c>
      <c r="B73" s="9">
        <v>60</v>
      </c>
      <c r="C73" s="9" t="s">
        <v>145</v>
      </c>
      <c r="D73" s="9" t="s">
        <v>648</v>
      </c>
      <c r="E73" s="9" t="s">
        <v>649</v>
      </c>
      <c r="F73" s="9" t="s">
        <v>531</v>
      </c>
      <c r="G73" s="9" t="s">
        <v>650</v>
      </c>
      <c r="H73" s="9" t="s">
        <v>651</v>
      </c>
      <c r="I73" s="9" t="s">
        <v>652</v>
      </c>
      <c r="J73" s="9" t="s">
        <v>653</v>
      </c>
      <c r="K73" s="9" t="s">
        <v>654</v>
      </c>
    </row>
    <row r="74" spans="1:11" ht="15.6" x14ac:dyDescent="0.25">
      <c r="A74" s="6" t="s">
        <v>655</v>
      </c>
      <c r="B74" s="7">
        <v>70</v>
      </c>
      <c r="C74" s="7" t="s">
        <v>150</v>
      </c>
      <c r="D74" s="7" t="s">
        <v>656</v>
      </c>
      <c r="E74" s="7" t="s">
        <v>657</v>
      </c>
      <c r="F74" s="7" t="s">
        <v>388</v>
      </c>
      <c r="G74" s="7" t="s">
        <v>658</v>
      </c>
      <c r="H74" s="7" t="s">
        <v>524</v>
      </c>
      <c r="I74" s="7" t="s">
        <v>659</v>
      </c>
      <c r="J74" s="7" t="s">
        <v>660</v>
      </c>
      <c r="K74" s="7" t="s">
        <v>661</v>
      </c>
    </row>
    <row r="75" spans="1:11" ht="15.6" x14ac:dyDescent="0.25">
      <c r="A75" s="8" t="s">
        <v>662</v>
      </c>
      <c r="B75" s="9">
        <v>3</v>
      </c>
      <c r="C75" s="9" t="s">
        <v>396</v>
      </c>
      <c r="D75" s="9" t="s">
        <v>663</v>
      </c>
      <c r="E75" s="9" t="s">
        <v>664</v>
      </c>
      <c r="F75" s="9" t="s">
        <v>665</v>
      </c>
      <c r="G75" s="9" t="s">
        <v>365</v>
      </c>
      <c r="H75" s="9" t="s">
        <v>666</v>
      </c>
      <c r="I75" s="9" t="s">
        <v>667</v>
      </c>
      <c r="J75" s="9" t="s">
        <v>668</v>
      </c>
      <c r="K75" s="9" t="s">
        <v>669</v>
      </c>
    </row>
    <row r="76" spans="1:11" ht="15.6" x14ac:dyDescent="0.25">
      <c r="A76" s="6" t="s">
        <v>670</v>
      </c>
      <c r="B76" s="7">
        <v>81</v>
      </c>
      <c r="C76" s="7" t="s">
        <v>150</v>
      </c>
      <c r="D76" s="7" t="s">
        <v>671</v>
      </c>
      <c r="E76" s="7" t="s">
        <v>672</v>
      </c>
      <c r="F76" s="7" t="s">
        <v>411</v>
      </c>
      <c r="G76" s="7" t="s">
        <v>673</v>
      </c>
      <c r="H76" s="7" t="s">
        <v>203</v>
      </c>
      <c r="I76" s="7" t="s">
        <v>674</v>
      </c>
      <c r="J76" s="7" t="s">
        <v>675</v>
      </c>
      <c r="K76" s="7" t="s">
        <v>676</v>
      </c>
    </row>
    <row r="77" spans="1:11" ht="15.6" x14ac:dyDescent="0.25">
      <c r="A77" s="8" t="s">
        <v>677</v>
      </c>
      <c r="B77" s="9">
        <v>25</v>
      </c>
      <c r="C77" s="9" t="s">
        <v>135</v>
      </c>
      <c r="D77" s="9" t="s">
        <v>678</v>
      </c>
      <c r="E77" s="9" t="s">
        <v>679</v>
      </c>
      <c r="F77" s="9" t="s">
        <v>174</v>
      </c>
      <c r="G77" s="9" t="s">
        <v>680</v>
      </c>
      <c r="H77" s="9" t="s">
        <v>216</v>
      </c>
      <c r="I77" s="9" t="s">
        <v>681</v>
      </c>
      <c r="J77" s="9" t="s">
        <v>682</v>
      </c>
      <c r="K77" s="9" t="s">
        <v>683</v>
      </c>
    </row>
    <row r="78" spans="1:11" ht="15.6" x14ac:dyDescent="0.25">
      <c r="A78" s="6" t="s">
        <v>684</v>
      </c>
      <c r="B78" s="7">
        <v>8</v>
      </c>
      <c r="C78" s="7" t="s">
        <v>495</v>
      </c>
      <c r="D78" s="7" t="s">
        <v>685</v>
      </c>
      <c r="E78" s="7" t="s">
        <v>686</v>
      </c>
      <c r="F78" s="7" t="s">
        <v>531</v>
      </c>
      <c r="G78" s="7" t="s">
        <v>687</v>
      </c>
      <c r="H78" s="7" t="s">
        <v>455</v>
      </c>
      <c r="I78" s="7" t="s">
        <v>688</v>
      </c>
      <c r="J78" s="7" t="s">
        <v>689</v>
      </c>
      <c r="K78" s="7" t="s">
        <v>690</v>
      </c>
    </row>
    <row r="79" spans="1:11" ht="15.6" x14ac:dyDescent="0.25">
      <c r="A79" s="8" t="s">
        <v>691</v>
      </c>
      <c r="B79" s="9">
        <v>92</v>
      </c>
      <c r="C79" s="9" t="s">
        <v>115</v>
      </c>
      <c r="D79" s="9" t="s">
        <v>692</v>
      </c>
      <c r="E79" s="9" t="s">
        <v>693</v>
      </c>
      <c r="F79" s="9" t="s">
        <v>150</v>
      </c>
      <c r="G79" s="9" t="s">
        <v>694</v>
      </c>
      <c r="H79" s="9" t="s">
        <v>533</v>
      </c>
      <c r="I79" s="9" t="s">
        <v>695</v>
      </c>
      <c r="J79" s="9" t="s">
        <v>696</v>
      </c>
      <c r="K79" s="9" t="s">
        <v>697</v>
      </c>
    </row>
    <row r="80" spans="1:11" ht="15.6" x14ac:dyDescent="0.25">
      <c r="A80" s="6" t="s">
        <v>698</v>
      </c>
      <c r="B80" s="7">
        <v>18</v>
      </c>
      <c r="C80" s="7" t="s">
        <v>699</v>
      </c>
      <c r="D80" s="7" t="s">
        <v>700</v>
      </c>
      <c r="E80" s="7" t="s">
        <v>701</v>
      </c>
      <c r="F80" s="7" t="s">
        <v>150</v>
      </c>
      <c r="G80" s="7" t="s">
        <v>702</v>
      </c>
      <c r="H80" s="7" t="s">
        <v>533</v>
      </c>
      <c r="I80" s="7" t="s">
        <v>703</v>
      </c>
      <c r="J80" s="7" t="s">
        <v>704</v>
      </c>
      <c r="K80" s="7" t="s">
        <v>705</v>
      </c>
    </row>
    <row r="81" spans="1:11" ht="15.6" x14ac:dyDescent="0.25">
      <c r="A81" s="8" t="s">
        <v>706</v>
      </c>
      <c r="B81" s="9">
        <v>14</v>
      </c>
      <c r="C81" s="9" t="s">
        <v>578</v>
      </c>
      <c r="D81" s="9" t="s">
        <v>707</v>
      </c>
      <c r="E81" s="9" t="s">
        <v>708</v>
      </c>
      <c r="F81" s="9" t="s">
        <v>665</v>
      </c>
      <c r="G81" s="9" t="s">
        <v>709</v>
      </c>
      <c r="H81" s="9" t="s">
        <v>710</v>
      </c>
      <c r="I81" s="9" t="s">
        <v>711</v>
      </c>
      <c r="J81" s="9" t="s">
        <v>712</v>
      </c>
      <c r="K81" s="9" t="s">
        <v>713</v>
      </c>
    </row>
    <row r="82" spans="1:11" ht="15.6" x14ac:dyDescent="0.25">
      <c r="A82" s="6" t="s">
        <v>714</v>
      </c>
      <c r="B82" s="7">
        <v>61</v>
      </c>
      <c r="C82" s="7" t="s">
        <v>477</v>
      </c>
      <c r="D82" s="7" t="s">
        <v>715</v>
      </c>
      <c r="E82" s="7" t="s">
        <v>716</v>
      </c>
      <c r="F82" s="7" t="s">
        <v>335</v>
      </c>
      <c r="G82" s="7" t="s">
        <v>717</v>
      </c>
      <c r="H82" s="7" t="s">
        <v>198</v>
      </c>
      <c r="I82" s="7" t="s">
        <v>718</v>
      </c>
      <c r="J82" s="7" t="s">
        <v>719</v>
      </c>
      <c r="K82" s="7" t="s">
        <v>720</v>
      </c>
    </row>
    <row r="83" spans="1:11" ht="15.6" x14ac:dyDescent="0.25">
      <c r="A83" s="8" t="s">
        <v>721</v>
      </c>
      <c r="B83" s="9">
        <v>106</v>
      </c>
      <c r="C83" s="9" t="s">
        <v>196</v>
      </c>
      <c r="D83" s="9" t="s">
        <v>722</v>
      </c>
      <c r="E83" s="9" t="s">
        <v>723</v>
      </c>
      <c r="F83" s="9" t="s">
        <v>429</v>
      </c>
      <c r="G83" s="9" t="s">
        <v>724</v>
      </c>
      <c r="H83" s="9" t="s">
        <v>457</v>
      </c>
      <c r="I83" s="9" t="s">
        <v>725</v>
      </c>
      <c r="J83" s="9" t="s">
        <v>726</v>
      </c>
      <c r="K83" s="9" t="s">
        <v>727</v>
      </c>
    </row>
    <row r="84" spans="1:11" ht="15.6" x14ac:dyDescent="0.25">
      <c r="A84" s="6" t="s">
        <v>728</v>
      </c>
      <c r="B84" s="7">
        <v>4</v>
      </c>
      <c r="C84" s="7" t="s">
        <v>128</v>
      </c>
      <c r="D84" s="7" t="s">
        <v>729</v>
      </c>
      <c r="E84" s="7" t="s">
        <v>730</v>
      </c>
      <c r="F84" s="7" t="s">
        <v>206</v>
      </c>
      <c r="G84" s="7" t="s">
        <v>731</v>
      </c>
      <c r="H84" s="7" t="s">
        <v>174</v>
      </c>
      <c r="I84" s="7" t="s">
        <v>732</v>
      </c>
      <c r="J84" s="7" t="s">
        <v>733</v>
      </c>
      <c r="K84" s="7" t="s">
        <v>734</v>
      </c>
    </row>
    <row r="85" spans="1:11" ht="15.6" x14ac:dyDescent="0.25">
      <c r="A85" s="8" t="s">
        <v>735</v>
      </c>
      <c r="B85" s="9">
        <v>72</v>
      </c>
      <c r="C85" s="9" t="s">
        <v>238</v>
      </c>
      <c r="D85" s="9" t="s">
        <v>736</v>
      </c>
      <c r="E85" s="9" t="s">
        <v>737</v>
      </c>
      <c r="F85" s="9" t="s">
        <v>738</v>
      </c>
      <c r="G85" s="9" t="s">
        <v>739</v>
      </c>
      <c r="H85" s="9" t="s">
        <v>740</v>
      </c>
      <c r="I85" s="9" t="s">
        <v>741</v>
      </c>
      <c r="J85" s="9" t="s">
        <v>742</v>
      </c>
      <c r="K85" s="9" t="s">
        <v>743</v>
      </c>
    </row>
    <row r="86" spans="1:11" ht="15.6" x14ac:dyDescent="0.25">
      <c r="A86" s="6" t="s">
        <v>744</v>
      </c>
      <c r="B86" s="7">
        <v>45</v>
      </c>
      <c r="C86" s="7" t="s">
        <v>462</v>
      </c>
      <c r="D86" s="7" t="s">
        <v>745</v>
      </c>
      <c r="E86" s="7" t="s">
        <v>746</v>
      </c>
      <c r="F86" s="7" t="s">
        <v>308</v>
      </c>
      <c r="G86" s="7" t="s">
        <v>747</v>
      </c>
      <c r="H86" s="7" t="s">
        <v>130</v>
      </c>
      <c r="I86" s="7" t="s">
        <v>748</v>
      </c>
      <c r="J86" s="7" t="s">
        <v>749</v>
      </c>
      <c r="K86" s="7" t="s">
        <v>750</v>
      </c>
    </row>
    <row r="87" spans="1:11" ht="15.6" x14ac:dyDescent="0.25">
      <c r="A87" s="8" t="s">
        <v>751</v>
      </c>
      <c r="B87" s="9">
        <v>9</v>
      </c>
      <c r="C87" s="9" t="s">
        <v>752</v>
      </c>
      <c r="D87" s="9" t="s">
        <v>753</v>
      </c>
      <c r="E87" s="9" t="s">
        <v>754</v>
      </c>
      <c r="F87" s="9" t="s">
        <v>130</v>
      </c>
      <c r="G87" s="9" t="s">
        <v>755</v>
      </c>
      <c r="H87" s="9" t="s">
        <v>135</v>
      </c>
      <c r="I87" s="9" t="s">
        <v>756</v>
      </c>
      <c r="J87" s="9" t="s">
        <v>757</v>
      </c>
      <c r="K87" s="9" t="s">
        <v>758</v>
      </c>
    </row>
    <row r="88" spans="1:11" ht="15.6" x14ac:dyDescent="0.25">
      <c r="A88" s="6" t="s">
        <v>759</v>
      </c>
      <c r="B88" s="7">
        <v>11</v>
      </c>
      <c r="C88" s="7" t="s">
        <v>385</v>
      </c>
      <c r="D88" s="7" t="s">
        <v>760</v>
      </c>
      <c r="E88" s="7" t="s">
        <v>761</v>
      </c>
      <c r="F88" s="7" t="s">
        <v>457</v>
      </c>
      <c r="G88" s="7" t="s">
        <v>762</v>
      </c>
      <c r="H88" s="7" t="s">
        <v>495</v>
      </c>
      <c r="I88" s="7" t="s">
        <v>763</v>
      </c>
      <c r="J88" s="7" t="s">
        <v>764</v>
      </c>
      <c r="K88" s="7" t="s">
        <v>765</v>
      </c>
    </row>
    <row r="89" spans="1:11" ht="15.6" x14ac:dyDescent="0.25">
      <c r="A89" s="8" t="s">
        <v>766</v>
      </c>
      <c r="B89" s="9">
        <v>13</v>
      </c>
      <c r="C89" s="9" t="s">
        <v>292</v>
      </c>
      <c r="D89" s="9" t="s">
        <v>767</v>
      </c>
      <c r="E89" s="9" t="s">
        <v>768</v>
      </c>
      <c r="F89" s="9" t="s">
        <v>150</v>
      </c>
      <c r="G89" s="9" t="s">
        <v>769</v>
      </c>
      <c r="H89" s="9" t="s">
        <v>256</v>
      </c>
      <c r="I89" s="9" t="s">
        <v>770</v>
      </c>
      <c r="J89" s="9" t="s">
        <v>771</v>
      </c>
      <c r="K89" s="9" t="s">
        <v>772</v>
      </c>
    </row>
    <row r="90" spans="1:11" ht="15.6" x14ac:dyDescent="0.25">
      <c r="A90" s="6" t="s">
        <v>773</v>
      </c>
      <c r="B90" s="7">
        <v>305</v>
      </c>
      <c r="C90" s="7" t="s">
        <v>155</v>
      </c>
      <c r="D90" s="7" t="s">
        <v>774</v>
      </c>
      <c r="E90" s="7" t="s">
        <v>775</v>
      </c>
      <c r="F90" s="7" t="s">
        <v>238</v>
      </c>
      <c r="G90" s="7" t="s">
        <v>776</v>
      </c>
      <c r="H90" s="7" t="s">
        <v>155</v>
      </c>
      <c r="I90" s="7" t="s">
        <v>777</v>
      </c>
      <c r="J90" s="7" t="s">
        <v>778</v>
      </c>
      <c r="K90" s="7" t="s">
        <v>779</v>
      </c>
    </row>
    <row r="91" spans="1:11" ht="15.6" x14ac:dyDescent="0.25">
      <c r="A91" s="8" t="s">
        <v>780</v>
      </c>
      <c r="B91" s="9">
        <v>255</v>
      </c>
      <c r="C91" s="9" t="s">
        <v>335</v>
      </c>
      <c r="D91" s="9" t="s">
        <v>781</v>
      </c>
      <c r="E91" s="9" t="s">
        <v>782</v>
      </c>
      <c r="F91" s="9" t="s">
        <v>462</v>
      </c>
      <c r="G91" s="9" t="s">
        <v>783</v>
      </c>
      <c r="H91" s="9" t="s">
        <v>145</v>
      </c>
      <c r="I91" s="9" t="s">
        <v>784</v>
      </c>
      <c r="J91" s="9" t="s">
        <v>785</v>
      </c>
      <c r="K91" s="9" t="s">
        <v>786</v>
      </c>
    </row>
    <row r="92" spans="1:11" ht="15.6" x14ac:dyDescent="0.25">
      <c r="A92" s="6" t="s">
        <v>787</v>
      </c>
      <c r="B92" s="7">
        <v>37</v>
      </c>
      <c r="C92" s="7" t="s">
        <v>788</v>
      </c>
      <c r="D92" s="7" t="s">
        <v>789</v>
      </c>
      <c r="E92" s="7" t="s">
        <v>790</v>
      </c>
      <c r="F92" s="7" t="s">
        <v>791</v>
      </c>
      <c r="G92" s="7" t="s">
        <v>344</v>
      </c>
      <c r="H92" s="7" t="s">
        <v>792</v>
      </c>
      <c r="I92" s="7" t="s">
        <v>793</v>
      </c>
      <c r="J92" s="7" t="s">
        <v>794</v>
      </c>
      <c r="K92" s="7" t="s">
        <v>795</v>
      </c>
    </row>
    <row r="93" spans="1:11" ht="15.6" x14ac:dyDescent="0.25">
      <c r="A93" s="8" t="s">
        <v>796</v>
      </c>
      <c r="B93" s="9">
        <v>18</v>
      </c>
      <c r="C93" s="9" t="s">
        <v>797</v>
      </c>
      <c r="D93" s="9" t="s">
        <v>798</v>
      </c>
      <c r="E93" s="9" t="s">
        <v>799</v>
      </c>
      <c r="F93" s="9" t="s">
        <v>411</v>
      </c>
      <c r="G93" s="9" t="s">
        <v>800</v>
      </c>
      <c r="H93" s="9" t="s">
        <v>578</v>
      </c>
      <c r="I93" s="9" t="s">
        <v>161</v>
      </c>
      <c r="J93" s="9" t="s">
        <v>801</v>
      </c>
      <c r="K93" s="9" t="s">
        <v>802</v>
      </c>
    </row>
    <row r="94" spans="1:11" ht="15.6" x14ac:dyDescent="0.25">
      <c r="A94" s="6" t="s">
        <v>803</v>
      </c>
      <c r="B94" s="7">
        <v>104</v>
      </c>
      <c r="C94" s="7" t="s">
        <v>804</v>
      </c>
      <c r="D94" s="7" t="s">
        <v>805</v>
      </c>
      <c r="E94" s="7" t="s">
        <v>806</v>
      </c>
      <c r="F94" s="7" t="s">
        <v>292</v>
      </c>
      <c r="G94" s="7" t="s">
        <v>807</v>
      </c>
      <c r="H94" s="7" t="s">
        <v>258</v>
      </c>
      <c r="I94" s="7" t="s">
        <v>808</v>
      </c>
      <c r="J94" s="7" t="s">
        <v>809</v>
      </c>
      <c r="K94" s="7" t="s">
        <v>810</v>
      </c>
    </row>
    <row r="95" spans="1:11" ht="15.6" x14ac:dyDescent="0.25">
      <c r="A95" s="8" t="s">
        <v>811</v>
      </c>
      <c r="B95" s="9">
        <v>66</v>
      </c>
      <c r="C95" s="9" t="s">
        <v>125</v>
      </c>
      <c r="D95" s="9" t="s">
        <v>812</v>
      </c>
      <c r="E95" s="9" t="s">
        <v>813</v>
      </c>
      <c r="F95" s="9" t="s">
        <v>411</v>
      </c>
      <c r="G95" s="9" t="s">
        <v>814</v>
      </c>
      <c r="H95" s="9" t="s">
        <v>440</v>
      </c>
      <c r="I95" s="9" t="s">
        <v>815</v>
      </c>
      <c r="J95" s="9" t="s">
        <v>816</v>
      </c>
      <c r="K95" s="9" t="s">
        <v>386</v>
      </c>
    </row>
    <row r="96" spans="1:11" ht="15.6" x14ac:dyDescent="0.25">
      <c r="A96" s="6" t="s">
        <v>817</v>
      </c>
      <c r="B96" s="7">
        <v>24</v>
      </c>
      <c r="C96" s="7" t="s">
        <v>568</v>
      </c>
      <c r="D96" s="7" t="s">
        <v>818</v>
      </c>
      <c r="E96" s="7" t="s">
        <v>819</v>
      </c>
      <c r="F96" s="7" t="s">
        <v>198</v>
      </c>
      <c r="G96" s="7" t="s">
        <v>820</v>
      </c>
      <c r="H96" s="7" t="s">
        <v>115</v>
      </c>
      <c r="I96" s="7" t="s">
        <v>821</v>
      </c>
      <c r="J96" s="7" t="s">
        <v>822</v>
      </c>
      <c r="K96" s="7" t="s">
        <v>823</v>
      </c>
    </row>
    <row r="97" spans="1:11" ht="15.6" x14ac:dyDescent="0.25">
      <c r="A97" s="8" t="s">
        <v>824</v>
      </c>
      <c r="B97" s="9">
        <v>18</v>
      </c>
      <c r="C97" s="9" t="s">
        <v>128</v>
      </c>
      <c r="D97" s="9" t="s">
        <v>825</v>
      </c>
      <c r="E97" s="9" t="s">
        <v>826</v>
      </c>
      <c r="F97" s="9" t="s">
        <v>827</v>
      </c>
      <c r="G97" s="9" t="s">
        <v>828</v>
      </c>
      <c r="H97" s="9" t="s">
        <v>651</v>
      </c>
      <c r="I97" s="9" t="s">
        <v>829</v>
      </c>
      <c r="J97" s="9" t="s">
        <v>830</v>
      </c>
      <c r="K97" s="9" t="s">
        <v>831</v>
      </c>
    </row>
    <row r="98" spans="1:11" ht="15.6" x14ac:dyDescent="0.25">
      <c r="A98" s="6" t="s">
        <v>832</v>
      </c>
      <c r="B98" s="7">
        <v>8</v>
      </c>
      <c r="C98" s="7" t="s">
        <v>135</v>
      </c>
      <c r="D98" s="7" t="s">
        <v>833</v>
      </c>
      <c r="E98" s="7" t="s">
        <v>834</v>
      </c>
      <c r="F98" s="7" t="s">
        <v>495</v>
      </c>
      <c r="G98" s="7" t="s">
        <v>835</v>
      </c>
      <c r="H98" s="7" t="s">
        <v>533</v>
      </c>
      <c r="I98" s="7" t="s">
        <v>836</v>
      </c>
      <c r="J98" s="7" t="s">
        <v>837</v>
      </c>
      <c r="K98" s="7" t="s">
        <v>838</v>
      </c>
    </row>
    <row r="99" spans="1:11" ht="15.6" x14ac:dyDescent="0.25">
      <c r="A99" s="8" t="s">
        <v>839</v>
      </c>
      <c r="B99" s="9">
        <v>30</v>
      </c>
      <c r="C99" s="9" t="s">
        <v>155</v>
      </c>
      <c r="D99" s="9" t="s">
        <v>840</v>
      </c>
      <c r="E99" s="9" t="s">
        <v>841</v>
      </c>
      <c r="F99" s="9" t="s">
        <v>120</v>
      </c>
      <c r="G99" s="9" t="s">
        <v>842</v>
      </c>
      <c r="H99" s="9" t="s">
        <v>148</v>
      </c>
      <c r="I99" s="9" t="s">
        <v>843</v>
      </c>
      <c r="J99" s="9" t="s">
        <v>844</v>
      </c>
      <c r="K99" s="9" t="s">
        <v>845</v>
      </c>
    </row>
    <row r="100" spans="1:11" ht="15.6" x14ac:dyDescent="0.25">
      <c r="A100" s="6" t="s">
        <v>846</v>
      </c>
      <c r="B100" s="7">
        <v>18</v>
      </c>
      <c r="C100" s="7" t="s">
        <v>177</v>
      </c>
      <c r="D100" s="7" t="s">
        <v>847</v>
      </c>
      <c r="E100" s="7" t="s">
        <v>848</v>
      </c>
      <c r="F100" s="7" t="s">
        <v>849</v>
      </c>
      <c r="G100" s="7" t="s">
        <v>850</v>
      </c>
      <c r="H100" s="7" t="s">
        <v>851</v>
      </c>
      <c r="I100" s="7" t="s">
        <v>852</v>
      </c>
      <c r="J100" s="7" t="s">
        <v>853</v>
      </c>
      <c r="K100" s="7" t="s">
        <v>854</v>
      </c>
    </row>
    <row r="101" spans="1:11" ht="15.6" x14ac:dyDescent="0.25">
      <c r="A101" s="8" t="s">
        <v>855</v>
      </c>
      <c r="B101" s="9">
        <v>23</v>
      </c>
      <c r="C101" s="9" t="s">
        <v>856</v>
      </c>
      <c r="D101" s="9" t="s">
        <v>857</v>
      </c>
      <c r="E101" s="9" t="s">
        <v>858</v>
      </c>
      <c r="F101" s="9" t="s">
        <v>859</v>
      </c>
      <c r="G101" s="9" t="s">
        <v>860</v>
      </c>
      <c r="H101" s="9" t="s">
        <v>859</v>
      </c>
      <c r="I101" s="10" t="s">
        <v>861</v>
      </c>
      <c r="J101" s="10" t="s">
        <v>862</v>
      </c>
      <c r="K101" s="9" t="s">
        <v>863</v>
      </c>
    </row>
    <row r="102" spans="1:11" ht="15.6" x14ac:dyDescent="0.25">
      <c r="A102" s="11" t="s">
        <v>864</v>
      </c>
      <c r="B102" s="12">
        <v>7247</v>
      </c>
      <c r="C102" s="12" t="s">
        <v>492</v>
      </c>
      <c r="D102" s="12" t="s">
        <v>865</v>
      </c>
      <c r="E102" s="12" t="s">
        <v>188</v>
      </c>
      <c r="F102" s="7" t="s">
        <v>388</v>
      </c>
      <c r="G102" s="12" t="s">
        <v>866</v>
      </c>
      <c r="H102" s="12" t="s">
        <v>440</v>
      </c>
      <c r="I102" s="12" t="s">
        <v>867</v>
      </c>
      <c r="J102" s="12" t="s">
        <v>862</v>
      </c>
      <c r="K102" s="12" t="s">
        <v>868</v>
      </c>
    </row>
    <row r="103" spans="1:11" ht="15.6" x14ac:dyDescent="0.25">
      <c r="A103" s="13" t="s">
        <v>869</v>
      </c>
      <c r="B103" s="14">
        <v>6057</v>
      </c>
      <c r="C103" s="14" t="s">
        <v>738</v>
      </c>
      <c r="D103" s="14" t="s">
        <v>870</v>
      </c>
      <c r="E103" s="14" t="s">
        <v>871</v>
      </c>
      <c r="F103" s="9" t="s">
        <v>533</v>
      </c>
      <c r="G103" s="14" t="s">
        <v>872</v>
      </c>
      <c r="H103" s="14" t="s">
        <v>308</v>
      </c>
      <c r="I103" s="14" t="s">
        <v>873</v>
      </c>
      <c r="J103" s="14" t="s">
        <v>874</v>
      </c>
      <c r="K103" s="14" t="s">
        <v>875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9"/>
  <sheetViews>
    <sheetView zoomScaleNormal="100" workbookViewId="0">
      <selection activeCell="A2" sqref="A2"/>
    </sheetView>
  </sheetViews>
  <sheetFormatPr defaultColWidth="11.5546875" defaultRowHeight="13.2" x14ac:dyDescent="0.25"/>
  <sheetData>
    <row r="2" spans="2:8" x14ac:dyDescent="0.25">
      <c r="C2">
        <v>0</v>
      </c>
      <c r="D2">
        <v>1</v>
      </c>
      <c r="E2">
        <v>2</v>
      </c>
      <c r="F2">
        <v>3</v>
      </c>
      <c r="G2">
        <v>4</v>
      </c>
      <c r="H2">
        <v>5</v>
      </c>
    </row>
    <row r="3" spans="2:8" x14ac:dyDescent="0.25">
      <c r="B3" s="19" t="s">
        <v>878</v>
      </c>
      <c r="C3" s="19"/>
      <c r="D3">
        <v>100</v>
      </c>
      <c r="E3">
        <v>120</v>
      </c>
      <c r="F3">
        <v>150</v>
      </c>
      <c r="G3">
        <v>200</v>
      </c>
      <c r="H3">
        <v>250</v>
      </c>
    </row>
    <row r="4" spans="2:8" x14ac:dyDescent="0.25">
      <c r="B4" s="19" t="s">
        <v>879</v>
      </c>
      <c r="C4" s="19"/>
      <c r="D4">
        <v>75</v>
      </c>
      <c r="E4">
        <v>85</v>
      </c>
      <c r="F4">
        <v>100</v>
      </c>
      <c r="G4">
        <v>140</v>
      </c>
      <c r="H4">
        <v>190</v>
      </c>
    </row>
    <row r="5" spans="2:8" x14ac:dyDescent="0.25">
      <c r="B5" s="19" t="s">
        <v>880</v>
      </c>
      <c r="C5" s="19"/>
      <c r="D5">
        <f>+D3-D4</f>
        <v>25</v>
      </c>
      <c r="E5">
        <f t="shared" ref="E5:H5" si="0">+E3-E4</f>
        <v>35</v>
      </c>
      <c r="F5">
        <f t="shared" si="0"/>
        <v>50</v>
      </c>
      <c r="G5">
        <f t="shared" si="0"/>
        <v>60</v>
      </c>
      <c r="H5">
        <f t="shared" si="0"/>
        <v>60</v>
      </c>
    </row>
    <row r="6" spans="2:8" x14ac:dyDescent="0.25">
      <c r="B6" s="19" t="s">
        <v>881</v>
      </c>
      <c r="C6">
        <v>-133.92832483652933</v>
      </c>
      <c r="D6">
        <f>+D5</f>
        <v>25</v>
      </c>
      <c r="E6">
        <f t="shared" ref="E6:H6" si="1">+E5</f>
        <v>35</v>
      </c>
      <c r="F6">
        <f t="shared" si="1"/>
        <v>50</v>
      </c>
      <c r="G6">
        <f t="shared" si="1"/>
        <v>60</v>
      </c>
      <c r="H6">
        <f t="shared" si="1"/>
        <v>60</v>
      </c>
    </row>
    <row r="7" spans="2:8" x14ac:dyDescent="0.25">
      <c r="C7" s="21">
        <f>+C6</f>
        <v>-133.92832483652933</v>
      </c>
      <c r="D7" s="21">
        <f>+D6/(1+$C$9)^D2</f>
        <v>21.186440677966104</v>
      </c>
      <c r="E7" s="21">
        <f>+E6/(1+$C$9)^E2</f>
        <v>25.136455041654699</v>
      </c>
      <c r="F7" s="21">
        <f>+F6/(1+$C$9)^F2</f>
        <v>30.431543633964527</v>
      </c>
      <c r="G7" s="21">
        <f>+G6/(1+$C$9)^G2</f>
        <v>30.947332509116471</v>
      </c>
      <c r="H7" s="21">
        <f>+H6/(1+$C$9)^H2</f>
        <v>26.226552973827523</v>
      </c>
    </row>
    <row r="8" spans="2:8" x14ac:dyDescent="0.25">
      <c r="B8" s="19" t="s">
        <v>93</v>
      </c>
      <c r="C8" s="21">
        <f>+C7+D7+E7+F7+G7+H7</f>
        <v>0</v>
      </c>
    </row>
    <row r="9" spans="2:8" x14ac:dyDescent="0.25">
      <c r="B9" s="19" t="s">
        <v>882</v>
      </c>
      <c r="C9" s="20">
        <v>0.18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F773-F9D1-43E5-8507-B309FDB25787}">
  <dimension ref="B3:U18"/>
  <sheetViews>
    <sheetView topLeftCell="B1" zoomScale="115" zoomScaleNormal="115" workbookViewId="0">
      <selection activeCell="D12" sqref="D12"/>
    </sheetView>
  </sheetViews>
  <sheetFormatPr defaultRowHeight="13.2" x14ac:dyDescent="0.25"/>
  <cols>
    <col min="2" max="2" width="3.109375" bestFit="1" customWidth="1"/>
    <col min="3" max="3" width="18.6640625" style="117" customWidth="1"/>
    <col min="4" max="4" width="11.77734375" style="119" customWidth="1"/>
    <col min="5" max="9" width="12.109375" style="119" customWidth="1"/>
    <col min="10" max="10" width="12.33203125" style="119" customWidth="1"/>
    <col min="11" max="11" width="12.109375" style="119" customWidth="1"/>
    <col min="12" max="13" width="12.33203125" style="119" customWidth="1"/>
    <col min="14" max="14" width="10.5546875" style="119" customWidth="1"/>
    <col min="15" max="15" width="10.5546875" customWidth="1"/>
    <col min="16" max="16" width="11.21875" bestFit="1" customWidth="1"/>
    <col min="17" max="17" width="10.6640625" customWidth="1"/>
    <col min="18" max="18" width="10.109375" customWidth="1"/>
    <col min="19" max="19" width="10.5546875" customWidth="1"/>
    <col min="20" max="20" width="11.21875" customWidth="1"/>
    <col min="21" max="21" width="10.21875" customWidth="1"/>
  </cols>
  <sheetData>
    <row r="3" spans="2:21" ht="26.4" customHeight="1" x14ac:dyDescent="0.25">
      <c r="I3" s="132" t="s">
        <v>978</v>
      </c>
      <c r="J3" s="132"/>
    </row>
    <row r="4" spans="2:21" s="116" customFormat="1" ht="55.8" customHeight="1" x14ac:dyDescent="0.25">
      <c r="B4" s="116" t="s">
        <v>975</v>
      </c>
      <c r="C4" s="116" t="s">
        <v>969</v>
      </c>
      <c r="D4" s="116" t="s">
        <v>970</v>
      </c>
      <c r="E4" s="120" t="s">
        <v>971</v>
      </c>
      <c r="F4" s="120" t="s">
        <v>972</v>
      </c>
      <c r="G4" s="120" t="s">
        <v>973</v>
      </c>
      <c r="H4" s="128" t="s">
        <v>976</v>
      </c>
      <c r="I4" s="120" t="s">
        <v>991</v>
      </c>
      <c r="J4" s="116" t="s">
        <v>989</v>
      </c>
      <c r="K4" s="120" t="s">
        <v>977</v>
      </c>
      <c r="L4" s="120" t="s">
        <v>979</v>
      </c>
      <c r="M4" s="120" t="s">
        <v>987</v>
      </c>
      <c r="N4" s="125" t="s">
        <v>981</v>
      </c>
      <c r="O4" s="129" t="s">
        <v>980</v>
      </c>
      <c r="P4" s="120" t="s">
        <v>990</v>
      </c>
      <c r="Q4" s="120" t="s">
        <v>982</v>
      </c>
      <c r="R4" s="116" t="s">
        <v>983</v>
      </c>
      <c r="S4" s="116" t="s">
        <v>984</v>
      </c>
      <c r="T4" s="125" t="s">
        <v>985</v>
      </c>
      <c r="U4" s="116" t="s">
        <v>988</v>
      </c>
    </row>
    <row r="5" spans="2:21" x14ac:dyDescent="0.25">
      <c r="B5">
        <v>1</v>
      </c>
      <c r="C5" s="117" t="s">
        <v>974</v>
      </c>
      <c r="D5" s="119">
        <v>1</v>
      </c>
      <c r="E5" s="119">
        <v>1</v>
      </c>
      <c r="F5" s="119">
        <v>35000</v>
      </c>
      <c r="G5" s="119">
        <v>6150</v>
      </c>
      <c r="H5" s="119">
        <f>+F5*E5</f>
        <v>35000</v>
      </c>
      <c r="I5" s="119">
        <v>0</v>
      </c>
      <c r="J5" s="119">
        <f>+G5*E5</f>
        <v>6150</v>
      </c>
      <c r="K5" s="119">
        <f>+H5-I5-J5</f>
        <v>28850</v>
      </c>
      <c r="L5" s="123">
        <f>+K5/H5</f>
        <v>0.82428571428571429</v>
      </c>
      <c r="M5" s="119">
        <v>12526</v>
      </c>
      <c r="N5" s="119">
        <f>+M5*E5</f>
        <v>12526</v>
      </c>
      <c r="O5" s="121">
        <f>+N5+J5+I5</f>
        <v>18676</v>
      </c>
      <c r="P5" s="121">
        <f>+H5-O5</f>
        <v>16324</v>
      </c>
      <c r="Q5" s="119">
        <f>+P5*25%</f>
        <v>4081</v>
      </c>
      <c r="R5" s="121">
        <f>+P5-Q5</f>
        <v>12243</v>
      </c>
      <c r="S5" s="124">
        <f>+R5/H5</f>
        <v>0.3498</v>
      </c>
      <c r="T5" s="119">
        <v>50000000</v>
      </c>
      <c r="U5" s="130">
        <f>+R5/T5</f>
        <v>2.4486000000000001E-4</v>
      </c>
    </row>
    <row r="6" spans="2:21" x14ac:dyDescent="0.25">
      <c r="B6">
        <v>1</v>
      </c>
      <c r="C6" s="117" t="s">
        <v>974</v>
      </c>
      <c r="D6" s="119">
        <v>1</v>
      </c>
      <c r="E6" s="119">
        <v>1</v>
      </c>
      <c r="F6" s="119">
        <v>35000</v>
      </c>
      <c r="G6" s="119">
        <v>6150</v>
      </c>
      <c r="H6" s="119">
        <f>+F6*E6</f>
        <v>35000</v>
      </c>
      <c r="I6" s="119">
        <f>+H6*0.3</f>
        <v>10500</v>
      </c>
      <c r="J6" s="119">
        <f>+G6*E6</f>
        <v>6150</v>
      </c>
      <c r="K6" s="119">
        <f>+H6-I6-J6</f>
        <v>18350</v>
      </c>
      <c r="L6" s="123">
        <f t="shared" ref="L6:L8" si="0">+K6/H6</f>
        <v>0.52428571428571424</v>
      </c>
      <c r="M6" s="119">
        <v>12526</v>
      </c>
      <c r="N6" s="119">
        <f>+M6*E6</f>
        <v>12526</v>
      </c>
      <c r="O6" s="121">
        <f>+N6+J6+I6</f>
        <v>29176</v>
      </c>
      <c r="P6" s="121">
        <f>+H6-O6</f>
        <v>5824</v>
      </c>
      <c r="Q6" s="119">
        <f>+P6*25%</f>
        <v>1456</v>
      </c>
      <c r="R6" s="121">
        <f>+P6-Q6</f>
        <v>4368</v>
      </c>
      <c r="S6" s="124">
        <f>+R6/H6</f>
        <v>0.12479999999999999</v>
      </c>
      <c r="T6" s="119">
        <v>50000000</v>
      </c>
      <c r="U6" s="130">
        <f>+R6/T6</f>
        <v>8.7360000000000004E-5</v>
      </c>
    </row>
    <row r="7" spans="2:21" hidden="1" x14ac:dyDescent="0.25">
      <c r="B7">
        <v>2</v>
      </c>
      <c r="C7" s="117" t="s">
        <v>986</v>
      </c>
      <c r="D7" s="119">
        <v>1</v>
      </c>
      <c r="E7" s="119">
        <v>1</v>
      </c>
      <c r="F7" s="119">
        <v>90000</v>
      </c>
      <c r="G7" s="119">
        <v>15000</v>
      </c>
      <c r="H7" s="119">
        <f>+F7*E7</f>
        <v>90000</v>
      </c>
      <c r="J7" s="119">
        <f>+G7*E7</f>
        <v>15000</v>
      </c>
      <c r="K7" s="119">
        <f>+H7-J7</f>
        <v>75000</v>
      </c>
      <c r="L7" s="123">
        <f t="shared" si="0"/>
        <v>0.83333333333333337</v>
      </c>
      <c r="M7" s="119">
        <f>12527</f>
        <v>12527</v>
      </c>
      <c r="N7" s="119">
        <f>+M7*E7</f>
        <v>12527</v>
      </c>
      <c r="O7" s="121">
        <f>+N7+J7</f>
        <v>27527</v>
      </c>
      <c r="P7" s="121">
        <f>+H7-O7</f>
        <v>62473</v>
      </c>
      <c r="Q7" s="119">
        <f>+P7*25%</f>
        <v>15618.25</v>
      </c>
      <c r="R7" s="121">
        <f>+P7-Q7</f>
        <v>46854.75</v>
      </c>
      <c r="S7" s="124">
        <f>+R7/H7</f>
        <v>0.52060833333333334</v>
      </c>
      <c r="T7" s="119">
        <v>50000000</v>
      </c>
      <c r="U7" s="123">
        <f>+R7/T7</f>
        <v>9.3709499999999999E-4</v>
      </c>
    </row>
    <row r="8" spans="2:21" hidden="1" x14ac:dyDescent="0.25">
      <c r="B8">
        <v>3</v>
      </c>
      <c r="C8" s="117" t="s">
        <v>986</v>
      </c>
      <c r="D8" s="127">
        <v>0.5</v>
      </c>
      <c r="E8" s="127">
        <v>0.5</v>
      </c>
      <c r="F8" s="119">
        <v>90000</v>
      </c>
      <c r="G8" s="119">
        <v>15500</v>
      </c>
      <c r="H8" s="119">
        <f>+F8*E8</f>
        <v>45000</v>
      </c>
      <c r="J8" s="119">
        <f>+G8*E8</f>
        <v>7750</v>
      </c>
      <c r="K8" s="119">
        <f>+H8-J8</f>
        <v>37250</v>
      </c>
      <c r="L8" s="123">
        <f t="shared" si="0"/>
        <v>0.82777777777777772</v>
      </c>
      <c r="M8" s="119">
        <f>12527/E8</f>
        <v>25054</v>
      </c>
      <c r="N8" s="119">
        <f>+M8*E8</f>
        <v>12527</v>
      </c>
      <c r="O8" s="121">
        <f>+N8+J8</f>
        <v>20277</v>
      </c>
      <c r="P8" s="121">
        <f>+H8-O8</f>
        <v>24723</v>
      </c>
      <c r="Q8" s="119">
        <f>+P8*25%</f>
        <v>6180.75</v>
      </c>
      <c r="R8" s="121">
        <f>+P8-Q8</f>
        <v>18542.25</v>
      </c>
      <c r="S8" s="124">
        <f>+R8/H8</f>
        <v>0.41205000000000003</v>
      </c>
      <c r="T8" s="119">
        <v>50000001</v>
      </c>
      <c r="U8" s="123">
        <f>+R8/T8</f>
        <v>3.7084499258310013E-4</v>
      </c>
    </row>
    <row r="9" spans="2:21" x14ac:dyDescent="0.25">
      <c r="C9" s="118"/>
    </row>
    <row r="10" spans="2:21" x14ac:dyDescent="0.25">
      <c r="U10" s="126"/>
    </row>
    <row r="13" spans="2:21" s="115" customFormat="1" x14ac:dyDescent="0.25">
      <c r="N13" s="119"/>
    </row>
    <row r="14" spans="2:21" x14ac:dyDescent="0.25">
      <c r="L14" s="122"/>
      <c r="M14" s="122"/>
    </row>
    <row r="15" spans="2:21" x14ac:dyDescent="0.25">
      <c r="L15" s="122"/>
      <c r="M15" s="122"/>
    </row>
    <row r="18" spans="12:14" x14ac:dyDescent="0.25">
      <c r="L18" s="122"/>
      <c r="M18" s="122"/>
      <c r="N18" s="124"/>
    </row>
  </sheetData>
  <mergeCells count="1">
    <mergeCell ref="I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Resumen</vt:lpstr>
      <vt:lpstr>Parámetros</vt:lpstr>
      <vt:lpstr>Flujos de EE.RR.</vt:lpstr>
      <vt:lpstr>Ingresos</vt:lpstr>
      <vt:lpstr>Balance</vt:lpstr>
      <vt:lpstr>Sueldos</vt:lpstr>
      <vt:lpstr>Betas</vt:lpstr>
      <vt:lpstr>Ejemplo</vt:lpstr>
      <vt:lpstr>Sheet1</vt:lpstr>
    </vt:vector>
  </TitlesOfParts>
  <Company>SISTEMAS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Excelword</dc:creator>
  <cp:lastModifiedBy>Roberto Coppelli</cp:lastModifiedBy>
  <dcterms:created xsi:type="dcterms:W3CDTF">2011-05-30T21:11:13Z</dcterms:created>
  <dcterms:modified xsi:type="dcterms:W3CDTF">2020-06-11T19:30:22Z</dcterms:modified>
</cp:coreProperties>
</file>