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d\Documents\"/>
    </mc:Choice>
  </mc:AlternateContent>
  <xr:revisionPtr revIDLastSave="0" documentId="8_{A5939B49-8B34-4AB0-B891-3809C8CC137A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2022" sheetId="10" r:id="rId1"/>
    <sheet name="2021" sheetId="9" r:id="rId2"/>
    <sheet name="2020" sheetId="7" r:id="rId3"/>
    <sheet name="2019" sheetId="5" r:id="rId4"/>
    <sheet name="2018" sheetId="4" r:id="rId5"/>
    <sheet name="2017" sheetId="1" r:id="rId6"/>
    <sheet name="2016" sheetId="2" r:id="rId7"/>
    <sheet name="2015" sheetId="3" r:id="rId8"/>
    <sheet name="Five year plan" sheetId="6" r:id="rId9"/>
    <sheet name="VWD" sheetId="8" r:id="rId10"/>
  </sheets>
  <definedNames>
    <definedName name="_xlnm.Print_Area" localSheetId="7">'2015'!$A$1:$O$38</definedName>
    <definedName name="_xlnm.Print_Area" localSheetId="6">'2016'!$A$1:$O$39</definedName>
    <definedName name="_xlnm.Print_Area" localSheetId="5">'2017'!$A$1:$O$39</definedName>
    <definedName name="_xlnm.Print_Area" localSheetId="4">'2018'!$A$1:$N$37</definedName>
    <definedName name="_xlnm.Print_Area" localSheetId="3">'2019'!$A$1:$N$30</definedName>
    <definedName name="_xlnm.Print_Area" localSheetId="2">'2020'!$A$1:$N$31</definedName>
    <definedName name="_xlnm.Print_Area" localSheetId="1">'2021'!$A$1:$N$31</definedName>
    <definedName name="_xlnm.Print_Area" localSheetId="0">'2022'!$A$1:$E$29</definedName>
    <definedName name="_xlnm.Print_Area" localSheetId="8">'Five year plan'!$A$1:$I$66</definedName>
    <definedName name="_xlnm.Print_Area" localSheetId="9">VWD!$A$1:$K$36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8" l="1"/>
  <c r="M14" i="8"/>
  <c r="D17" i="8"/>
  <c r="M13" i="8"/>
  <c r="E27" i="10"/>
  <c r="E22" i="10"/>
  <c r="E18" i="10"/>
  <c r="E17" i="10"/>
  <c r="E9" i="10"/>
  <c r="E10" i="10"/>
  <c r="D22" i="10"/>
  <c r="D9" i="10"/>
  <c r="N9" i="10" s="1"/>
  <c r="D25" i="10"/>
  <c r="N22" i="10"/>
  <c r="D18" i="10"/>
  <c r="D17" i="10"/>
  <c r="D10" i="10"/>
  <c r="D27" i="10"/>
  <c r="C27" i="10"/>
  <c r="B18" i="10"/>
  <c r="N18" i="10" s="1"/>
  <c r="B17" i="10"/>
  <c r="N17" i="10" s="1"/>
  <c r="B22" i="10"/>
  <c r="B10" i="10"/>
  <c r="B27" i="10"/>
  <c r="C22" i="10"/>
  <c r="C18" i="10"/>
  <c r="C17" i="10"/>
  <c r="C10" i="10"/>
  <c r="C9" i="10"/>
  <c r="B2" i="10"/>
  <c r="B36" i="10"/>
  <c r="M35" i="10"/>
  <c r="M37" i="10" s="1"/>
  <c r="B35" i="10"/>
  <c r="M30" i="10"/>
  <c r="M31" i="10" s="1"/>
  <c r="L30" i="10"/>
  <c r="K30" i="10"/>
  <c r="N23" i="10"/>
  <c r="N21" i="10"/>
  <c r="N20" i="10"/>
  <c r="N19" i="10"/>
  <c r="N14" i="10"/>
  <c r="N13" i="10"/>
  <c r="N12" i="10"/>
  <c r="N11" i="10"/>
  <c r="N8" i="10"/>
  <c r="N6" i="10"/>
  <c r="M22" i="9"/>
  <c r="M18" i="9"/>
  <c r="M17" i="9"/>
  <c r="M8" i="9"/>
  <c r="M10" i="9"/>
  <c r="M9" i="9"/>
  <c r="M27" i="9"/>
  <c r="L22" i="9"/>
  <c r="L18" i="9"/>
  <c r="L17" i="9"/>
  <c r="L10" i="9"/>
  <c r="L9" i="9"/>
  <c r="L27" i="9"/>
  <c r="L20" i="9"/>
  <c r="K22" i="9"/>
  <c r="K18" i="9"/>
  <c r="K17" i="9"/>
  <c r="K9" i="9"/>
  <c r="K10" i="9"/>
  <c r="K27" i="9"/>
  <c r="J22" i="9"/>
  <c r="J25" i="9"/>
  <c r="J27" i="9"/>
  <c r="J17" i="9"/>
  <c r="J18" i="9"/>
  <c r="J10" i="9"/>
  <c r="J9" i="9"/>
  <c r="B18" i="8"/>
  <c r="B17" i="8"/>
  <c r="B29" i="8"/>
  <c r="B14" i="8"/>
  <c r="C12" i="8"/>
  <c r="D14" i="8"/>
  <c r="E22" i="8"/>
  <c r="E12" i="8"/>
  <c r="I22" i="9"/>
  <c r="I18" i="9"/>
  <c r="I17" i="9"/>
  <c r="I10" i="9"/>
  <c r="I27" i="9"/>
  <c r="I9" i="9"/>
  <c r="H10" i="9"/>
  <c r="H17" i="9"/>
  <c r="H22" i="9"/>
  <c r="H18" i="9"/>
  <c r="H8" i="9"/>
  <c r="H9" i="9"/>
  <c r="H27" i="9"/>
  <c r="G22" i="9"/>
  <c r="G18" i="9"/>
  <c r="G17" i="9"/>
  <c r="G27" i="9"/>
  <c r="G9" i="9"/>
  <c r="G10" i="9"/>
  <c r="F22" i="9"/>
  <c r="F18" i="9"/>
  <c r="F17" i="9"/>
  <c r="F10" i="9"/>
  <c r="F9" i="9"/>
  <c r="F27" i="9"/>
  <c r="F8" i="9"/>
  <c r="E22" i="9"/>
  <c r="E18" i="9"/>
  <c r="E17" i="9"/>
  <c r="E10" i="9"/>
  <c r="E27" i="9"/>
  <c r="E9" i="9"/>
  <c r="D22" i="9"/>
  <c r="D18" i="9"/>
  <c r="D17" i="9"/>
  <c r="D27" i="9"/>
  <c r="D10" i="9"/>
  <c r="D9" i="9"/>
  <c r="B25" i="10" l="1"/>
  <c r="B28" i="10" s="1"/>
  <c r="N10" i="10"/>
  <c r="K31" i="10"/>
  <c r="L31" i="10"/>
  <c r="K40" i="10"/>
  <c r="B38" i="10"/>
  <c r="B43" i="10" s="1"/>
  <c r="B32" i="8"/>
  <c r="B35" i="8" s="1"/>
  <c r="C22" i="8"/>
  <c r="C32" i="8" s="1"/>
  <c r="D29" i="8"/>
  <c r="D32" i="8" s="1"/>
  <c r="D35" i="8" s="1"/>
  <c r="E32" i="8"/>
  <c r="C22" i="9"/>
  <c r="B22" i="9"/>
  <c r="B2" i="9"/>
  <c r="M26" i="7"/>
  <c r="M17" i="7"/>
  <c r="C18" i="9"/>
  <c r="N18" i="9" s="1"/>
  <c r="C17" i="9"/>
  <c r="N17" i="9" s="1"/>
  <c r="C10" i="9"/>
  <c r="C9" i="9"/>
  <c r="C27" i="9"/>
  <c r="B18" i="9"/>
  <c r="B17" i="9"/>
  <c r="B10" i="9"/>
  <c r="B9" i="9"/>
  <c r="B27" i="9"/>
  <c r="B36" i="9"/>
  <c r="M35" i="9"/>
  <c r="M37" i="9" s="1"/>
  <c r="B35" i="9"/>
  <c r="M30" i="9"/>
  <c r="M31" i="9" s="1"/>
  <c r="L30" i="9"/>
  <c r="L31" i="9" s="1"/>
  <c r="K30" i="9"/>
  <c r="K31" i="9" s="1"/>
  <c r="N23" i="9"/>
  <c r="N22" i="9"/>
  <c r="N21" i="9"/>
  <c r="N20" i="9"/>
  <c r="N19" i="9"/>
  <c r="N13" i="9"/>
  <c r="N12" i="9"/>
  <c r="N11" i="9"/>
  <c r="N10" i="9"/>
  <c r="N14" i="9"/>
  <c r="N8" i="9"/>
  <c r="N6" i="9"/>
  <c r="C2" i="10" l="1"/>
  <c r="C25" i="10" s="1"/>
  <c r="D2" i="10" s="1"/>
  <c r="B25" i="9"/>
  <c r="K40" i="9"/>
  <c r="B38" i="9"/>
  <c r="B43" i="9" s="1"/>
  <c r="B28" i="9"/>
  <c r="C2" i="9"/>
  <c r="C25" i="9" s="1"/>
  <c r="N9" i="9"/>
  <c r="J17" i="8"/>
  <c r="K22" i="8" s="1"/>
  <c r="H17" i="8"/>
  <c r="I22" i="8" s="1"/>
  <c r="J14" i="8"/>
  <c r="K12" i="8"/>
  <c r="H14" i="8"/>
  <c r="F8" i="8"/>
  <c r="F14" i="8" s="1"/>
  <c r="F17" i="8"/>
  <c r="F29" i="8" s="1"/>
  <c r="C28" i="10" l="1"/>
  <c r="E2" i="10"/>
  <c r="E25" i="10" s="1"/>
  <c r="D28" i="10"/>
  <c r="J29" i="8"/>
  <c r="G12" i="8"/>
  <c r="G22" i="8"/>
  <c r="G32" i="8" s="1"/>
  <c r="D2" i="9"/>
  <c r="D25" i="9" s="1"/>
  <c r="C28" i="9"/>
  <c r="K32" i="8"/>
  <c r="J32" i="8"/>
  <c r="J35" i="8" s="1"/>
  <c r="I12" i="8"/>
  <c r="I32" i="8" s="1"/>
  <c r="H29" i="8"/>
  <c r="H32" i="8" s="1"/>
  <c r="H35" i="8" s="1"/>
  <c r="F32" i="8"/>
  <c r="F35" i="8" s="1"/>
  <c r="M8" i="7"/>
  <c r="M21" i="7"/>
  <c r="M9" i="7"/>
  <c r="M13" i="7"/>
  <c r="M18" i="7"/>
  <c r="M19" i="7"/>
  <c r="M16" i="7"/>
  <c r="F2" i="10" l="1"/>
  <c r="F25" i="10" s="1"/>
  <c r="E28" i="10"/>
  <c r="E2" i="9"/>
  <c r="E25" i="9" s="1"/>
  <c r="D28" i="9"/>
  <c r="L21" i="7"/>
  <c r="L26" i="7"/>
  <c r="L17" i="7"/>
  <c r="L16" i="7"/>
  <c r="L9" i="7"/>
  <c r="L7" i="7"/>
  <c r="L8" i="7"/>
  <c r="G2" i="10" l="1"/>
  <c r="G25" i="10" s="1"/>
  <c r="F28" i="10"/>
  <c r="E28" i="9"/>
  <c r="F2" i="9"/>
  <c r="F25" i="9" s="1"/>
  <c r="K21" i="7"/>
  <c r="K17" i="7"/>
  <c r="K16" i="7"/>
  <c r="K8" i="7"/>
  <c r="K7" i="7"/>
  <c r="K9" i="7"/>
  <c r="K26" i="7"/>
  <c r="G28" i="10" l="1"/>
  <c r="H2" i="10"/>
  <c r="H25" i="10" s="1"/>
  <c r="F28" i="9"/>
  <c r="G2" i="9"/>
  <c r="G25" i="9" s="1"/>
  <c r="J21" i="7"/>
  <c r="J17" i="7"/>
  <c r="J16" i="7"/>
  <c r="J9" i="7"/>
  <c r="J8" i="7"/>
  <c r="J26" i="7"/>
  <c r="H28" i="10" l="1"/>
  <c r="I2" i="10"/>
  <c r="I25" i="10" s="1"/>
  <c r="H2" i="9"/>
  <c r="H25" i="9" s="1"/>
  <c r="G28" i="9"/>
  <c r="I17" i="7"/>
  <c r="I16" i="7"/>
  <c r="I21" i="7"/>
  <c r="I9" i="7"/>
  <c r="I8" i="7"/>
  <c r="I26" i="7"/>
  <c r="I28" i="10" l="1"/>
  <c r="J2" i="10"/>
  <c r="J25" i="10" s="1"/>
  <c r="I2" i="9"/>
  <c r="I25" i="9" s="1"/>
  <c r="H28" i="9"/>
  <c r="H21" i="7"/>
  <c r="H17" i="7"/>
  <c r="H16" i="7"/>
  <c r="H9" i="7"/>
  <c r="H26" i="7"/>
  <c r="H8" i="7"/>
  <c r="J28" i="10" l="1"/>
  <c r="K2" i="10"/>
  <c r="K25" i="10" s="1"/>
  <c r="I28" i="9"/>
  <c r="J2" i="9"/>
  <c r="G21" i="7"/>
  <c r="G26" i="7"/>
  <c r="G17" i="7"/>
  <c r="G16" i="7"/>
  <c r="G9" i="7"/>
  <c r="G8" i="7"/>
  <c r="L2" i="10" l="1"/>
  <c r="L25" i="10" s="1"/>
  <c r="K28" i="10"/>
  <c r="J28" i="9"/>
  <c r="K2" i="9"/>
  <c r="K25" i="9" s="1"/>
  <c r="F21" i="7"/>
  <c r="F17" i="7"/>
  <c r="F16" i="7"/>
  <c r="F9" i="7"/>
  <c r="F26" i="7"/>
  <c r="M2" i="10" l="1"/>
  <c r="M25" i="10" s="1"/>
  <c r="M28" i="10" s="1"/>
  <c r="L28" i="10"/>
  <c r="L2" i="9"/>
  <c r="L25" i="9" s="1"/>
  <c r="K28" i="9"/>
  <c r="E26" i="7"/>
  <c r="E21" i="7"/>
  <c r="E16" i="7"/>
  <c r="E17" i="7"/>
  <c r="E9" i="7"/>
  <c r="M2" i="9" l="1"/>
  <c r="M25" i="9" s="1"/>
  <c r="M28" i="9" s="1"/>
  <c r="L28" i="9"/>
  <c r="D26" i="7"/>
  <c r="D17" i="7"/>
  <c r="D8" i="7"/>
  <c r="D9" i="7"/>
  <c r="C8" i="7" l="1"/>
  <c r="C26" i="7"/>
  <c r="C21" i="7"/>
  <c r="C16" i="7"/>
  <c r="C17" i="7"/>
  <c r="C9" i="7"/>
  <c r="B9" i="7" l="1"/>
  <c r="B8" i="7"/>
  <c r="B16" i="7"/>
  <c r="B17" i="7"/>
  <c r="B26" i="7"/>
  <c r="N16" i="7"/>
  <c r="M36" i="7"/>
  <c r="K39" i="7" s="1"/>
  <c r="B35" i="7"/>
  <c r="M34" i="7"/>
  <c r="B34" i="7"/>
  <c r="M29" i="7"/>
  <c r="M30" i="7" s="1"/>
  <c r="L29" i="7"/>
  <c r="K29" i="7"/>
  <c r="N22" i="7"/>
  <c r="N21" i="7"/>
  <c r="N20" i="7"/>
  <c r="N19" i="7"/>
  <c r="N18" i="7"/>
  <c r="N17" i="7"/>
  <c r="N13" i="7"/>
  <c r="N12" i="7"/>
  <c r="N11" i="7"/>
  <c r="N10" i="7"/>
  <c r="N9" i="7"/>
  <c r="N7" i="7"/>
  <c r="N6" i="7"/>
  <c r="K30" i="7" l="1"/>
  <c r="L30" i="7"/>
  <c r="B37" i="7"/>
  <c r="B42" i="7" s="1"/>
  <c r="N8" i="7"/>
  <c r="N22" i="5"/>
  <c r="N20" i="5"/>
  <c r="N18" i="5"/>
  <c r="N13" i="5"/>
  <c r="N12" i="5"/>
  <c r="N10" i="5"/>
  <c r="N6" i="5"/>
  <c r="M9" i="5" l="1"/>
  <c r="M21" i="5"/>
  <c r="M16" i="5"/>
  <c r="M7" i="5"/>
  <c r="M26" i="5"/>
  <c r="M8" i="5"/>
  <c r="L8" i="5" l="1"/>
  <c r="L26" i="5"/>
  <c r="L21" i="5"/>
  <c r="L16" i="5"/>
  <c r="L17" i="5"/>
  <c r="L7" i="5"/>
  <c r="N7" i="5" s="1"/>
  <c r="L9" i="5"/>
  <c r="K21" i="5" l="1"/>
  <c r="K11" i="5"/>
  <c r="N11" i="5" s="1"/>
  <c r="K17" i="5"/>
  <c r="K16" i="5"/>
  <c r="K9" i="5"/>
  <c r="K26" i="5"/>
  <c r="K8" i="5"/>
  <c r="K19" i="5"/>
  <c r="N19" i="5" s="1"/>
  <c r="J26" i="5" l="1"/>
  <c r="J17" i="5"/>
  <c r="J16" i="5"/>
  <c r="J9" i="5"/>
  <c r="I26" i="5" l="1"/>
  <c r="I21" i="5"/>
  <c r="I8" i="5"/>
  <c r="I17" i="5"/>
  <c r="I16" i="5"/>
  <c r="I9" i="5"/>
  <c r="H26" i="5" l="1"/>
  <c r="H21" i="5"/>
  <c r="H16" i="5"/>
  <c r="H17" i="5"/>
  <c r="H8" i="5"/>
  <c r="H9" i="5"/>
  <c r="G21" i="5" l="1"/>
  <c r="G8" i="5"/>
  <c r="G17" i="5"/>
  <c r="G16" i="5"/>
  <c r="G9" i="5"/>
  <c r="G26" i="5"/>
  <c r="F8" i="5" l="1"/>
  <c r="F26" i="5"/>
  <c r="F21" i="5"/>
  <c r="F17" i="5"/>
  <c r="F16" i="5"/>
  <c r="E9" i="5" l="1"/>
  <c r="E21" i="5"/>
  <c r="E26" i="5"/>
  <c r="E17" i="5"/>
  <c r="E16" i="5"/>
  <c r="E8" i="5"/>
  <c r="B62" i="6" l="1"/>
  <c r="B64" i="6" s="1"/>
  <c r="B45" i="6"/>
  <c r="B52" i="6" s="1"/>
  <c r="B65" i="6" s="1"/>
  <c r="B68" i="6" s="1"/>
  <c r="I46" i="6" l="1"/>
  <c r="H46" i="6"/>
  <c r="G46" i="6"/>
  <c r="F46" i="6"/>
  <c r="I45" i="6"/>
  <c r="I52" i="6" s="1"/>
  <c r="H45" i="6"/>
  <c r="H52" i="6" s="1"/>
  <c r="G45" i="6"/>
  <c r="G52" i="6" s="1"/>
  <c r="F45" i="6"/>
  <c r="F52" i="6" s="1"/>
  <c r="E59" i="6"/>
  <c r="E45" i="6"/>
  <c r="E46" i="6"/>
  <c r="I64" i="6"/>
  <c r="H64" i="6"/>
  <c r="G64" i="6"/>
  <c r="F64" i="6"/>
  <c r="E55" i="6"/>
  <c r="E64" i="6" s="1"/>
  <c r="D55" i="6"/>
  <c r="D64" i="6" s="1"/>
  <c r="D52" i="6"/>
  <c r="D65" i="6" s="1"/>
  <c r="C64" i="6"/>
  <c r="C52" i="6"/>
  <c r="C65" i="6" s="1"/>
  <c r="C68" i="6" s="1"/>
  <c r="E52" i="6" l="1"/>
  <c r="E65" i="6" s="1"/>
  <c r="F42" i="6" s="1"/>
  <c r="F65" i="6" s="1"/>
  <c r="G42" i="6" s="1"/>
  <c r="E42" i="6"/>
  <c r="D68" i="6"/>
  <c r="P27" i="6"/>
  <c r="L28" i="6"/>
  <c r="K28" i="6"/>
  <c r="G65" i="6" l="1"/>
  <c r="H42" i="6" s="1"/>
  <c r="H65" i="6" s="1"/>
  <c r="I42" i="6" s="1"/>
  <c r="I65" i="6" s="1"/>
  <c r="F8" i="6"/>
  <c r="F18" i="6"/>
  <c r="G18" i="6" s="1"/>
  <c r="H18" i="6" s="1"/>
  <c r="I18" i="6" s="1"/>
  <c r="F17" i="6"/>
  <c r="M21" i="6"/>
  <c r="H20" i="6" s="1"/>
  <c r="J23" i="6"/>
  <c r="J22" i="6"/>
  <c r="J21" i="6"/>
  <c r="L20" i="6" s="1"/>
  <c r="K20" i="6"/>
  <c r="K21" i="6" s="1"/>
  <c r="J20" i="6"/>
  <c r="F21" i="6"/>
  <c r="F9" i="6"/>
  <c r="D28" i="6"/>
  <c r="D30" i="6" s="1"/>
  <c r="L21" i="6" l="1"/>
  <c r="G20" i="6" s="1"/>
  <c r="G8" i="6"/>
  <c r="G14" i="6" s="1"/>
  <c r="F14" i="6"/>
  <c r="I20" i="6"/>
  <c r="M20" i="6"/>
  <c r="H8" i="6"/>
  <c r="H14" i="6" s="1"/>
  <c r="F23" i="6"/>
  <c r="G17" i="6"/>
  <c r="E9" i="6"/>
  <c r="E11" i="6"/>
  <c r="E4" i="6"/>
  <c r="E8" i="6"/>
  <c r="E18" i="6"/>
  <c r="E17" i="6"/>
  <c r="E23" i="6" s="1"/>
  <c r="D4" i="6"/>
  <c r="B28" i="6"/>
  <c r="B24" i="6"/>
  <c r="C4" i="6" s="1"/>
  <c r="F24" i="6" l="1"/>
  <c r="G4" i="6" s="1"/>
  <c r="E14" i="6"/>
  <c r="E24" i="6" s="1"/>
  <c r="I8" i="6"/>
  <c r="I14" i="6" s="1"/>
  <c r="G23" i="6"/>
  <c r="G24" i="6" s="1"/>
  <c r="H4" i="6" s="1"/>
  <c r="H17" i="6"/>
  <c r="D17" i="5"/>
  <c r="N17" i="5" s="1"/>
  <c r="D21" i="5"/>
  <c r="D8" i="5"/>
  <c r="D16" i="5"/>
  <c r="D9" i="5"/>
  <c r="D26" i="5"/>
  <c r="I17" i="6" l="1"/>
  <c r="I23" i="6" s="1"/>
  <c r="H23" i="6"/>
  <c r="H24" i="6" s="1"/>
  <c r="I4" i="6" s="1"/>
  <c r="I24" i="6" s="1"/>
  <c r="C8" i="5"/>
  <c r="C9" i="5"/>
  <c r="C26" i="5"/>
  <c r="B21" i="5"/>
  <c r="N21" i="5" s="1"/>
  <c r="B26" i="5"/>
  <c r="B9" i="5"/>
  <c r="N9" i="5" s="1"/>
  <c r="B16" i="5"/>
  <c r="N16" i="5" s="1"/>
  <c r="B8" i="5"/>
  <c r="N8" i="5" s="1"/>
  <c r="B35" i="5"/>
  <c r="M34" i="5"/>
  <c r="M36" i="5" s="1"/>
  <c r="B34" i="5"/>
  <c r="K30" i="5"/>
  <c r="M29" i="5"/>
  <c r="M30" i="5" s="1"/>
  <c r="L29" i="5"/>
  <c r="L30" i="5" s="1"/>
  <c r="K29" i="5"/>
  <c r="B37" i="5" l="1"/>
  <c r="B42" i="5" s="1"/>
  <c r="K39" i="5"/>
  <c r="B24" i="5"/>
  <c r="C2" i="5" s="1"/>
  <c r="C24" i="5" s="1"/>
  <c r="C27" i="5" s="1"/>
  <c r="M16" i="4"/>
  <c r="M24" i="4"/>
  <c r="M19" i="4"/>
  <c r="M9" i="4"/>
  <c r="M7" i="4"/>
  <c r="M8" i="4"/>
  <c r="B27" i="5" l="1"/>
  <c r="D2" i="5"/>
  <c r="D24" i="5" s="1"/>
  <c r="D27" i="5" s="1"/>
  <c r="L24" i="4"/>
  <c r="L19" i="4"/>
  <c r="N12" i="4"/>
  <c r="L9" i="4"/>
  <c r="L15" i="4"/>
  <c r="L18" i="4"/>
  <c r="E2" i="5" l="1"/>
  <c r="K19" i="4"/>
  <c r="K18" i="4"/>
  <c r="K15" i="4"/>
  <c r="K24" i="4"/>
  <c r="K8" i="4"/>
  <c r="K16" i="4"/>
  <c r="K9" i="4"/>
  <c r="E24" i="5" l="1"/>
  <c r="F2" i="5" s="1"/>
  <c r="F24" i="5" s="1"/>
  <c r="J19" i="4"/>
  <c r="J24" i="4"/>
  <c r="J16" i="4"/>
  <c r="J15" i="4"/>
  <c r="J9" i="4"/>
  <c r="J8" i="4"/>
  <c r="F27" i="5" l="1"/>
  <c r="G2" i="5"/>
  <c r="G24" i="5" s="1"/>
  <c r="G27" i="5" s="1"/>
  <c r="E27" i="5"/>
  <c r="I19" i="4"/>
  <c r="I9" i="4"/>
  <c r="I8" i="4"/>
  <c r="I16" i="4"/>
  <c r="I15" i="4"/>
  <c r="I24" i="4"/>
  <c r="H2" i="5" l="1"/>
  <c r="H24" i="5" s="1"/>
  <c r="H27" i="5" s="1"/>
  <c r="H8" i="4"/>
  <c r="H19" i="4"/>
  <c r="H15" i="4"/>
  <c r="H16" i="4"/>
  <c r="H9" i="4"/>
  <c r="H24" i="4"/>
  <c r="I2" i="5" l="1"/>
  <c r="I24" i="5" s="1"/>
  <c r="J2" i="5" s="1"/>
  <c r="J24" i="5" s="1"/>
  <c r="G19" i="4"/>
  <c r="G24" i="4"/>
  <c r="G8" i="4"/>
  <c r="G15" i="4"/>
  <c r="G16" i="4"/>
  <c r="G9" i="4"/>
  <c r="F16" i="4"/>
  <c r="F15" i="4"/>
  <c r="F19" i="4"/>
  <c r="F9" i="4"/>
  <c r="F7" i="4"/>
  <c r="F8" i="4"/>
  <c r="F24" i="4"/>
  <c r="I27" i="5" l="1"/>
  <c r="K2" i="5"/>
  <c r="K24" i="5" s="1"/>
  <c r="J27" i="5"/>
  <c r="E24" i="4"/>
  <c r="E19" i="4"/>
  <c r="E16" i="4"/>
  <c r="E15" i="4"/>
  <c r="E8" i="4"/>
  <c r="E9" i="4"/>
  <c r="K27" i="5" l="1"/>
  <c r="L2" i="5"/>
  <c r="L24" i="5" s="1"/>
  <c r="D24" i="4"/>
  <c r="D19" i="4"/>
  <c r="D15" i="4"/>
  <c r="D16" i="4"/>
  <c r="D8" i="4"/>
  <c r="D9" i="4"/>
  <c r="L27" i="5" l="1"/>
  <c r="M2" i="5"/>
  <c r="M24" i="5" s="1"/>
  <c r="C19" i="4"/>
  <c r="C16" i="4"/>
  <c r="C15" i="4"/>
  <c r="C9" i="4"/>
  <c r="C8" i="4"/>
  <c r="C24" i="4"/>
  <c r="B31" i="4"/>
  <c r="B24" i="4"/>
  <c r="B19" i="4"/>
  <c r="B16" i="4"/>
  <c r="B15" i="4"/>
  <c r="B8" i="4"/>
  <c r="M27" i="5" l="1"/>
  <c r="B9" i="4"/>
  <c r="B2" i="4"/>
  <c r="B33" i="4"/>
  <c r="M32" i="4"/>
  <c r="M34" i="4" s="1"/>
  <c r="B32" i="4"/>
  <c r="M27" i="4"/>
  <c r="M28" i="4" s="1"/>
  <c r="L27" i="4"/>
  <c r="L28" i="4" s="1"/>
  <c r="K27" i="4"/>
  <c r="N20" i="4"/>
  <c r="N19" i="4"/>
  <c r="N18" i="4"/>
  <c r="N17" i="4"/>
  <c r="N16" i="4"/>
  <c r="N15" i="4"/>
  <c r="N11" i="4"/>
  <c r="N10" i="4"/>
  <c r="N9" i="4"/>
  <c r="N8" i="4"/>
  <c r="N7" i="4"/>
  <c r="N6" i="4"/>
  <c r="N5" i="4"/>
  <c r="B22" i="4"/>
  <c r="B35" i="4" l="1"/>
  <c r="B40" i="4" s="1"/>
  <c r="K37" i="4"/>
  <c r="D32" i="6" s="1"/>
  <c r="K28" i="4"/>
  <c r="C2" i="4"/>
  <c r="C22" i="4" s="1"/>
  <c r="C25" i="4" s="1"/>
  <c r="B25" i="4"/>
  <c r="M27" i="3"/>
  <c r="L27" i="3"/>
  <c r="K27" i="3"/>
  <c r="M27" i="2"/>
  <c r="L27" i="2"/>
  <c r="K27" i="2"/>
  <c r="M27" i="1"/>
  <c r="L27" i="1"/>
  <c r="K27" i="1"/>
  <c r="D2" i="4" l="1"/>
  <c r="D22" i="4" s="1"/>
  <c r="D25" i="4" s="1"/>
  <c r="M19" i="3"/>
  <c r="M16" i="3"/>
  <c r="M15" i="3"/>
  <c r="M9" i="3"/>
  <c r="M8" i="3"/>
  <c r="M7" i="3"/>
  <c r="M24" i="3"/>
  <c r="M28" i="3" s="1"/>
  <c r="B33" i="1"/>
  <c r="B33" i="2"/>
  <c r="M33" i="3"/>
  <c r="L20" i="3"/>
  <c r="L19" i="3"/>
  <c r="L16" i="3"/>
  <c r="L15" i="3"/>
  <c r="L9" i="3"/>
  <c r="L8" i="3"/>
  <c r="L7" i="3"/>
  <c r="L24" i="3"/>
  <c r="L28" i="3" s="1"/>
  <c r="K16" i="3"/>
  <c r="K19" i="3"/>
  <c r="K15" i="3"/>
  <c r="K9" i="3"/>
  <c r="K8" i="3"/>
  <c r="N6" i="3"/>
  <c r="K24" i="3"/>
  <c r="K28" i="3" s="1"/>
  <c r="J9" i="3"/>
  <c r="J19" i="3"/>
  <c r="J15" i="3"/>
  <c r="J16" i="3"/>
  <c r="J8" i="3"/>
  <c r="J24" i="3"/>
  <c r="I9" i="3"/>
  <c r="I19" i="3"/>
  <c r="I16" i="3"/>
  <c r="I15" i="3"/>
  <c r="I8" i="3"/>
  <c r="I24" i="3"/>
  <c r="H9" i="3"/>
  <c r="H19" i="3"/>
  <c r="H15" i="3"/>
  <c r="H18" i="3"/>
  <c r="H16" i="3"/>
  <c r="H8" i="3"/>
  <c r="H7" i="3"/>
  <c r="H24" i="3"/>
  <c r="E2" i="4" l="1"/>
  <c r="E22" i="4" s="1"/>
  <c r="E25" i="4" s="1"/>
  <c r="G16" i="3"/>
  <c r="N20" i="3"/>
  <c r="G9" i="3"/>
  <c r="G15" i="3"/>
  <c r="G19" i="3"/>
  <c r="G8" i="3"/>
  <c r="G24" i="3"/>
  <c r="F9" i="3"/>
  <c r="F19" i="3"/>
  <c r="F16" i="3"/>
  <c r="F15" i="3"/>
  <c r="F18" i="3"/>
  <c r="F7" i="3"/>
  <c r="N7" i="3" s="1"/>
  <c r="F8" i="3"/>
  <c r="F24" i="3"/>
  <c r="E9" i="3"/>
  <c r="E16" i="3"/>
  <c r="E19" i="3"/>
  <c r="E15" i="3"/>
  <c r="E8" i="3"/>
  <c r="E24" i="3"/>
  <c r="C19" i="3"/>
  <c r="D9" i="3"/>
  <c r="D19" i="3"/>
  <c r="D16" i="3"/>
  <c r="D15" i="3"/>
  <c r="D8" i="3"/>
  <c r="D24" i="3"/>
  <c r="C11" i="3"/>
  <c r="N11" i="3" s="1"/>
  <c r="C16" i="3"/>
  <c r="C15" i="3"/>
  <c r="C9" i="3"/>
  <c r="C8" i="3"/>
  <c r="C24" i="3"/>
  <c r="B2" i="3"/>
  <c r="B24" i="3"/>
  <c r="B19" i="3"/>
  <c r="B16" i="3"/>
  <c r="B15" i="3"/>
  <c r="B9" i="3"/>
  <c r="B8" i="3"/>
  <c r="B7" i="3"/>
  <c r="M32" i="3"/>
  <c r="M34" i="3" s="1"/>
  <c r="B35" i="3" s="1"/>
  <c r="B40" i="3" s="1"/>
  <c r="B32" i="3"/>
  <c r="N21" i="3"/>
  <c r="N18" i="3"/>
  <c r="N17" i="3"/>
  <c r="N10" i="3"/>
  <c r="N20" i="1"/>
  <c r="N6" i="1"/>
  <c r="N5" i="1"/>
  <c r="M19" i="2"/>
  <c r="M16" i="2"/>
  <c r="M15" i="2"/>
  <c r="M9" i="2"/>
  <c r="M7" i="2"/>
  <c r="N21" i="2"/>
  <c r="N20" i="2"/>
  <c r="N17" i="2"/>
  <c r="N11" i="2"/>
  <c r="N10" i="2"/>
  <c r="N6" i="2"/>
  <c r="M8" i="2"/>
  <c r="M24" i="2"/>
  <c r="M28" i="2" s="1"/>
  <c r="L19" i="2"/>
  <c r="L16" i="2"/>
  <c r="L15" i="2"/>
  <c r="L8" i="2"/>
  <c r="L9" i="2"/>
  <c r="M33" i="2"/>
  <c r="L24" i="2"/>
  <c r="L28" i="2" s="1"/>
  <c r="K19" i="2"/>
  <c r="K16" i="2"/>
  <c r="K15" i="2"/>
  <c r="K8" i="2"/>
  <c r="K9" i="2"/>
  <c r="K24" i="2"/>
  <c r="K28" i="2" s="1"/>
  <c r="J19" i="2"/>
  <c r="J16" i="2"/>
  <c r="J15" i="2"/>
  <c r="J9" i="2"/>
  <c r="J7" i="2"/>
  <c r="J8" i="2"/>
  <c r="J24" i="2"/>
  <c r="I19" i="2"/>
  <c r="I16" i="2"/>
  <c r="I15" i="2"/>
  <c r="I8" i="2"/>
  <c r="I9" i="2"/>
  <c r="I24" i="2"/>
  <c r="H19" i="2"/>
  <c r="H18" i="2"/>
  <c r="H16" i="2"/>
  <c r="H15" i="2"/>
  <c r="H9" i="2"/>
  <c r="H8" i="2"/>
  <c r="H24" i="2"/>
  <c r="G19" i="2"/>
  <c r="G16" i="2"/>
  <c r="G15" i="2"/>
  <c r="G9" i="2"/>
  <c r="G8" i="2"/>
  <c r="G24" i="2"/>
  <c r="F19" i="2"/>
  <c r="F18" i="2"/>
  <c r="F16" i="2"/>
  <c r="F15" i="2"/>
  <c r="F9" i="2"/>
  <c r="F8" i="2"/>
  <c r="F24" i="2"/>
  <c r="E16" i="2"/>
  <c r="E19" i="2"/>
  <c r="E15" i="2"/>
  <c r="E8" i="2"/>
  <c r="E9" i="2"/>
  <c r="E24" i="2"/>
  <c r="D19" i="2"/>
  <c r="D15" i="2"/>
  <c r="D16" i="2"/>
  <c r="D9" i="2"/>
  <c r="D8" i="2"/>
  <c r="D24" i="2"/>
  <c r="C9" i="2"/>
  <c r="C5" i="2"/>
  <c r="N5" i="2" s="1"/>
  <c r="C19" i="2"/>
  <c r="C16" i="2"/>
  <c r="C15" i="2"/>
  <c r="C8" i="2"/>
  <c r="C24" i="2"/>
  <c r="B24" i="2"/>
  <c r="B16" i="2"/>
  <c r="B15" i="2"/>
  <c r="B9" i="2"/>
  <c r="B8" i="2"/>
  <c r="M32" i="2"/>
  <c r="B32" i="2"/>
  <c r="N8" i="2" l="1"/>
  <c r="N15" i="2"/>
  <c r="N9" i="2"/>
  <c r="N16" i="2"/>
  <c r="N18" i="2"/>
  <c r="N19" i="2"/>
  <c r="N7" i="2"/>
  <c r="F2" i="4"/>
  <c r="F22" i="4" s="1"/>
  <c r="F25" i="4" s="1"/>
  <c r="N16" i="3"/>
  <c r="N19" i="3"/>
  <c r="N15" i="3"/>
  <c r="N9" i="3"/>
  <c r="B22" i="3"/>
  <c r="C2" i="3" s="1"/>
  <c r="C22" i="3" s="1"/>
  <c r="N8" i="3"/>
  <c r="M34" i="2"/>
  <c r="B35" i="2" s="1"/>
  <c r="B40" i="2" s="1"/>
  <c r="C12" i="2"/>
  <c r="B22" i="2"/>
  <c r="C2" i="2" s="1"/>
  <c r="C22" i="2" s="1"/>
  <c r="M19" i="1"/>
  <c r="M16" i="1"/>
  <c r="M15" i="1"/>
  <c r="M8" i="1"/>
  <c r="M7" i="1"/>
  <c r="M9" i="1"/>
  <c r="M24" i="1"/>
  <c r="M28" i="1" s="1"/>
  <c r="L19" i="1"/>
  <c r="L15" i="1"/>
  <c r="L16" i="1"/>
  <c r="L18" i="1"/>
  <c r="L8" i="1"/>
  <c r="L9" i="1"/>
  <c r="L7" i="1"/>
  <c r="N7" i="1" s="1"/>
  <c r="L24" i="1"/>
  <c r="L28" i="1" s="1"/>
  <c r="K19" i="1"/>
  <c r="K15" i="1"/>
  <c r="K8" i="1"/>
  <c r="K9" i="1"/>
  <c r="K24" i="1"/>
  <c r="K28" i="1" s="1"/>
  <c r="J19" i="1"/>
  <c r="J16" i="1"/>
  <c r="J15" i="1"/>
  <c r="J8" i="1"/>
  <c r="J9" i="1"/>
  <c r="J24" i="1"/>
  <c r="I19" i="1"/>
  <c r="I15" i="1"/>
  <c r="I16" i="1"/>
  <c r="I9" i="1"/>
  <c r="I8" i="1"/>
  <c r="I24" i="1"/>
  <c r="H16" i="1"/>
  <c r="H19" i="1"/>
  <c r="H17" i="1"/>
  <c r="N17" i="1" s="1"/>
  <c r="H15" i="1"/>
  <c r="H18" i="1"/>
  <c r="H8" i="1"/>
  <c r="H9" i="1"/>
  <c r="H24" i="1"/>
  <c r="G9" i="1"/>
  <c r="G15" i="1"/>
  <c r="G16" i="1"/>
  <c r="G19" i="1"/>
  <c r="G8" i="1"/>
  <c r="G24" i="1"/>
  <c r="F9" i="1"/>
  <c r="F19" i="1"/>
  <c r="F18" i="1"/>
  <c r="F16" i="1"/>
  <c r="F8" i="1"/>
  <c r="F15" i="1"/>
  <c r="F24" i="1"/>
  <c r="E15" i="1"/>
  <c r="E9" i="1"/>
  <c r="E19" i="1"/>
  <c r="E24" i="1"/>
  <c r="E16" i="1"/>
  <c r="E10" i="1"/>
  <c r="N10" i="1" s="1"/>
  <c r="E8" i="1"/>
  <c r="M32" i="1"/>
  <c r="M34" i="1" s="1"/>
  <c r="N18" i="1" l="1"/>
  <c r="B35" i="1"/>
  <c r="B40" i="1" s="1"/>
  <c r="K38" i="1"/>
  <c r="G2" i="4"/>
  <c r="G22" i="4" s="1"/>
  <c r="G25" i="4" s="1"/>
  <c r="B25" i="3"/>
  <c r="D2" i="3"/>
  <c r="D22" i="3" s="1"/>
  <c r="C25" i="3"/>
  <c r="B25" i="2"/>
  <c r="D2" i="2"/>
  <c r="D22" i="2" s="1"/>
  <c r="C25" i="2"/>
  <c r="B32" i="1"/>
  <c r="D19" i="1"/>
  <c r="D16" i="1"/>
  <c r="D24" i="1"/>
  <c r="B8" i="1"/>
  <c r="N8" i="1" s="1"/>
  <c r="B19" i="1"/>
  <c r="N19" i="1" s="1"/>
  <c r="C19" i="1"/>
  <c r="C8" i="1"/>
  <c r="D8" i="1"/>
  <c r="D15" i="1"/>
  <c r="D9" i="1"/>
  <c r="C15" i="1"/>
  <c r="C24" i="1"/>
  <c r="C16" i="1"/>
  <c r="C11" i="1"/>
  <c r="N11" i="1" s="1"/>
  <c r="C9" i="1"/>
  <c r="B24" i="1"/>
  <c r="B16" i="1"/>
  <c r="B15" i="1"/>
  <c r="B9" i="1"/>
  <c r="N9" i="1" s="1"/>
  <c r="B2" i="1"/>
  <c r="N16" i="1" l="1"/>
  <c r="N15" i="1"/>
  <c r="H2" i="4"/>
  <c r="H22" i="4" s="1"/>
  <c r="H25" i="4" s="1"/>
  <c r="D25" i="3"/>
  <c r="E2" i="3"/>
  <c r="E22" i="3" s="1"/>
  <c r="E2" i="2"/>
  <c r="E22" i="2" s="1"/>
  <c r="D25" i="2"/>
  <c r="B22" i="1"/>
  <c r="I2" i="4" l="1"/>
  <c r="I22" i="4" s="1"/>
  <c r="I25" i="4" s="1"/>
  <c r="F2" i="3"/>
  <c r="F22" i="3" s="1"/>
  <c r="E25" i="3"/>
  <c r="E25" i="2"/>
  <c r="F2" i="2"/>
  <c r="F22" i="2" s="1"/>
  <c r="C2" i="1"/>
  <c r="C22" i="1" s="1"/>
  <c r="D2" i="1" s="1"/>
  <c r="D22" i="1" s="1"/>
  <c r="B25" i="1"/>
  <c r="J2" i="4" l="1"/>
  <c r="J22" i="4" s="1"/>
  <c r="J25" i="4" s="1"/>
  <c r="G2" i="3"/>
  <c r="G22" i="3" s="1"/>
  <c r="F25" i="3"/>
  <c r="F25" i="2"/>
  <c r="G2" i="2"/>
  <c r="G22" i="2" s="1"/>
  <c r="C25" i="1"/>
  <c r="E2" i="1"/>
  <c r="E22" i="1" s="1"/>
  <c r="D25" i="1"/>
  <c r="K2" i="4" l="1"/>
  <c r="K22" i="4" s="1"/>
  <c r="K25" i="4" s="1"/>
  <c r="G25" i="3"/>
  <c r="H2" i="3"/>
  <c r="H22" i="3" s="1"/>
  <c r="H2" i="2"/>
  <c r="H22" i="2" s="1"/>
  <c r="G25" i="2"/>
  <c r="F2" i="1"/>
  <c r="F22" i="1" s="1"/>
  <c r="E25" i="1"/>
  <c r="L2" i="4" l="1"/>
  <c r="H25" i="3"/>
  <c r="I2" i="3"/>
  <c r="I22" i="3" s="1"/>
  <c r="I2" i="2"/>
  <c r="I22" i="2" s="1"/>
  <c r="H25" i="2"/>
  <c r="G2" i="1"/>
  <c r="G22" i="1" s="1"/>
  <c r="F25" i="1"/>
  <c r="L22" i="4" l="1"/>
  <c r="L25" i="4" s="1"/>
  <c r="J2" i="3"/>
  <c r="J22" i="3" s="1"/>
  <c r="I25" i="3"/>
  <c r="I25" i="2"/>
  <c r="J2" i="2"/>
  <c r="J22" i="2" s="1"/>
  <c r="H2" i="1"/>
  <c r="H22" i="1" s="1"/>
  <c r="G25" i="1"/>
  <c r="M2" i="4" l="1"/>
  <c r="M22" i="4" s="1"/>
  <c r="M25" i="4" s="1"/>
  <c r="J25" i="3"/>
  <c r="K2" i="3"/>
  <c r="K22" i="3" s="1"/>
  <c r="J25" i="2"/>
  <c r="K2" i="2"/>
  <c r="K22" i="2" s="1"/>
  <c r="I2" i="1"/>
  <c r="I22" i="1" s="1"/>
  <c r="H25" i="1"/>
  <c r="K25" i="3" l="1"/>
  <c r="L2" i="3"/>
  <c r="L22" i="3" s="1"/>
  <c r="L2" i="2"/>
  <c r="L22" i="2" s="1"/>
  <c r="K25" i="2"/>
  <c r="J2" i="1"/>
  <c r="J22" i="1" s="1"/>
  <c r="I25" i="1"/>
  <c r="L25" i="3" l="1"/>
  <c r="M2" i="3"/>
  <c r="M22" i="3" s="1"/>
  <c r="M25" i="3" s="1"/>
  <c r="M2" i="2"/>
  <c r="M22" i="2" s="1"/>
  <c r="M25" i="2" s="1"/>
  <c r="L25" i="2"/>
  <c r="K2" i="1"/>
  <c r="J25" i="1"/>
  <c r="K22" i="1" l="1"/>
  <c r="L2" i="1" l="1"/>
  <c r="L22" i="1" s="1"/>
  <c r="K25" i="1"/>
  <c r="M2" i="1" l="1"/>
  <c r="M22" i="1" s="1"/>
  <c r="M25" i="1" s="1"/>
  <c r="L25" i="1"/>
  <c r="B24" i="7"/>
  <c r="C2" i="7" s="1"/>
  <c r="C24" i="7" s="1"/>
  <c r="C27" i="7" l="1"/>
  <c r="D2" i="7"/>
  <c r="D24" i="7" s="1"/>
  <c r="B27" i="7"/>
  <c r="D27" i="7" l="1"/>
  <c r="E2" i="7"/>
  <c r="E24" i="7" s="1"/>
  <c r="F2" i="7" l="1"/>
  <c r="F24" i="7" s="1"/>
  <c r="E27" i="7"/>
  <c r="F27" i="7" l="1"/>
  <c r="G2" i="7"/>
  <c r="G24" i="7" s="1"/>
  <c r="H2" i="7" l="1"/>
  <c r="H24" i="7" s="1"/>
  <c r="G27" i="7"/>
  <c r="I2" i="7" l="1"/>
  <c r="I24" i="7" s="1"/>
  <c r="H27" i="7"/>
  <c r="I27" i="7" l="1"/>
  <c r="J2" i="7"/>
  <c r="J24" i="7" s="1"/>
  <c r="K2" i="7" l="1"/>
  <c r="K24" i="7" s="1"/>
  <c r="K27" i="7" s="1"/>
  <c r="J27" i="7"/>
  <c r="L2" i="7" l="1"/>
  <c r="L24" i="7" s="1"/>
  <c r="M2" i="7" l="1"/>
  <c r="M24" i="7" s="1"/>
  <c r="M27" i="7" s="1"/>
  <c r="L27" i="7"/>
</calcChain>
</file>

<file path=xl/sharedStrings.xml><?xml version="1.0" encoding="utf-8"?>
<sst xmlns="http://schemas.openxmlformats.org/spreadsheetml/2006/main" count="522" uniqueCount="134">
  <si>
    <t>Biginning Cash Balance</t>
  </si>
  <si>
    <t>Revenues:</t>
  </si>
  <si>
    <t>Real Property Tax</t>
  </si>
  <si>
    <t>State or County Aid</t>
  </si>
  <si>
    <t>Court Revenues</t>
  </si>
  <si>
    <t>Other Revenues</t>
  </si>
  <si>
    <t>Transfers from Other Funds</t>
  </si>
  <si>
    <t>Expenditures:</t>
  </si>
  <si>
    <t>Payroll</t>
  </si>
  <si>
    <t>Employee Benefits</t>
  </si>
  <si>
    <t>Equipment</t>
  </si>
  <si>
    <t>BAN Principle and Interest</t>
  </si>
  <si>
    <t>Other Expenditures</t>
  </si>
  <si>
    <t>Transfer to Other Funds</t>
  </si>
  <si>
    <t>Calculated Ending Cash Balance</t>
  </si>
  <si>
    <t>Fund Bal. End of Year</t>
  </si>
  <si>
    <t>highway fund balance</t>
  </si>
  <si>
    <t>general fund balance</t>
  </si>
  <si>
    <t>Windmill Revenue received in Oct. 17</t>
  </si>
  <si>
    <t>Sale of Equipment</t>
  </si>
  <si>
    <t>Windmill Revenue &amp; PILOT</t>
  </si>
  <si>
    <t>Reserve</t>
  </si>
  <si>
    <t>CASH FLOW (A and DA)  2017</t>
  </si>
  <si>
    <t>CASH FLOW (A and DA)  2016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</si>
  <si>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</si>
  <si>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</si>
  <si>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</si>
  <si>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</si>
  <si>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</si>
  <si>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</si>
  <si>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</si>
  <si>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</si>
  <si>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</si>
  <si>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</si>
  <si>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</si>
  <si>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</si>
  <si>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Windmill Revenue received in Nov. 16</t>
  </si>
  <si>
    <t>totals for year</t>
  </si>
  <si>
    <t>PAVE NY FUNDING</t>
  </si>
  <si>
    <t>SALE OF MEDICAL BUILDING</t>
  </si>
  <si>
    <t>FUND BAL AT END OF YEAR</t>
  </si>
  <si>
    <t>UNEXPECTED REV</t>
  </si>
  <si>
    <t>MORTGAGE TAX</t>
  </si>
  <si>
    <t xml:space="preserve">COURT FINES </t>
  </si>
  <si>
    <t>COURT FINES</t>
  </si>
  <si>
    <t>TOTALS FOR YR</t>
  </si>
  <si>
    <t>SALE OF EQUIPMENT</t>
  </si>
  <si>
    <t>OTHER UNCLASSIFIED REV</t>
  </si>
  <si>
    <t>OTHER UNCLASSIFIED REV-storm relief</t>
  </si>
  <si>
    <t>CASH FLOW (A and DA)  2015</t>
  </si>
  <si>
    <t>Cash shown in binders</t>
  </si>
  <si>
    <t>Windmill Revenue rec'd in Oct.</t>
  </si>
  <si>
    <t>Available cash - Not including Windmill Revenue</t>
  </si>
  <si>
    <t>Total Fund Bal. EOY</t>
  </si>
  <si>
    <t xml:space="preserve"> - Windmill Revenue</t>
  </si>
  <si>
    <t>Approp. From 2016 budget</t>
  </si>
  <si>
    <t>Approp. From 2017 budget</t>
  </si>
  <si>
    <t>Windmill Revenue received in Oct. 15</t>
  </si>
  <si>
    <t>4.5% of EOY Fund Bal.</t>
  </si>
  <si>
    <t>20.9% of EOY Fund Bal.</t>
  </si>
  <si>
    <t>Approp. From 2018 budget</t>
  </si>
  <si>
    <t>20.6% of EOY Fund Bal.</t>
  </si>
  <si>
    <t>Approp. From 2019 budget</t>
  </si>
  <si>
    <t>% of EOY Fund Bal.</t>
  </si>
  <si>
    <t>Windmill Revenue received in Oct. 18</t>
  </si>
  <si>
    <t>CASH FLOW (General &amp; Highway)2018</t>
  </si>
  <si>
    <t>Due from Other Funds</t>
  </si>
  <si>
    <t xml:space="preserve">CASH FLOW (A and DA)  </t>
  </si>
  <si>
    <t>Windmill Revenue Received in Nov</t>
  </si>
  <si>
    <t>Actual Fund Balance</t>
  </si>
  <si>
    <t>Percentage of Fund Balance</t>
  </si>
  <si>
    <t>Actual</t>
  </si>
  <si>
    <t>Budget</t>
  </si>
  <si>
    <t>Estimate</t>
  </si>
  <si>
    <t>TOWN OF SHELDON FIVE-YEAR PLAN</t>
  </si>
  <si>
    <t>salt bldg exp</t>
  </si>
  <si>
    <t>salt bldg grant</t>
  </si>
  <si>
    <t>Fund Bal. End of Year-General</t>
  </si>
  <si>
    <t>Fund Bal. End of Year-Highway</t>
  </si>
  <si>
    <t>Int. 2.25%</t>
  </si>
  <si>
    <t>for 3 years</t>
  </si>
  <si>
    <t>yr 1</t>
  </si>
  <si>
    <t>yr 2</t>
  </si>
  <si>
    <t>yr 3</t>
  </si>
  <si>
    <t>plow truck</t>
  </si>
  <si>
    <t>gradall</t>
  </si>
  <si>
    <t>(3 years)</t>
  </si>
  <si>
    <t>(5 years)</t>
  </si>
  <si>
    <t>for 5 years</t>
  </si>
  <si>
    <t>yr 4</t>
  </si>
  <si>
    <t>yr 5</t>
  </si>
  <si>
    <t>VARYSBURG WATER DISTRICT FIVE-YEAR PLAN</t>
  </si>
  <si>
    <t>Real Property Tax - for USDA loan</t>
  </si>
  <si>
    <t>Real Property Tax - maintenance</t>
  </si>
  <si>
    <t>Rental of Equipment</t>
  </si>
  <si>
    <t>Metered Sales &amp; penalties</t>
  </si>
  <si>
    <t>Auditor</t>
  </si>
  <si>
    <t>Water Admin</t>
  </si>
  <si>
    <t>Source of Supply, Power &amp; Pumping</t>
  </si>
  <si>
    <t>Purification</t>
  </si>
  <si>
    <t>total</t>
  </si>
  <si>
    <t xml:space="preserve">total  </t>
  </si>
  <si>
    <t>SALT BUILDING</t>
  </si>
  <si>
    <t>CASH FLOW (General &amp; Highway)2019</t>
  </si>
  <si>
    <t>Transfer from Salt bldg reserve</t>
  </si>
  <si>
    <t>B.A.N.</t>
  </si>
  <si>
    <t>Approp. From 2020 budget</t>
  </si>
  <si>
    <t>Windmill Revenue received in Oct. 19</t>
  </si>
  <si>
    <t>CASH FLOW (General &amp; Highway)2020</t>
  </si>
  <si>
    <t>Windmill Revenue received in Oct. 20</t>
  </si>
  <si>
    <t>CASH FLOW - VARYSBURG WATER DIST</t>
  </si>
  <si>
    <t>2020</t>
  </si>
  <si>
    <t>2019</t>
  </si>
  <si>
    <t>2018</t>
  </si>
  <si>
    <t>Real Property Tax- USDA LOAN</t>
  </si>
  <si>
    <t>Real Property Tax- WATER MAINT. FEE</t>
  </si>
  <si>
    <t>Out of District Users - Orangeville</t>
  </si>
  <si>
    <t>Metered Sales</t>
  </si>
  <si>
    <t>Penalties on Metered Sales</t>
  </si>
  <si>
    <t>TOTAL REVENUES</t>
  </si>
  <si>
    <t>Water Admin contractual</t>
  </si>
  <si>
    <t>Source of Supply/power/pumping contr.</t>
  </si>
  <si>
    <t>Purification contractual</t>
  </si>
  <si>
    <t>Principal on Loan</t>
  </si>
  <si>
    <t>Interest on Loan</t>
  </si>
  <si>
    <t>Outstanding water bills-billed on taxes</t>
  </si>
  <si>
    <t>TOTAL EXPENSES</t>
  </si>
  <si>
    <t>Transfer to Reserve Account per USDA</t>
  </si>
  <si>
    <t>EXP VS REV</t>
  </si>
  <si>
    <t>Permanent improvements</t>
  </si>
  <si>
    <t>NYSOSC -ARPA COVID LOCAL RECOVERY</t>
  </si>
  <si>
    <t>2021 - AUG</t>
  </si>
  <si>
    <t>2022 - BUDGET</t>
  </si>
  <si>
    <t>TRAILER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</si>
</sst>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0" fontId="2" fillId="0" borderId="0" xfId="0" applyFont="1"/>
    <xf numFmtId="164" fontId="0" fillId="0" borderId="0" xfId="1" applyNumberFormat="1" applyFont="1"/>
    <xf numFmtId="44" fontId="0" fillId="0" borderId="0" xfId="1" applyNumberFormat="1" applyFont="1"/>
    <xf numFmtId="44" fontId="0" fillId="0" borderId="0" xfId="0" applyNumberFormat="1"/>
    <xf numFmtId="44" fontId="0" fillId="0" borderId="1" xfId="1" applyNumberFormat="1" applyFont="1" applyBorder="1"/>
    <xf numFmtId="44" fontId="0" fillId="0" borderId="2" xfId="1" applyNumberFormat="1" applyFont="1" applyBorder="1"/>
    <xf numFmtId="44" fontId="0" fillId="0" borderId="0" xfId="1" applyNumberFormat="1" applyFont="1" applyBorder="1"/>
    <xf numFmtId="44" fontId="0" fillId="0" borderId="0" xfId="1" applyFont="1"/>
    <xf numFmtId="44" fontId="0" fillId="0" borderId="0" xfId="1" applyNumberFormat="1" applyFont="1" applyAlignment="1">
      <alignment wrapText="1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4" fontId="0" fillId="0" borderId="3" xfId="1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44" fontId="0" fillId="0" borderId="0" xfId="1" applyNumberFormat="1" applyFont="1" applyFill="1"/>
    <xf numFmtId="0" fontId="0" fillId="0" borderId="0" xfId="0" applyFill="1"/>
    <xf numFmtId="44" fontId="0" fillId="0" borderId="5" xfId="1" applyFont="1" applyBorder="1"/>
    <xf numFmtId="44" fontId="0" fillId="0" borderId="0" xfId="1" applyFont="1" applyBorder="1"/>
    <xf numFmtId="44" fontId="2" fillId="0" borderId="10" xfId="1" applyFont="1" applyBorder="1"/>
    <xf numFmtId="0" fontId="0" fillId="0" borderId="0" xfId="0" applyFill="1" applyAlignment="1">
      <alignment wrapText="1"/>
    </xf>
    <xf numFmtId="44" fontId="0" fillId="0" borderId="0" xfId="1" applyFont="1" applyFill="1"/>
    <xf numFmtId="44" fontId="0" fillId="0" borderId="3" xfId="1" applyFont="1" applyFill="1" applyBorder="1"/>
    <xf numFmtId="0" fontId="0" fillId="0" borderId="12" xfId="0" applyBorder="1"/>
    <xf numFmtId="44" fontId="0" fillId="0" borderId="13" xfId="1" applyNumberFormat="1" applyFont="1" applyBorder="1"/>
    <xf numFmtId="44" fontId="0" fillId="0" borderId="14" xfId="1" applyNumberFormat="1" applyFont="1" applyBorder="1" applyAlignment="1">
      <alignment wrapText="1"/>
    </xf>
    <xf numFmtId="0" fontId="2" fillId="0" borderId="15" xfId="0" applyFont="1" applyBorder="1"/>
    <xf numFmtId="44" fontId="0" fillId="0" borderId="16" xfId="1" applyNumberFormat="1" applyFont="1" applyBorder="1"/>
    <xf numFmtId="44" fontId="0" fillId="0" borderId="17" xfId="1" applyNumberFormat="1" applyFont="1" applyBorder="1"/>
    <xf numFmtId="0" fontId="0" fillId="0" borderId="18" xfId="0" applyBorder="1"/>
    <xf numFmtId="44" fontId="0" fillId="0" borderId="19" xfId="1" applyNumberFormat="1" applyFont="1" applyBorder="1"/>
    <xf numFmtId="0" fontId="0" fillId="0" borderId="20" xfId="0" applyBorder="1"/>
    <xf numFmtId="44" fontId="0" fillId="0" borderId="21" xfId="1" applyNumberFormat="1" applyFont="1" applyBorder="1"/>
    <xf numFmtId="44" fontId="0" fillId="0" borderId="14" xfId="1" applyNumberFormat="1" applyFont="1" applyBorder="1"/>
    <xf numFmtId="44" fontId="0" fillId="0" borderId="16" xfId="1" applyNumberFormat="1" applyFont="1" applyFill="1" applyBorder="1"/>
    <xf numFmtId="44" fontId="0" fillId="0" borderId="0" xfId="1" applyNumberFormat="1" applyFont="1" applyFill="1" applyBorder="1"/>
    <xf numFmtId="44" fontId="0" fillId="0" borderId="13" xfId="1" applyNumberFormat="1" applyFont="1" applyFill="1" applyBorder="1"/>
    <xf numFmtId="165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2" applyNumberFormat="1" applyFont="1"/>
    <xf numFmtId="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65" fontId="0" fillId="0" borderId="0" xfId="0" applyNumberFormat="1"/>
    <xf numFmtId="0" fontId="2" fillId="4" borderId="1" xfId="0" applyFont="1" applyFill="1" applyBorder="1"/>
    <xf numFmtId="0" fontId="0" fillId="4" borderId="22" xfId="0" applyFill="1" applyBorder="1" applyAlignment="1">
      <alignment horizontal="center"/>
    </xf>
    <xf numFmtId="165" fontId="0" fillId="4" borderId="22" xfId="1" applyNumberFormat="1" applyFont="1" applyFill="1" applyBorder="1"/>
    <xf numFmtId="0" fontId="0" fillId="4" borderId="22" xfId="0" applyFill="1" applyBorder="1"/>
    <xf numFmtId="1" fontId="0" fillId="4" borderId="22" xfId="0" applyNumberFormat="1" applyFill="1" applyBorder="1"/>
    <xf numFmtId="10" fontId="0" fillId="4" borderId="22" xfId="0" applyNumberFormat="1" applyFill="1" applyBorder="1"/>
    <xf numFmtId="0" fontId="0" fillId="4" borderId="2" xfId="0" applyFill="1" applyBorder="1"/>
    <xf numFmtId="165" fontId="0" fillId="4" borderId="22" xfId="0" applyNumberFormat="1" applyFill="1" applyBorder="1"/>
    <xf numFmtId="0" fontId="2" fillId="2" borderId="1" xfId="0" applyFont="1" applyFill="1" applyBorder="1"/>
    <xf numFmtId="0" fontId="0" fillId="2" borderId="22" xfId="0" applyFill="1" applyBorder="1" applyAlignment="1">
      <alignment horizontal="center"/>
    </xf>
    <xf numFmtId="165" fontId="0" fillId="2" borderId="22" xfId="0" applyNumberFormat="1" applyFill="1" applyBorder="1"/>
    <xf numFmtId="0" fontId="0" fillId="2" borderId="22" xfId="0" applyFill="1" applyBorder="1"/>
    <xf numFmtId="1" fontId="0" fillId="2" borderId="22" xfId="0" applyNumberFormat="1" applyFill="1" applyBorder="1"/>
    <xf numFmtId="165" fontId="0" fillId="2" borderId="22" xfId="1" applyNumberFormat="1" applyFont="1" applyFill="1" applyBorder="1"/>
    <xf numFmtId="6" fontId="0" fillId="2" borderId="22" xfId="0" applyNumberFormat="1" applyFill="1" applyBorder="1"/>
    <xf numFmtId="0" fontId="0" fillId="2" borderId="2" xfId="0" applyFill="1" applyBorder="1"/>
    <xf numFmtId="0" fontId="2" fillId="3" borderId="1" xfId="0" applyFont="1" applyFill="1" applyBorder="1"/>
    <xf numFmtId="0" fontId="0" fillId="3" borderId="22" xfId="0" applyFill="1" applyBorder="1" applyAlignment="1">
      <alignment horizontal="center"/>
    </xf>
    <xf numFmtId="0" fontId="0" fillId="3" borderId="22" xfId="0" applyFill="1" applyBorder="1"/>
    <xf numFmtId="1" fontId="0" fillId="3" borderId="22" xfId="0" applyNumberFormat="1" applyFill="1" applyBorder="1"/>
    <xf numFmtId="165" fontId="0" fillId="3" borderId="22" xfId="0" applyNumberFormat="1" applyFill="1" applyBorder="1"/>
    <xf numFmtId="165" fontId="0" fillId="3" borderId="22" xfId="1" applyNumberFormat="1" applyFont="1" applyFill="1" applyBorder="1"/>
    <xf numFmtId="6" fontId="0" fillId="3" borderId="22" xfId="0" applyNumberFormat="1" applyFill="1" applyBorder="1"/>
    <xf numFmtId="0" fontId="0" fillId="3" borderId="2" xfId="0" applyFill="1" applyBorder="1"/>
    <xf numFmtId="0" fontId="3" fillId="4" borderId="0" xfId="0" applyFont="1" applyFill="1"/>
    <xf numFmtId="0" fontId="0" fillId="0" borderId="0" xfId="0" applyFill="1" applyBorder="1"/>
    <xf numFmtId="0" fontId="0" fillId="0" borderId="23" xfId="0" applyBorder="1"/>
    <xf numFmtId="0" fontId="0" fillId="0" borderId="13" xfId="0" applyFill="1" applyBorder="1"/>
    <xf numFmtId="0" fontId="0" fillId="0" borderId="0" xfId="0" applyBorder="1"/>
    <xf numFmtId="0" fontId="0" fillId="0" borderId="24" xfId="0" applyBorder="1"/>
    <xf numFmtId="44" fontId="0" fillId="0" borderId="24" xfId="1" applyNumberFormat="1" applyFont="1" applyBorder="1"/>
    <xf numFmtId="44" fontId="0" fillId="5" borderId="13" xfId="1" applyNumberFormat="1" applyFont="1" applyFill="1" applyBorder="1"/>
    <xf numFmtId="44" fontId="0" fillId="5" borderId="0" xfId="1" applyNumberFormat="1" applyFont="1" applyFill="1" applyBorder="1"/>
    <xf numFmtId="44" fontId="0" fillId="5" borderId="0" xfId="1" applyNumberFormat="1" applyFont="1" applyFill="1"/>
    <xf numFmtId="49" fontId="2" fillId="0" borderId="25" xfId="0" applyNumberFormat="1" applyFont="1" applyBorder="1" applyAlignment="1">
      <alignment horizontal="center"/>
    </xf>
    <xf numFmtId="44" fontId="0" fillId="0" borderId="26" xfId="1" applyNumberFormat="1" applyFont="1" applyBorder="1" applyAlignment="1">
      <alignment horizontal="center"/>
    </xf>
    <xf numFmtId="44" fontId="0" fillId="0" borderId="27" xfId="1" applyNumberFormat="1" applyFont="1" applyBorder="1"/>
    <xf numFmtId="44" fontId="0" fillId="0" borderId="25" xfId="1" applyNumberFormat="1" applyFont="1" applyBorder="1"/>
    <xf numFmtId="44" fontId="0" fillId="0" borderId="26" xfId="1" applyNumberFormat="1" applyFont="1" applyBorder="1"/>
    <xf numFmtId="44" fontId="0" fillId="0" borderId="26" xfId="1" applyNumberFormat="1" applyFont="1" applyFill="1" applyBorder="1"/>
    <xf numFmtId="44" fontId="0" fillId="0" borderId="27" xfId="1" applyNumberFormat="1" applyFont="1" applyFill="1" applyBorder="1"/>
    <xf numFmtId="44" fontId="0" fillId="5" borderId="26" xfId="1" applyNumberFormat="1" applyFont="1" applyFill="1" applyBorder="1"/>
    <xf numFmtId="44" fontId="0" fillId="0" borderId="28" xfId="1" applyNumberFormat="1" applyFont="1" applyBorder="1"/>
    <xf numFmtId="44" fontId="0" fillId="5" borderId="27" xfId="1" applyNumberFormat="1" applyFont="1" applyFill="1" applyBorder="1"/>
    <xf numFmtId="44" fontId="0" fillId="0" borderId="29" xfId="1" applyNumberFormat="1" applyFont="1" applyBorder="1"/>
    <xf numFmtId="49" fontId="2" fillId="0" borderId="10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B9E3-8A25-4A29-8FF3-BEC0AF153254}">
  <sheetPr>
    <pageSetUpPr fitToPage="1"/>
  </sheetPr>
  <dimension ref="A1:P43"/>
  <sheetViews>
    <sheetView workbookViewId="0">
      <pane xSplit="1" topLeftCell="B1" activePane="topRight" state="frozen"/>
      <selection pane="topRight" sqref="A1:E29"/>
    </sheetView>
  </sheetViews>
  <sheetFormatPr defaultRowHeight="15" x14ac:dyDescent="0.25"/>
  <cols>
    <col min="1" max="1" width="32.140625" customWidth="1"/>
    <col min="2" max="2" width="16.28515625" customWidth="1"/>
    <col min="3" max="3" width="15" customWidth="1"/>
    <col min="4" max="4" width="16.140625" customWidth="1"/>
    <col min="5" max="5" width="15.85546875" customWidth="1"/>
    <col min="6" max="6" width="14.85546875" customWidth="1"/>
    <col min="7" max="8" width="14.42578125" customWidth="1"/>
    <col min="9" max="9" width="15.140625" customWidth="1"/>
    <col min="10" max="10" width="15.28515625" customWidth="1"/>
    <col min="11" max="11" width="15.85546875" customWidth="1"/>
    <col min="12" max="12" width="14.85546875" customWidth="1"/>
    <col min="13" max="13" width="15.5703125" customWidth="1"/>
    <col min="14" max="14" width="14.5703125" customWidth="1"/>
  </cols>
  <sheetData>
    <row r="1" spans="1:15" x14ac:dyDescent="0.25">
      <c r="A1" s="2"/>
      <c r="B1" s="96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s="28" t="s">
        <v>0</v>
      </c>
      <c r="B2" s="4">
        <f>107693.98+1363253.57</f>
        <v>1470947.55</v>
      </c>
      <c r="C2" s="29">
        <f>+B25</f>
        <v>1562295.3200000003</v>
      </c>
      <c r="D2" s="29">
        <f t="shared" ref="D2:M2" si="0">+C25</f>
        <v>1411583.86</v>
      </c>
      <c r="E2" s="29">
        <f t="shared" si="0"/>
        <v>1343600.57</v>
      </c>
      <c r="F2" s="29">
        <f t="shared" si="0"/>
        <v>1289856.2000000002</v>
      </c>
      <c r="G2" s="29">
        <f t="shared" si="0"/>
        <v>1289856.2000000002</v>
      </c>
      <c r="H2" s="29">
        <f t="shared" si="0"/>
        <v>1289856.2000000002</v>
      </c>
      <c r="I2" s="29">
        <f t="shared" si="0"/>
        <v>1289856.2000000002</v>
      </c>
      <c r="J2" s="29">
        <f t="shared" si="0"/>
        <v>1289856.2000000002</v>
      </c>
      <c r="K2" s="29">
        <f t="shared" si="0"/>
        <v>1289856.2000000002</v>
      </c>
      <c r="L2" s="29">
        <f t="shared" si="0"/>
        <v>1289856.2000000002</v>
      </c>
      <c r="M2" s="29">
        <f t="shared" si="0"/>
        <v>1289856.2000000002</v>
      </c>
      <c r="N2" s="30" t="s">
        <v>45</v>
      </c>
      <c r="O2" s="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"/>
    </row>
    <row r="5" spans="1:15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8"/>
      <c r="O5" s="4"/>
    </row>
    <row r="6" spans="1:15" x14ac:dyDescent="0.25">
      <c r="A6" s="34" t="s">
        <v>20</v>
      </c>
      <c r="B6" s="8"/>
      <c r="C6" s="8"/>
      <c r="D6" s="8">
        <v>46056.480000000003</v>
      </c>
      <c r="E6" s="8"/>
      <c r="F6" s="8"/>
      <c r="G6" s="8"/>
      <c r="H6" s="8"/>
      <c r="I6" s="8"/>
      <c r="J6" s="8"/>
      <c r="K6" s="8"/>
      <c r="L6" s="8"/>
      <c r="M6" s="8"/>
      <c r="N6" s="35">
        <f>SUM(B6:M6)</f>
        <v>46056.480000000003</v>
      </c>
      <c r="O6" s="4"/>
    </row>
    <row r="7" spans="1:15" x14ac:dyDescent="0.25">
      <c r="A7" s="76" t="s">
        <v>130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35"/>
      <c r="O7" s="4"/>
    </row>
    <row r="8" spans="1:15" x14ac:dyDescent="0.25">
      <c r="A8" s="28" t="s">
        <v>3</v>
      </c>
      <c r="B8" s="29">
        <v>19665</v>
      </c>
      <c r="C8" s="29"/>
      <c r="D8" s="29"/>
      <c r="E8" s="29">
        <v>19665</v>
      </c>
      <c r="F8" s="29"/>
      <c r="G8" s="29"/>
      <c r="H8" s="29"/>
      <c r="I8" s="29"/>
      <c r="J8" s="29"/>
      <c r="K8" s="29"/>
      <c r="L8" s="29"/>
      <c r="M8" s="29"/>
      <c r="N8" s="35">
        <f t="shared" ref="N8:N14" si="1">SUM(B8:M8)</f>
        <v>39330</v>
      </c>
      <c r="O8" s="4"/>
    </row>
    <row r="9" spans="1:15" x14ac:dyDescent="0.25">
      <c r="A9" s="34" t="s">
        <v>4</v>
      </c>
      <c r="B9" s="8">
        <v>14987</v>
      </c>
      <c r="C9" s="8">
        <f>9212.5</f>
        <v>9212.5</v>
      </c>
      <c r="D9" s="8">
        <f>9949-19022.5</f>
        <v>-9073.5</v>
      </c>
      <c r="E9" s="8">
        <f>18794-18923.5</f>
        <v>-129.5</v>
      </c>
      <c r="F9" s="8"/>
      <c r="G9" s="8"/>
      <c r="H9" s="8"/>
      <c r="I9" s="8"/>
      <c r="J9" s="8"/>
      <c r="K9" s="8"/>
      <c r="L9" s="8"/>
      <c r="M9" s="8"/>
      <c r="N9" s="35">
        <f t="shared" si="1"/>
        <v>14996.5</v>
      </c>
      <c r="O9" s="4"/>
    </row>
    <row r="10" spans="1:15" x14ac:dyDescent="0.25">
      <c r="A10" s="28" t="s">
        <v>5</v>
      </c>
      <c r="B10" s="29">
        <f>0.83+60+60.71+10+68+108843.19+4.58+5770</f>
        <v>114817.31</v>
      </c>
      <c r="C10" s="29">
        <f>4.13+22819.56+17.5+40+36.59+31+80</f>
        <v>23028.780000000002</v>
      </c>
      <c r="D10" s="29">
        <f>5.1+17.5+140+31.85</f>
        <v>194.45</v>
      </c>
      <c r="E10" s="29">
        <f>3.21+50+57.04+122</f>
        <v>232.25</v>
      </c>
      <c r="F10" s="29"/>
      <c r="G10" s="29"/>
      <c r="H10" s="29"/>
      <c r="I10" s="29"/>
      <c r="J10" s="29"/>
      <c r="K10" s="29"/>
      <c r="L10" s="29"/>
      <c r="M10" s="29"/>
      <c r="N10" s="35">
        <f t="shared" si="1"/>
        <v>138272.79</v>
      </c>
      <c r="O10" s="4"/>
    </row>
    <row r="11" spans="1:15" x14ac:dyDescent="0.25">
      <c r="A11" s="34" t="s">
        <v>19</v>
      </c>
      <c r="B11" s="8"/>
      <c r="C11" s="8"/>
      <c r="D11" s="8">
        <v>4000</v>
      </c>
      <c r="E11" s="8"/>
      <c r="F11" s="8"/>
      <c r="G11" s="8"/>
      <c r="H11" s="8"/>
      <c r="I11" s="8"/>
      <c r="J11" s="8"/>
      <c r="K11" s="8"/>
      <c r="L11" s="8"/>
      <c r="M11" s="8"/>
      <c r="N11" s="35">
        <f t="shared" si="1"/>
        <v>4000</v>
      </c>
      <c r="O11" s="4"/>
    </row>
    <row r="12" spans="1:15" x14ac:dyDescent="0.25">
      <c r="A12" s="28" t="s">
        <v>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5">
        <f t="shared" si="1"/>
        <v>0</v>
      </c>
      <c r="O12" s="4"/>
    </row>
    <row r="13" spans="1:15" x14ac:dyDescent="0.25">
      <c r="A13" s="78" t="s">
        <v>105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5">
        <f t="shared" si="1"/>
        <v>0</v>
      </c>
      <c r="O13" s="4"/>
    </row>
    <row r="14" spans="1:15" ht="15.75" thickBot="1" x14ac:dyDescent="0.3">
      <c r="A14" s="36" t="s">
        <v>66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5">
        <f t="shared" si="1"/>
        <v>0</v>
      </c>
      <c r="O14" s="4"/>
    </row>
    <row r="15" spans="1:15" ht="15.75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31" t="s">
        <v>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9"/>
      <c r="M16" s="32"/>
      <c r="N16" s="33"/>
      <c r="O16" s="4"/>
    </row>
    <row r="17" spans="1:15" x14ac:dyDescent="0.25">
      <c r="A17" s="28" t="s">
        <v>8</v>
      </c>
      <c r="B17" s="29">
        <f>889.6+1695+621.22+231.46+1579.22+1595.7+1795.38+1901.54+28.84+4609.84+75+10754.45+11726.16</f>
        <v>37503.410000000003</v>
      </c>
      <c r="C17" s="29">
        <f>11171.97+10071.58+889.6+1695+621.22+231.46+1579.22+1595.7+1795.38+1901.54+28.84+4609.84+75</f>
        <v>36266.350000000006</v>
      </c>
      <c r="D17" s="29">
        <f>11972.38+11864.31+889.6+1695+621.22+231.46+1579.22+1595.7+1795.38+1901.54+28.84+4609.84+75</f>
        <v>38859.489999999991</v>
      </c>
      <c r="E17" s="29">
        <f>889.6+1695+621.22+231.46+1579.22+1615.7+1795.38+1901.54+28.84+4609.84+75+8134.03+5430.55+5199.6</f>
        <v>33806.979999999996</v>
      </c>
      <c r="F17" s="29"/>
      <c r="G17" s="29"/>
      <c r="H17" s="29"/>
      <c r="I17" s="29"/>
      <c r="J17" s="29"/>
      <c r="K17" s="29"/>
      <c r="L17" s="41"/>
      <c r="M17" s="29"/>
      <c r="N17" s="35">
        <f t="shared" ref="N17:N23" si="2">SUM(B17:M17)</f>
        <v>146436.22999999998</v>
      </c>
      <c r="O17" s="4"/>
    </row>
    <row r="18" spans="1:15" x14ac:dyDescent="0.25">
      <c r="A18" s="34" t="s">
        <v>9</v>
      </c>
      <c r="B18" s="8">
        <f>929.92+217.48+1386.26+1393.8+325.97+6637.04</f>
        <v>10890.470000000001</v>
      </c>
      <c r="C18" s="8">
        <f>1317.1+308.03+6637.04+929.92+217.49+1386.26</f>
        <v>10795.84</v>
      </c>
      <c r="D18" s="8">
        <f>1477.88+345.63+7247.04+929.92+217.49+2772.52+210</f>
        <v>13200.48</v>
      </c>
      <c r="E18" s="8">
        <f>1163.38+272.08+931.16+217.78</f>
        <v>2584.4</v>
      </c>
      <c r="F18" s="8"/>
      <c r="G18" s="8"/>
      <c r="H18" s="8"/>
      <c r="I18" s="8"/>
      <c r="J18" s="8"/>
      <c r="K18" s="8"/>
      <c r="L18" s="40"/>
      <c r="M18" s="8"/>
      <c r="N18" s="35">
        <f t="shared" si="2"/>
        <v>37471.19</v>
      </c>
      <c r="O18" s="4"/>
    </row>
    <row r="19" spans="1:15" x14ac:dyDescent="0.25">
      <c r="A19" s="28" t="s">
        <v>129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5">
        <f t="shared" si="2"/>
        <v>0</v>
      </c>
      <c r="O19" s="4"/>
    </row>
    <row r="20" spans="1:15" x14ac:dyDescent="0.25">
      <c r="A20" s="77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5">
        <f t="shared" si="2"/>
        <v>0</v>
      </c>
      <c r="O20" s="4"/>
    </row>
    <row r="21" spans="1:15" x14ac:dyDescent="0.25">
      <c r="A21" s="76" t="s">
        <v>133</v>
      </c>
      <c r="B21" s="8"/>
      <c r="C21" s="8"/>
      <c r="D21" s="8">
        <v>13371.25</v>
      </c>
      <c r="E21" s="8"/>
      <c r="F21" s="8"/>
      <c r="G21" s="8"/>
      <c r="H21" s="8"/>
      <c r="I21" s="8"/>
      <c r="J21" s="8"/>
      <c r="K21" s="8"/>
      <c r="L21" s="8"/>
      <c r="M21" s="8"/>
      <c r="N21" s="35">
        <f t="shared" si="2"/>
        <v>13371.25</v>
      </c>
      <c r="O21" s="4"/>
    </row>
    <row r="22" spans="1:15" x14ac:dyDescent="0.25">
      <c r="A22" s="28" t="s">
        <v>12</v>
      </c>
      <c r="B22" s="29">
        <f>820.43+432+58+10+296.63+1415.02+800+506.23+156.54+500.12+30+85.2-135+992.17+615.48+794.68+2350.16</f>
        <v>9727.66</v>
      </c>
      <c r="C22" s="29">
        <f>3803.51+4616.28+4616.29-150.3+56.06+328.44+300+26.64+108546.87+25.48+200+126.92+1745.86+302.19+235.2+31.23+152.25+7200+30.84+1170+2440.83+85.96</f>
        <v>135890.54999999996</v>
      </c>
      <c r="D22" s="29">
        <f>9893.33+3281.07-54+12010.81+12648+300+870+67.12+521.25+460.97+2966.76+193.08+31.23+18.7+419+102.18</f>
        <v>43729.500000000007</v>
      </c>
      <c r="E22" s="29">
        <f>7132.45+5710.06+185.91+7500+7451.87+6637.04+300+79.99+80+211.69+1667.28+31.22+24.83+108.4</f>
        <v>37120.74</v>
      </c>
      <c r="F22" s="29"/>
      <c r="G22" s="29"/>
      <c r="H22" s="29"/>
      <c r="I22" s="29"/>
      <c r="J22" s="29"/>
      <c r="K22" s="29"/>
      <c r="L22" s="29"/>
      <c r="M22" s="29"/>
      <c r="N22" s="35">
        <f t="shared" si="2"/>
        <v>226468.44999999995</v>
      </c>
      <c r="O22" s="4"/>
    </row>
    <row r="23" spans="1:15" ht="15.75" thickBot="1" x14ac:dyDescent="0.3">
      <c r="A23" s="36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5">
        <f t="shared" si="2"/>
        <v>0</v>
      </c>
      <c r="O23" s="4"/>
    </row>
    <row r="24" spans="1:15" x14ac:dyDescent="0.25">
      <c r="B24" s="4"/>
      <c r="C24" s="4"/>
      <c r="D24" s="4"/>
      <c r="E24" s="4"/>
      <c r="F24" s="4"/>
      <c r="G24" s="4"/>
      <c r="H24" s="4"/>
      <c r="I24" s="4"/>
      <c r="J24" s="8"/>
      <c r="K24" s="4"/>
      <c r="L24" s="4"/>
      <c r="M24" s="4"/>
      <c r="N24" s="4"/>
      <c r="O24" s="4"/>
    </row>
    <row r="25" spans="1:15" x14ac:dyDescent="0.25">
      <c r="A25" s="2" t="s">
        <v>14</v>
      </c>
      <c r="B25" s="4">
        <f>+B2+B3+B4+B5+B6+B8+B9+B10+B12-B16-B17-B18-B19-B20-B22-B23</f>
        <v>1562295.3200000003</v>
      </c>
      <c r="C25" s="4">
        <f t="shared" ref="C25" si="3">+C2+C3+C4+C5+C6+C8+C9+C10+C12-C16-C17-C18-C19-C20-C22-C23</f>
        <v>1411583.86</v>
      </c>
      <c r="D25" s="4">
        <f>+D2+D3+D4+D5+D6+D8+D9+D10+D11+D12-D16-D17-D18-D19-D20-D22-D23-D21</f>
        <v>1343600.57</v>
      </c>
      <c r="E25" s="4">
        <f>+E2+E3+E4+E5+E6+E8+E9+E10+E12-E16-E17-E18-E19-E20-E22-E23+E11-E21</f>
        <v>1289856.2000000002</v>
      </c>
      <c r="F25" s="4">
        <f t="shared" ref="F25:I25" si="4">+F2+F3+F4+F5+F6+F8+F9+F10+F12-F16-F17-F18-F19-F20-F22-F23+F11-F21</f>
        <v>1289856.2000000002</v>
      </c>
      <c r="G25" s="4">
        <f t="shared" si="4"/>
        <v>1289856.2000000002</v>
      </c>
      <c r="H25" s="4">
        <f>+H2+H3+H4+H5+H6+H8+H9+H10+H12-H16-H17-H18-H19-H20-H22-H23+H11-H21+H7</f>
        <v>1289856.2000000002</v>
      </c>
      <c r="I25" s="4">
        <f t="shared" si="4"/>
        <v>1289856.2000000002</v>
      </c>
      <c r="J25" s="4">
        <f>+J2+J3+J4+J5+J6+J8+J9+J10+J12-J16-J17-J18-J19-J20-J22-J23+J11-J21+J7</f>
        <v>1289856.2000000002</v>
      </c>
      <c r="K25" s="4">
        <f>+K2+K3+K4+K5+K6+K8+K9+K10+K12+K14-K16-K17-K18-K19-K20-K22-K23+K11-K21</f>
        <v>1289856.2000000002</v>
      </c>
      <c r="L25" s="4">
        <f>+L2+L3+L4+L5+L6+L8+L9+L10+L11+L12+L13+L14-L16-L17-L18-L19-L20-L22-L23-L21</f>
        <v>1289856.2000000002</v>
      </c>
      <c r="M25" s="4">
        <f>+M2+M3+M4+M5+M6+M8+M9+M10+M12+M13-M16-M17-M18-M19-M20-M22-M23+M11-M21</f>
        <v>1289856.2000000002</v>
      </c>
      <c r="N25" s="4"/>
      <c r="O25" s="4"/>
    </row>
    <row r="26" spans="1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t="s">
        <v>50</v>
      </c>
      <c r="B27" s="4">
        <f>1464616.67+97678.65</f>
        <v>1562295.3199999998</v>
      </c>
      <c r="C27" s="4">
        <f>155291.28+1256292.58</f>
        <v>1411583.86</v>
      </c>
      <c r="D27" s="4">
        <f>75238.68+1268361.89</f>
        <v>1343600.5699999998</v>
      </c>
      <c r="E27" s="4">
        <f>40089.92+1249766.28</f>
        <v>1289856.2</v>
      </c>
      <c r="F27" s="4"/>
      <c r="G27" s="4"/>
      <c r="H27" s="4"/>
      <c r="I27" s="4"/>
      <c r="J27" s="4"/>
      <c r="K27" s="4"/>
      <c r="L27" s="4"/>
      <c r="M27" s="4"/>
      <c r="N27" s="3"/>
      <c r="O27" s="3"/>
    </row>
    <row r="28" spans="1:15" x14ac:dyDescent="0.25">
      <c r="B28" s="4">
        <f t="shared" ref="B28:M28" si="5">+B25-B27</f>
        <v>0</v>
      </c>
      <c r="C28" s="4">
        <f t="shared" si="5"/>
        <v>0</v>
      </c>
      <c r="D28" s="4">
        <f t="shared" si="5"/>
        <v>0</v>
      </c>
      <c r="E28" s="4">
        <f t="shared" si="5"/>
        <v>0</v>
      </c>
      <c r="F28" s="4">
        <f t="shared" si="5"/>
        <v>1289856.2000000002</v>
      </c>
      <c r="G28" s="4">
        <f t="shared" si="5"/>
        <v>1289856.2000000002</v>
      </c>
      <c r="H28" s="4">
        <f t="shared" si="5"/>
        <v>1289856.2000000002</v>
      </c>
      <c r="I28" s="4">
        <f t="shared" si="5"/>
        <v>1289856.2000000002</v>
      </c>
      <c r="J28" s="4">
        <f t="shared" si="5"/>
        <v>1289856.2000000002</v>
      </c>
      <c r="K28" s="4">
        <f>+K25-K27</f>
        <v>1289856.2000000002</v>
      </c>
      <c r="L28" s="4">
        <f t="shared" si="5"/>
        <v>1289856.2000000002</v>
      </c>
      <c r="M28" s="4">
        <f t="shared" si="5"/>
        <v>1289856.2000000002</v>
      </c>
      <c r="N28" s="3"/>
      <c r="O28" s="3"/>
    </row>
    <row r="29" spans="1:15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"/>
      <c r="O29" s="3"/>
    </row>
    <row r="30" spans="1:15" x14ac:dyDescent="0.25">
      <c r="A30" t="s">
        <v>51</v>
      </c>
      <c r="B30" s="3"/>
      <c r="C30" s="4"/>
      <c r="D30" s="4"/>
      <c r="E30" s="4"/>
      <c r="F30" s="4"/>
      <c r="G30" s="4"/>
      <c r="H30" s="4"/>
      <c r="I30" s="4"/>
      <c r="J30" s="4"/>
      <c r="K30" s="4">
        <f>+K6</f>
        <v>0</v>
      </c>
      <c r="L30" s="4">
        <f>+K6</f>
        <v>0</v>
      </c>
      <c r="M30" s="4">
        <f>+K6</f>
        <v>0</v>
      </c>
      <c r="N30" s="3"/>
      <c r="O30" s="3"/>
    </row>
    <row r="31" spans="1:15" ht="30" x14ac:dyDescent="0.25">
      <c r="A31" s="12" t="s">
        <v>52</v>
      </c>
      <c r="B31" s="3"/>
      <c r="C31" s="4"/>
      <c r="D31" s="4"/>
      <c r="E31" s="4"/>
      <c r="F31" s="4"/>
      <c r="G31" s="4"/>
      <c r="H31" s="4"/>
      <c r="I31" s="4"/>
      <c r="J31" s="4"/>
      <c r="K31" s="4">
        <f>+K27-K30</f>
        <v>0</v>
      </c>
      <c r="L31" s="4">
        <f t="shared" ref="L31:M31" si="6">+L27-L30</f>
        <v>0</v>
      </c>
      <c r="M31" s="4">
        <f t="shared" si="6"/>
        <v>0</v>
      </c>
      <c r="N31" s="3"/>
      <c r="O31" s="3"/>
    </row>
    <row r="33" spans="1:16" x14ac:dyDescent="0.25">
      <c r="A33" t="s">
        <v>17</v>
      </c>
      <c r="B33" s="9"/>
      <c r="M33" s="26"/>
      <c r="N33" s="20" t="s">
        <v>15</v>
      </c>
    </row>
    <row r="34" spans="1:16" x14ac:dyDescent="0.25">
      <c r="A34" t="s">
        <v>16</v>
      </c>
      <c r="B34" s="9"/>
      <c r="E34" s="5"/>
      <c r="M34" s="26"/>
      <c r="N34" s="20" t="s">
        <v>15</v>
      </c>
    </row>
    <row r="35" spans="1:16" x14ac:dyDescent="0.25">
      <c r="B35" s="9">
        <f>SUM(B33:B34)</f>
        <v>0</v>
      </c>
      <c r="M35" s="26">
        <f>SUM(M33:M34)</f>
        <v>0</v>
      </c>
      <c r="N35" s="21" t="s">
        <v>53</v>
      </c>
    </row>
    <row r="36" spans="1:16" x14ac:dyDescent="0.25">
      <c r="A36" t="s">
        <v>109</v>
      </c>
      <c r="B36" s="9">
        <f>+K6</f>
        <v>0</v>
      </c>
      <c r="M36" s="26"/>
      <c r="N36" s="21" t="s">
        <v>54</v>
      </c>
    </row>
    <row r="37" spans="1:16" x14ac:dyDescent="0.25">
      <c r="B37" s="9"/>
      <c r="I37" t="s">
        <v>106</v>
      </c>
      <c r="K37" s="13"/>
      <c r="M37" s="27">
        <f>M35-M36</f>
        <v>0</v>
      </c>
      <c r="N37" s="21"/>
    </row>
    <row r="38" spans="1:16" x14ac:dyDescent="0.25">
      <c r="A38" s="14" t="s">
        <v>40</v>
      </c>
      <c r="B38" s="22">
        <f>+M37</f>
        <v>0</v>
      </c>
      <c r="C38" s="15"/>
      <c r="K38" s="2" t="s">
        <v>63</v>
      </c>
    </row>
    <row r="39" spans="1:16" x14ac:dyDescent="0.25">
      <c r="A39" s="16"/>
      <c r="B39" s="23"/>
      <c r="C39" s="17" t="s">
        <v>41</v>
      </c>
      <c r="M39" s="25"/>
      <c r="N39" s="21"/>
      <c r="O39" s="21"/>
      <c r="P39" s="21"/>
    </row>
    <row r="40" spans="1:16" x14ac:dyDescent="0.25">
      <c r="A40" s="16"/>
      <c r="B40" s="23"/>
      <c r="C40" s="17" t="s">
        <v>41</v>
      </c>
      <c r="K40" s="44" t="e">
        <f>+M37/K37</f>
        <v>#DIV/0!</v>
      </c>
      <c r="M40" s="5"/>
    </row>
    <row r="41" spans="1:16" x14ac:dyDescent="0.25">
      <c r="A41" s="16"/>
      <c r="B41" s="23"/>
      <c r="C41" s="17" t="s">
        <v>41</v>
      </c>
    </row>
    <row r="42" spans="1:16" x14ac:dyDescent="0.25">
      <c r="A42" s="16"/>
      <c r="B42" s="23"/>
      <c r="C42" s="17"/>
    </row>
    <row r="43" spans="1:16" x14ac:dyDescent="0.25">
      <c r="A43" s="18"/>
      <c r="B43" s="24">
        <f>+B38-B39-B40-B41-B42</f>
        <v>0</v>
      </c>
      <c r="C43" s="19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7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 x14ac:dyDescent="0.25"/>
  <cols>
    <col min="1" max="1" width="37.42578125" customWidth="1"/>
    <col min="2" max="2" width="18.85546875" customWidth="1"/>
    <col min="3" max="3" width="16.5703125" customWidth="1"/>
    <col min="4" max="4" width="16.28515625" customWidth="1"/>
    <col min="5" max="5" width="13" customWidth="1"/>
    <col min="6" max="6" width="16.28515625" customWidth="1"/>
    <col min="7" max="7" width="13" customWidth="1"/>
    <col min="8" max="8" width="16.28515625" customWidth="1"/>
    <col min="9" max="9" width="13" customWidth="1"/>
    <col min="10" max="10" width="16.28515625" customWidth="1"/>
    <col min="11" max="11" width="13" customWidth="1"/>
  </cols>
  <sheetData>
    <row r="1" spans="1:13" x14ac:dyDescent="0.25">
      <c r="A1" s="2" t="s">
        <v>110</v>
      </c>
      <c r="B1" s="11" t="s">
        <v>132</v>
      </c>
      <c r="C1" s="11" t="s">
        <v>132</v>
      </c>
      <c r="D1" s="11" t="s">
        <v>131</v>
      </c>
      <c r="E1" s="85" t="s">
        <v>131</v>
      </c>
      <c r="F1" s="11" t="s">
        <v>111</v>
      </c>
      <c r="G1" s="85" t="s">
        <v>111</v>
      </c>
      <c r="H1" s="11" t="s">
        <v>112</v>
      </c>
      <c r="I1" s="85" t="s">
        <v>112</v>
      </c>
      <c r="J1" s="11" t="s">
        <v>113</v>
      </c>
      <c r="K1" s="85" t="s">
        <v>113</v>
      </c>
    </row>
    <row r="2" spans="1:13" x14ac:dyDescent="0.25">
      <c r="A2" s="28" t="s">
        <v>0</v>
      </c>
      <c r="B2" s="29">
        <v>103451.56</v>
      </c>
      <c r="C2" s="86" t="s">
        <v>128</v>
      </c>
      <c r="D2" s="29">
        <v>83057</v>
      </c>
      <c r="E2" s="86" t="s">
        <v>128</v>
      </c>
      <c r="F2" s="29">
        <v>61221.25</v>
      </c>
      <c r="G2" s="86" t="s">
        <v>128</v>
      </c>
      <c r="H2" s="29">
        <v>50086.16</v>
      </c>
      <c r="I2" s="86" t="s">
        <v>128</v>
      </c>
      <c r="J2" s="29">
        <v>48871.35</v>
      </c>
      <c r="K2" s="86" t="s">
        <v>128</v>
      </c>
    </row>
    <row r="3" spans="1:13" ht="15.75" thickBot="1" x14ac:dyDescent="0.3">
      <c r="B3" s="4"/>
      <c r="C3" s="87"/>
      <c r="D3" s="4"/>
      <c r="E3" s="87"/>
      <c r="F3" s="4"/>
      <c r="G3" s="87"/>
      <c r="H3" s="4"/>
      <c r="I3" s="87"/>
      <c r="J3" s="4"/>
      <c r="K3" s="87"/>
    </row>
    <row r="4" spans="1:13" x14ac:dyDescent="0.25">
      <c r="A4" s="31" t="s">
        <v>1</v>
      </c>
      <c r="B4" s="32"/>
      <c r="C4" s="88"/>
      <c r="D4" s="32"/>
      <c r="E4" s="88"/>
      <c r="F4" s="32"/>
      <c r="G4" s="88"/>
      <c r="H4" s="32"/>
      <c r="I4" s="88"/>
      <c r="J4" s="32"/>
      <c r="K4" s="88"/>
    </row>
    <row r="5" spans="1:13" x14ac:dyDescent="0.25">
      <c r="A5" s="28" t="s">
        <v>114</v>
      </c>
      <c r="B5" s="29">
        <v>37575.370000000003</v>
      </c>
      <c r="C5" s="89"/>
      <c r="D5" s="29">
        <v>37034.120000000003</v>
      </c>
      <c r="E5" s="89"/>
      <c r="F5" s="29">
        <v>37441.78</v>
      </c>
      <c r="G5" s="89"/>
      <c r="H5" s="29">
        <v>36985.24</v>
      </c>
      <c r="I5" s="89"/>
      <c r="J5" s="29">
        <v>40554.74</v>
      </c>
      <c r="K5" s="89"/>
    </row>
    <row r="6" spans="1:13" x14ac:dyDescent="0.25">
      <c r="A6" s="28" t="s">
        <v>115</v>
      </c>
      <c r="B6" s="8">
        <v>29100</v>
      </c>
      <c r="C6" s="87"/>
      <c r="D6" s="8">
        <v>29100</v>
      </c>
      <c r="E6" s="87"/>
      <c r="F6" s="8">
        <v>29100</v>
      </c>
      <c r="G6" s="87"/>
      <c r="H6" s="8">
        <v>29300</v>
      </c>
      <c r="I6" s="87"/>
      <c r="J6" s="8">
        <v>30452.02</v>
      </c>
      <c r="K6" s="87"/>
    </row>
    <row r="7" spans="1:13" x14ac:dyDescent="0.25">
      <c r="A7" s="28" t="s">
        <v>116</v>
      </c>
      <c r="B7" s="29">
        <v>2749.5</v>
      </c>
      <c r="C7" s="89"/>
      <c r="D7" s="29">
        <v>2727.18</v>
      </c>
      <c r="E7" s="89"/>
      <c r="F7" s="29">
        <v>2743.98</v>
      </c>
      <c r="G7" s="89"/>
      <c r="H7" s="29">
        <v>2754.76</v>
      </c>
      <c r="I7" s="89"/>
      <c r="J7" s="29">
        <v>0</v>
      </c>
      <c r="K7" s="89"/>
    </row>
    <row r="8" spans="1:13" x14ac:dyDescent="0.25">
      <c r="A8" s="78" t="s">
        <v>125</v>
      </c>
      <c r="B8" s="82"/>
      <c r="C8" s="90"/>
      <c r="D8" s="82">
        <v>753.13</v>
      </c>
      <c r="E8" s="90"/>
      <c r="F8" s="82">
        <f>695.24-5.89</f>
        <v>689.35</v>
      </c>
      <c r="G8" s="90"/>
      <c r="H8" s="82">
        <v>1402.34</v>
      </c>
      <c r="I8" s="90"/>
      <c r="J8" s="82">
        <v>483.63</v>
      </c>
      <c r="K8" s="90"/>
    </row>
    <row r="9" spans="1:13" x14ac:dyDescent="0.25">
      <c r="A9" s="34" t="s">
        <v>117</v>
      </c>
      <c r="B9" s="83">
        <v>10000</v>
      </c>
      <c r="C9" s="91"/>
      <c r="D9" s="83">
        <v>10667.09</v>
      </c>
      <c r="E9" s="91"/>
      <c r="F9" s="83">
        <v>10422.84</v>
      </c>
      <c r="G9" s="91"/>
      <c r="H9" s="83">
        <v>10048.57</v>
      </c>
      <c r="I9" s="91"/>
      <c r="J9" s="83">
        <v>7612.45</v>
      </c>
      <c r="K9" s="91"/>
    </row>
    <row r="10" spans="1:13" x14ac:dyDescent="0.25">
      <c r="A10" s="28" t="s">
        <v>118</v>
      </c>
      <c r="B10" s="82">
        <v>50</v>
      </c>
      <c r="C10" s="90"/>
      <c r="D10" s="82">
        <v>141.51</v>
      </c>
      <c r="E10" s="90"/>
      <c r="F10" s="82">
        <v>123.43</v>
      </c>
      <c r="G10" s="90"/>
      <c r="H10" s="82">
        <v>185.54</v>
      </c>
      <c r="I10" s="90"/>
      <c r="J10" s="82">
        <v>53.12</v>
      </c>
      <c r="K10" s="90"/>
    </row>
    <row r="11" spans="1:13" x14ac:dyDescent="0.25">
      <c r="A11" s="34" t="s">
        <v>94</v>
      </c>
      <c r="B11" s="83">
        <v>200</v>
      </c>
      <c r="C11" s="91"/>
      <c r="D11" s="83">
        <v>200</v>
      </c>
      <c r="E11" s="91"/>
      <c r="F11" s="83">
        <v>200</v>
      </c>
      <c r="G11" s="91"/>
      <c r="H11" s="83">
        <v>200</v>
      </c>
      <c r="I11" s="91"/>
      <c r="J11" s="83">
        <v>200</v>
      </c>
      <c r="K11" s="91"/>
    </row>
    <row r="12" spans="1:13" x14ac:dyDescent="0.25">
      <c r="A12" s="28"/>
      <c r="B12" s="29"/>
      <c r="C12" s="92">
        <f>SUM(B8:B11)</f>
        <v>10250</v>
      </c>
      <c r="D12" s="29"/>
      <c r="E12" s="92">
        <f>SUM(D8:D11)</f>
        <v>11761.73</v>
      </c>
      <c r="F12" s="29"/>
      <c r="G12" s="92">
        <f>SUM(F8:F11)</f>
        <v>11435.62</v>
      </c>
      <c r="H12" s="29"/>
      <c r="I12" s="92">
        <f>SUM(H8:H11)</f>
        <v>11836.45</v>
      </c>
      <c r="J12" s="29"/>
      <c r="K12" s="92">
        <f>SUM(J8:J11)</f>
        <v>8349.2000000000007</v>
      </c>
    </row>
    <row r="13" spans="1:13" x14ac:dyDescent="0.25">
      <c r="A13" s="78"/>
      <c r="B13" s="29"/>
      <c r="C13" s="89"/>
      <c r="D13" s="29"/>
      <c r="E13" s="89"/>
      <c r="F13" s="29"/>
      <c r="G13" s="89"/>
      <c r="H13" s="29"/>
      <c r="I13" s="89"/>
      <c r="J13" s="29"/>
      <c r="K13" s="89"/>
      <c r="M13">
        <f>80932.31-79835.47</f>
        <v>1096.8399999999965</v>
      </c>
    </row>
    <row r="14" spans="1:13" ht="15.75" thickBot="1" x14ac:dyDescent="0.3">
      <c r="A14" s="36" t="s">
        <v>119</v>
      </c>
      <c r="B14" s="37">
        <f>SUM(B5:B13)</f>
        <v>79674.87</v>
      </c>
      <c r="C14" s="93"/>
      <c r="D14" s="37">
        <f>SUM(D5:D13)</f>
        <v>80623.029999999984</v>
      </c>
      <c r="E14" s="93"/>
      <c r="F14" s="37">
        <f>SUM(F5:F13)</f>
        <v>80721.37999999999</v>
      </c>
      <c r="G14" s="93"/>
      <c r="H14" s="37">
        <f>SUM(H5:H13)</f>
        <v>80876.449999999968</v>
      </c>
      <c r="I14" s="93"/>
      <c r="J14" s="37">
        <f>SUM(J5:J13)</f>
        <v>79355.959999999992</v>
      </c>
      <c r="K14" s="93"/>
      <c r="M14">
        <f>56455.38-59100.18</f>
        <v>-2644.8000000000029</v>
      </c>
    </row>
    <row r="15" spans="1:13" ht="15.75" thickBot="1" x14ac:dyDescent="0.3">
      <c r="B15" s="4"/>
      <c r="C15" s="87"/>
      <c r="D15" s="4"/>
      <c r="E15" s="87"/>
      <c r="F15" s="4"/>
      <c r="G15" s="87"/>
      <c r="H15" s="4"/>
      <c r="I15" s="87"/>
      <c r="J15" s="4"/>
      <c r="K15" s="87"/>
    </row>
    <row r="16" spans="1:13" x14ac:dyDescent="0.25">
      <c r="A16" s="31" t="s">
        <v>7</v>
      </c>
      <c r="B16" s="32"/>
      <c r="C16" s="88"/>
      <c r="D16" s="32"/>
      <c r="E16" s="88"/>
      <c r="F16" s="32"/>
      <c r="G16" s="88"/>
      <c r="H16" s="32"/>
      <c r="I16" s="88"/>
      <c r="J16" s="32"/>
      <c r="K16" s="88"/>
    </row>
    <row r="17" spans="1:13" x14ac:dyDescent="0.25">
      <c r="A17" s="28" t="s">
        <v>8</v>
      </c>
      <c r="B17" s="82">
        <f>3100+1200</f>
        <v>4300</v>
      </c>
      <c r="C17" s="89"/>
      <c r="D17" s="82">
        <f>1222.08+1200</f>
        <v>2422.08</v>
      </c>
      <c r="E17" s="89"/>
      <c r="F17" s="82">
        <f>2745+1200</f>
        <v>3945</v>
      </c>
      <c r="G17" s="89"/>
      <c r="H17" s="82">
        <f>3052.5+1200</f>
        <v>4252.5</v>
      </c>
      <c r="I17" s="89"/>
      <c r="J17" s="82">
        <f>1638.75+1200</f>
        <v>2838.75</v>
      </c>
      <c r="K17" s="89"/>
    </row>
    <row r="18" spans="1:13" x14ac:dyDescent="0.25">
      <c r="A18" s="34" t="s">
        <v>9</v>
      </c>
      <c r="B18" s="83">
        <f>850</f>
        <v>850</v>
      </c>
      <c r="C18" s="87"/>
      <c r="D18" s="83">
        <v>679.41</v>
      </c>
      <c r="E18" s="87"/>
      <c r="F18" s="83">
        <v>958.38</v>
      </c>
      <c r="G18" s="87"/>
      <c r="H18" s="83">
        <v>756.35</v>
      </c>
      <c r="I18" s="87"/>
      <c r="J18" s="83">
        <v>217.18</v>
      </c>
      <c r="K18" s="87"/>
    </row>
    <row r="19" spans="1:13" x14ac:dyDescent="0.25">
      <c r="A19" s="28" t="s">
        <v>120</v>
      </c>
      <c r="B19" s="82">
        <v>1400</v>
      </c>
      <c r="C19" s="89"/>
      <c r="D19" s="82">
        <v>1057.8399999999999</v>
      </c>
      <c r="E19" s="89"/>
      <c r="F19" s="82">
        <v>1289.8499999999999</v>
      </c>
      <c r="G19" s="89"/>
      <c r="H19" s="82">
        <v>1652.17</v>
      </c>
      <c r="I19" s="89"/>
      <c r="J19" s="82">
        <v>3671.34</v>
      </c>
      <c r="K19" s="89"/>
      <c r="M19">
        <f>101.5+110+150+125.44+55+9.16+56+423+211.5+316.24</f>
        <v>1557.84</v>
      </c>
    </row>
    <row r="20" spans="1:13" x14ac:dyDescent="0.25">
      <c r="A20" s="77" t="s">
        <v>121</v>
      </c>
      <c r="B20" s="82">
        <v>4800</v>
      </c>
      <c r="C20" s="89"/>
      <c r="D20" s="82">
        <v>11258.24</v>
      </c>
      <c r="E20" s="89"/>
      <c r="F20" s="82">
        <v>8658.31</v>
      </c>
      <c r="G20" s="89"/>
      <c r="H20" s="82">
        <v>17656.14</v>
      </c>
      <c r="I20" s="89"/>
      <c r="J20" s="82">
        <v>28119.66</v>
      </c>
      <c r="K20" s="89"/>
    </row>
    <row r="21" spans="1:13" x14ac:dyDescent="0.25">
      <c r="A21" s="78" t="s">
        <v>122</v>
      </c>
      <c r="B21" s="82">
        <v>4200</v>
      </c>
      <c r="C21" s="89"/>
      <c r="D21" s="82">
        <v>2477.2800000000002</v>
      </c>
      <c r="E21" s="89"/>
      <c r="F21" s="82">
        <v>2401.59</v>
      </c>
      <c r="G21" s="89"/>
      <c r="H21" s="82">
        <v>2083.15</v>
      </c>
      <c r="I21" s="89"/>
      <c r="J21" s="82">
        <v>1687</v>
      </c>
      <c r="K21" s="89"/>
    </row>
    <row r="22" spans="1:13" x14ac:dyDescent="0.25">
      <c r="A22" s="76"/>
      <c r="B22" s="40"/>
      <c r="C22" s="94">
        <f>SUM(B17:B21)</f>
        <v>15550</v>
      </c>
      <c r="D22" s="40"/>
      <c r="E22" s="94">
        <f>SUM(D17:D21)</f>
        <v>17894.849999999999</v>
      </c>
      <c r="F22" s="40"/>
      <c r="G22" s="94">
        <f>SUM(F17:F21)</f>
        <v>17253.129999999997</v>
      </c>
      <c r="H22" s="40"/>
      <c r="I22" s="94">
        <f>SUM(H17:H21)</f>
        <v>26400.31</v>
      </c>
      <c r="J22" s="40"/>
      <c r="K22" s="94">
        <f>SUM(J17:J21)</f>
        <v>36533.93</v>
      </c>
    </row>
    <row r="23" spans="1:13" x14ac:dyDescent="0.25">
      <c r="A23" s="28" t="s">
        <v>123</v>
      </c>
      <c r="B23" s="29">
        <v>18000</v>
      </c>
      <c r="C23" s="89"/>
      <c r="D23" s="29">
        <v>17000</v>
      </c>
      <c r="E23" s="89"/>
      <c r="F23" s="29">
        <v>17000</v>
      </c>
      <c r="G23" s="89"/>
      <c r="H23" s="29">
        <v>16000</v>
      </c>
      <c r="I23" s="89"/>
      <c r="J23" s="29">
        <v>17000</v>
      </c>
      <c r="K23" s="89"/>
    </row>
    <row r="24" spans="1:13" x14ac:dyDescent="0.25">
      <c r="A24" s="77" t="s">
        <v>124</v>
      </c>
      <c r="B24" s="29">
        <v>21125</v>
      </c>
      <c r="C24" s="89"/>
      <c r="D24" s="29">
        <v>21560.33</v>
      </c>
      <c r="E24" s="89"/>
      <c r="F24" s="29">
        <v>21987.5</v>
      </c>
      <c r="G24" s="89"/>
      <c r="H24" s="29">
        <v>22400</v>
      </c>
      <c r="I24" s="89"/>
      <c r="J24" s="29">
        <v>21987.5</v>
      </c>
      <c r="K24" s="89"/>
    </row>
    <row r="25" spans="1:13" x14ac:dyDescent="0.25">
      <c r="A25" s="78" t="s">
        <v>127</v>
      </c>
      <c r="B25" s="29">
        <v>2645</v>
      </c>
      <c r="C25" s="89"/>
      <c r="D25" s="29">
        <v>2645</v>
      </c>
      <c r="E25" s="89"/>
      <c r="F25" s="29">
        <v>2645</v>
      </c>
      <c r="G25" s="89"/>
      <c r="H25" s="29">
        <v>2645</v>
      </c>
      <c r="I25" s="89"/>
      <c r="J25" s="29">
        <v>2645</v>
      </c>
      <c r="K25" s="89"/>
    </row>
    <row r="26" spans="1:13" x14ac:dyDescent="0.25">
      <c r="A26" s="79"/>
      <c r="B26" s="8"/>
      <c r="C26" s="87"/>
      <c r="D26" s="8"/>
      <c r="E26" s="87"/>
      <c r="F26" s="8"/>
      <c r="G26" s="87"/>
      <c r="H26" s="8"/>
      <c r="I26" s="87"/>
      <c r="J26" s="8"/>
      <c r="K26" s="87"/>
    </row>
    <row r="27" spans="1:13" x14ac:dyDescent="0.25">
      <c r="A27" s="79"/>
      <c r="B27" s="8"/>
      <c r="C27" s="87"/>
      <c r="D27" s="8"/>
      <c r="E27" s="87"/>
      <c r="F27" s="8"/>
      <c r="G27" s="87"/>
      <c r="H27" s="8"/>
      <c r="I27" s="87"/>
      <c r="J27" s="8"/>
      <c r="K27" s="87"/>
    </row>
    <row r="28" spans="1:13" x14ac:dyDescent="0.25">
      <c r="A28" s="79"/>
      <c r="B28" s="8"/>
      <c r="C28" s="87"/>
      <c r="D28" s="8"/>
      <c r="E28" s="87"/>
      <c r="F28" s="8"/>
      <c r="G28" s="87"/>
      <c r="H28" s="8"/>
      <c r="I28" s="87"/>
      <c r="J28" s="8"/>
      <c r="K28" s="87"/>
    </row>
    <row r="29" spans="1:13" ht="15.75" thickBot="1" x14ac:dyDescent="0.3">
      <c r="A29" s="80" t="s">
        <v>126</v>
      </c>
      <c r="B29" s="81">
        <f>SUM(B17:B28)</f>
        <v>57320</v>
      </c>
      <c r="C29" s="95"/>
      <c r="D29" s="81">
        <f>SUM(D17:D28)</f>
        <v>59100.18</v>
      </c>
      <c r="E29" s="95"/>
      <c r="F29" s="81">
        <f>SUM(F17:F28)</f>
        <v>58885.63</v>
      </c>
      <c r="G29" s="95"/>
      <c r="H29" s="81">
        <f>SUM(H17:H28)</f>
        <v>67445.31</v>
      </c>
      <c r="I29" s="95"/>
      <c r="J29" s="81">
        <f>SUM(J17:J28)</f>
        <v>78166.429999999993</v>
      </c>
      <c r="K29" s="95"/>
    </row>
    <row r="30" spans="1:13" x14ac:dyDescent="0.25">
      <c r="A30" s="79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3" x14ac:dyDescent="0.25">
      <c r="A32" s="2" t="s">
        <v>14</v>
      </c>
      <c r="B32" s="4">
        <f>+B2+B14-B29</f>
        <v>125806.43</v>
      </c>
      <c r="C32" s="84">
        <f>C12-C22</f>
        <v>-5300</v>
      </c>
      <c r="D32" s="4">
        <f>+D2+D14-D29</f>
        <v>104579.84999999998</v>
      </c>
      <c r="E32" s="84">
        <f>E12-E22</f>
        <v>-6133.119999999999</v>
      </c>
      <c r="F32" s="4">
        <f>+F2+F14-F29</f>
        <v>83057</v>
      </c>
      <c r="G32" s="84">
        <f>G12-G22</f>
        <v>-5817.5099999999966</v>
      </c>
      <c r="H32" s="4">
        <f>+H2+H14-H29</f>
        <v>63517.299999999974</v>
      </c>
      <c r="I32" s="84">
        <f>I12-I22</f>
        <v>-14563.86</v>
      </c>
      <c r="J32" s="4">
        <f>+J2+J14-J29</f>
        <v>50060.880000000005</v>
      </c>
      <c r="K32" s="84">
        <f>K12-K22</f>
        <v>-28184.73</v>
      </c>
    </row>
    <row r="33" spans="1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t="s">
        <v>50</v>
      </c>
      <c r="B34" s="4"/>
      <c r="C34" s="4"/>
      <c r="D34" s="4">
        <v>119362.68</v>
      </c>
      <c r="E34" s="4"/>
      <c r="F34" s="4">
        <v>83057</v>
      </c>
      <c r="G34" s="4"/>
      <c r="H34" s="4">
        <v>61221.25</v>
      </c>
      <c r="I34" s="4"/>
      <c r="J34" s="4">
        <v>50086.16</v>
      </c>
      <c r="K34" s="4"/>
    </row>
    <row r="35" spans="1:11" x14ac:dyDescent="0.25">
      <c r="B35" s="4">
        <f>+B32+B33-B34</f>
        <v>125806.43</v>
      </c>
      <c r="C35" s="4"/>
      <c r="D35" s="4">
        <f>+D32+D33-D34</f>
        <v>-14782.830000000016</v>
      </c>
      <c r="E35" s="4"/>
      <c r="F35" s="4">
        <f>+F32+F33-F34</f>
        <v>0</v>
      </c>
      <c r="G35" s="4"/>
      <c r="H35" s="4">
        <f>+H32+H33-H34</f>
        <v>2296.0499999999738</v>
      </c>
      <c r="I35" s="4"/>
      <c r="J35" s="4">
        <f>+J32+J33-J34</f>
        <v>-25.279999999998836</v>
      </c>
      <c r="K35" s="4"/>
    </row>
    <row r="36" spans="1:1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</row>
  </sheetData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workbookViewId="0">
      <pane xSplit="1" topLeftCell="B1" activePane="topRight" state="frozen"/>
      <selection pane="topRight" sqref="A1:N31"/>
    </sheetView>
  </sheetViews>
  <sheetFormatPr defaultRowHeight="15" x14ac:dyDescent="0.25"/>
  <cols>
    <col min="1" max="1" width="32.140625" customWidth="1"/>
    <col min="2" max="2" width="16.28515625" customWidth="1"/>
    <col min="3" max="3" width="15" customWidth="1"/>
    <col min="4" max="4" width="16.140625" customWidth="1"/>
    <col min="5" max="5" width="15.85546875" customWidth="1"/>
    <col min="6" max="6" width="14.85546875" customWidth="1"/>
    <col min="7" max="7" width="14.42578125" customWidth="1"/>
    <col min="8" max="10" width="13.7109375" customWidth="1"/>
    <col min="11" max="11" width="15.85546875" customWidth="1"/>
    <col min="12" max="12" width="14.85546875" customWidth="1"/>
    <col min="13" max="13" width="15.5703125" customWidth="1"/>
    <col min="14" max="14" width="14.5703125" customWidth="1"/>
  </cols>
  <sheetData>
    <row r="1" spans="1:15" x14ac:dyDescent="0.25">
      <c r="A1" s="2"/>
      <c r="B1" s="96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s="28" t="s">
        <v>0</v>
      </c>
      <c r="B2" s="4">
        <f>1168400.49+4475.24</f>
        <v>1172875.73</v>
      </c>
      <c r="C2" s="29">
        <f>+B25</f>
        <v>1134343.6799999999</v>
      </c>
      <c r="D2" s="29">
        <f t="shared" ref="D2:M2" si="0">+C25</f>
        <v>1063608.7899999998</v>
      </c>
      <c r="E2" s="29">
        <f t="shared" si="0"/>
        <v>1044265.8999999998</v>
      </c>
      <c r="F2" s="29">
        <f t="shared" si="0"/>
        <v>996669.25</v>
      </c>
      <c r="G2" s="29">
        <f t="shared" si="0"/>
        <v>945784.88</v>
      </c>
      <c r="H2" s="29">
        <f t="shared" si="0"/>
        <v>885303.02</v>
      </c>
      <c r="I2" s="29">
        <f t="shared" si="0"/>
        <v>913124.6100000001</v>
      </c>
      <c r="J2" s="29">
        <f t="shared" si="0"/>
        <v>623618.76000000013</v>
      </c>
      <c r="K2" s="29">
        <f t="shared" si="0"/>
        <v>552566.82000000018</v>
      </c>
      <c r="L2" s="29">
        <f t="shared" si="0"/>
        <v>1458117.0940000003</v>
      </c>
      <c r="M2" s="29">
        <f t="shared" si="0"/>
        <v>1308412.1340000005</v>
      </c>
      <c r="N2" s="30" t="s">
        <v>45</v>
      </c>
      <c r="O2" s="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"/>
    </row>
    <row r="5" spans="1:15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8"/>
      <c r="O5" s="4"/>
    </row>
    <row r="6" spans="1:15" x14ac:dyDescent="0.25">
      <c r="A6" s="34" t="s">
        <v>20</v>
      </c>
      <c r="B6" s="8"/>
      <c r="C6" s="8"/>
      <c r="D6" s="8"/>
      <c r="E6" s="8">
        <v>44499.02</v>
      </c>
      <c r="F6" s="8"/>
      <c r="G6" s="8"/>
      <c r="H6" s="8"/>
      <c r="I6" s="8"/>
      <c r="J6" s="8"/>
      <c r="K6" s="8">
        <v>972925.81</v>
      </c>
      <c r="L6" s="8"/>
      <c r="M6" s="8"/>
      <c r="N6" s="35">
        <f>SUM(B6:M6)</f>
        <v>1017424.8300000001</v>
      </c>
      <c r="O6" s="4"/>
    </row>
    <row r="7" spans="1:15" x14ac:dyDescent="0.25">
      <c r="A7" s="76" t="s">
        <v>130</v>
      </c>
      <c r="B7" s="8"/>
      <c r="C7" s="8"/>
      <c r="D7" s="8"/>
      <c r="E7" s="8"/>
      <c r="F7" s="8"/>
      <c r="G7" s="8"/>
      <c r="H7" s="8">
        <v>116958.03</v>
      </c>
      <c r="I7" s="8"/>
      <c r="J7" s="8">
        <v>477.51</v>
      </c>
      <c r="K7" s="8"/>
      <c r="L7" s="8"/>
      <c r="M7" s="8"/>
      <c r="N7" s="35"/>
      <c r="O7" s="4"/>
    </row>
    <row r="8" spans="1:15" x14ac:dyDescent="0.25">
      <c r="A8" s="28" t="s">
        <v>3</v>
      </c>
      <c r="B8" s="29">
        <v>19946.25</v>
      </c>
      <c r="C8" s="29"/>
      <c r="D8" s="29">
        <v>19946.25</v>
      </c>
      <c r="E8" s="29">
        <v>1114.56</v>
      </c>
      <c r="F8" s="29">
        <f>22779.4</f>
        <v>22779.4</v>
      </c>
      <c r="G8" s="29">
        <v>20725.810000000001</v>
      </c>
      <c r="H8" s="29">
        <f>6614.79+2378.6</f>
        <v>8993.39</v>
      </c>
      <c r="I8" s="29"/>
      <c r="J8" s="29"/>
      <c r="K8" s="29"/>
      <c r="L8" s="29">
        <v>38275.06</v>
      </c>
      <c r="M8" s="29">
        <f>213119.46+19665+4688.65+18032</f>
        <v>255505.11</v>
      </c>
      <c r="N8" s="35">
        <f t="shared" ref="N8:N14" si="1">SUM(B8:M8)</f>
        <v>387285.82999999996</v>
      </c>
      <c r="O8" s="4"/>
    </row>
    <row r="9" spans="1:15" x14ac:dyDescent="0.25">
      <c r="A9" s="34" t="s">
        <v>4</v>
      </c>
      <c r="B9" s="8">
        <f>7464-6570</f>
        <v>894</v>
      </c>
      <c r="C9" s="8">
        <f>6615-3913</f>
        <v>2702</v>
      </c>
      <c r="D9" s="8">
        <f>1179+6384-2938</f>
        <v>4625</v>
      </c>
      <c r="E9" s="8">
        <f>7857+3337+1000-11735</f>
        <v>459</v>
      </c>
      <c r="F9" s="8">
        <f>150+3045+4210-6694</f>
        <v>711</v>
      </c>
      <c r="G9" s="8">
        <f>12533-4705</f>
        <v>7828</v>
      </c>
      <c r="H9" s="8">
        <f>9056+6920+500-7138</f>
        <v>9338</v>
      </c>
      <c r="I9" s="8">
        <f>4078+6760-14303</f>
        <v>-3465</v>
      </c>
      <c r="J9" s="8">
        <f>16787</f>
        <v>16787</v>
      </c>
      <c r="K9" s="8">
        <f>11886-7670</f>
        <v>4216</v>
      </c>
      <c r="L9" s="8">
        <f>13325-5251</f>
        <v>8074</v>
      </c>
      <c r="M9" s="8">
        <f>7763-7893</f>
        <v>-130</v>
      </c>
      <c r="N9" s="35">
        <f t="shared" si="1"/>
        <v>52039</v>
      </c>
      <c r="O9" s="4"/>
    </row>
    <row r="10" spans="1:15" x14ac:dyDescent="0.25">
      <c r="A10" s="28" t="s">
        <v>5</v>
      </c>
      <c r="B10" s="29">
        <f>273.15+4.19</f>
        <v>277.33999999999997</v>
      </c>
      <c r="C10" s="29">
        <f>363.63+4.93</f>
        <v>368.56</v>
      </c>
      <c r="D10" s="29">
        <f>2.78+22271.48+17.5+10+18+20.98</f>
        <v>22340.739999999998</v>
      </c>
      <c r="E10" s="29">
        <f>2.1+20+117+24.97+5</f>
        <v>169.07</v>
      </c>
      <c r="F10" s="29">
        <f>2.68+20.3+105+110+3.04</f>
        <v>241.02</v>
      </c>
      <c r="G10" s="29">
        <f>21.92+80+79.45+50</f>
        <v>231.37</v>
      </c>
      <c r="H10" s="29">
        <f>4.61+50+118+50+17.08+3.81</f>
        <v>243.5</v>
      </c>
      <c r="I10" s="29">
        <f>1.94+110+202+344.59+18.98+3.8</f>
        <v>681.31</v>
      </c>
      <c r="J10" s="29">
        <f>4.22+2185.89</f>
        <v>2190.1099999999997</v>
      </c>
      <c r="K10" s="29">
        <f>475.01+100+50.474+224+5.2</f>
        <v>854.68400000000008</v>
      </c>
      <c r="L10" s="29">
        <f>4.79+44.66+90+84.4+146+22.75</f>
        <v>392.6</v>
      </c>
      <c r="M10" s="29">
        <f>4.97+21.35+60+80.98+75+1.75</f>
        <v>244.05</v>
      </c>
      <c r="N10" s="35">
        <f t="shared" si="1"/>
        <v>28234.353999999999</v>
      </c>
      <c r="O10" s="4"/>
    </row>
    <row r="11" spans="1:15" x14ac:dyDescent="0.25">
      <c r="A11" s="34" t="s">
        <v>19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35">
        <f t="shared" si="1"/>
        <v>0</v>
      </c>
      <c r="O11" s="4"/>
    </row>
    <row r="12" spans="1:15" x14ac:dyDescent="0.25">
      <c r="A12" s="28" t="s">
        <v>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5">
        <f t="shared" si="1"/>
        <v>0</v>
      </c>
      <c r="O12" s="4"/>
    </row>
    <row r="13" spans="1:15" x14ac:dyDescent="0.25">
      <c r="A13" s="78" t="s">
        <v>105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5">
        <f t="shared" si="1"/>
        <v>0</v>
      </c>
      <c r="O13" s="4"/>
    </row>
    <row r="14" spans="1:15" ht="15.75" thickBot="1" x14ac:dyDescent="0.3">
      <c r="A14" s="36" t="s">
        <v>66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5">
        <f t="shared" si="1"/>
        <v>0</v>
      </c>
      <c r="O14" s="4"/>
    </row>
    <row r="15" spans="1:15" ht="15.75" thickBot="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31" t="s">
        <v>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9"/>
      <c r="M16" s="32"/>
      <c r="N16" s="33"/>
      <c r="O16" s="4"/>
    </row>
    <row r="17" spans="1:15" x14ac:dyDescent="0.25">
      <c r="A17" s="28" t="s">
        <v>8</v>
      </c>
      <c r="B17" s="29">
        <f>860+1638+600.5+231.5+1526+1542.5+1735+1837.5+27+4454+77+11584.28+10969.26</f>
        <v>37082.54</v>
      </c>
      <c r="C17" s="29">
        <f>77+4454+27+1837.5+1735+1542.5+1526+231.5+600.5+1638+860+10512.46+11400.12</f>
        <v>36441.58</v>
      </c>
      <c r="D17" s="29">
        <f>4162.19+4338.28+5701.1+5836.55+860+1638+600.5+231.5+1526+1542.5+1735+1837.5+27+4454+77</f>
        <v>34567.119999999995</v>
      </c>
      <c r="E17" s="29">
        <f>860+1638+600.5+231.5+1526+1542.5+1735+1837.5+27+4454+77+15946.4</f>
        <v>30475.4</v>
      </c>
      <c r="F17" s="29">
        <f>16395.4+860+1638+600.5+231.5+1526+1542.5+1735+1837.5+27+4454+77</f>
        <v>30924.400000000001</v>
      </c>
      <c r="G17" s="29">
        <f>860+1638+600.5+231.5+1526+1542.5+1735+1837.5+27+4454+77+11744.8+3901.6</f>
        <v>30175.399999999998</v>
      </c>
      <c r="H17" s="29">
        <f>23892.97+1290+2457+900.75+347.25+2289+2303.75+2602.5+2756.25+40.5+6681+1937.5+115.5</f>
        <v>47613.97</v>
      </c>
      <c r="I17" s="29">
        <f>860+1638+600.5+231.5+1526+1542.5+1735+1837.5+27+4454+2056.25+77+11744.8+3901.6</f>
        <v>32231.649999999998</v>
      </c>
      <c r="J17" s="29">
        <f>7783.2+7863.2+860+1638+600.5+231.5+1526+1542.3+1735+1837.5+27+4454+77</f>
        <v>30175.200000000001</v>
      </c>
      <c r="K17" s="29">
        <f>8232.37+5993.82+2090.8+860+1638+600.5+231.5+1526+1542.5+1735+1837.5+27+4454+77</f>
        <v>30845.99</v>
      </c>
      <c r="L17" s="41">
        <f>15646.4+860+819+600.5+231.5+1526+1542.5+1735+1837.5+27+4454+77</f>
        <v>29356.400000000001</v>
      </c>
      <c r="M17" s="29">
        <f>4245.5+4105.43+12536.04+11292.05+1284+2980.03+897.25+346.75+2287+2302.25+2598.5+2752.75+39.5+6680+114.5</f>
        <v>54461.55</v>
      </c>
      <c r="N17" s="35">
        <f t="shared" ref="N17:N23" si="2">SUM(B17:M17)</f>
        <v>424351.2</v>
      </c>
      <c r="O17" s="4"/>
    </row>
    <row r="18" spans="1:15" x14ac:dyDescent="0.25">
      <c r="A18" s="34" t="s">
        <v>9</v>
      </c>
      <c r="B18" s="8">
        <f>899.3+210.33+3835.26+1398.32+327.02+6339.81</f>
        <v>13010.04</v>
      </c>
      <c r="C18" s="8">
        <f>899.3+210.33+1358.58+317.73+6657.56</f>
        <v>9443.5</v>
      </c>
      <c r="D18" s="8">
        <f>1242.36+290.56+7518.36+899.3+210.33+3835.26+130</f>
        <v>14126.169999999998</v>
      </c>
      <c r="E18" s="8">
        <f>899.3+210.33+988.68+231.23+6403.36</f>
        <v>8732.9</v>
      </c>
      <c r="F18" s="8">
        <f>1016.52+237.74+6149.16+254.2+899.3+210.33</f>
        <v>8767.25</v>
      </c>
      <c r="G18" s="8">
        <f>899.3+210.33+3910.26+970.08+226.88+7570.57</f>
        <v>13787.42</v>
      </c>
      <c r="H18" s="8">
        <f>1481.37+346.45+6403.36+1468.46+343.43</f>
        <v>10043.07</v>
      </c>
      <c r="I18" s="8">
        <f>1026.79+240.14+970.08+226.88+6403.36</f>
        <v>8867.25</v>
      </c>
      <c r="J18" s="8">
        <f>970.08+226.88+6868.36+210.33+3835.26+350+899.3</f>
        <v>13360.21</v>
      </c>
      <c r="K18" s="8">
        <f>1011.65+236.59+6403.36+899.3+210.33</f>
        <v>8761.23</v>
      </c>
      <c r="L18" s="40">
        <f>35000+970.08+226.88+6870.91+28411.9+848.52+198.45</f>
        <v>72526.739999999991</v>
      </c>
      <c r="M18" s="8">
        <f>1788.27+418.23+7262.04+1379.27+322.57+115.24</f>
        <v>11285.62</v>
      </c>
      <c r="N18" s="35">
        <f t="shared" si="2"/>
        <v>192711.39999999997</v>
      </c>
      <c r="O18" s="4"/>
    </row>
    <row r="19" spans="1:15" x14ac:dyDescent="0.25">
      <c r="A19" s="28" t="s">
        <v>129</v>
      </c>
      <c r="B19" s="29"/>
      <c r="C19" s="29"/>
      <c r="D19" s="29"/>
      <c r="E19" s="29"/>
      <c r="F19" s="29"/>
      <c r="G19" s="29"/>
      <c r="H19" s="29">
        <v>17017.88</v>
      </c>
      <c r="I19" s="29">
        <v>153084.62</v>
      </c>
      <c r="J19" s="29"/>
      <c r="K19" s="29"/>
      <c r="L19" s="29"/>
      <c r="M19" s="29"/>
      <c r="N19" s="35">
        <f t="shared" si="2"/>
        <v>170102.5</v>
      </c>
      <c r="O19" s="4"/>
    </row>
    <row r="20" spans="1:15" x14ac:dyDescent="0.25">
      <c r="A20" s="77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>
        <f>154799+1068.11-77399.5</f>
        <v>78467.609999999986</v>
      </c>
      <c r="M20" s="29"/>
      <c r="N20" s="35">
        <f t="shared" si="2"/>
        <v>78467.609999999986</v>
      </c>
      <c r="O20" s="4"/>
    </row>
    <row r="21" spans="1:15" x14ac:dyDescent="0.25">
      <c r="A21" s="76" t="s">
        <v>102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35">
        <f t="shared" si="2"/>
        <v>0</v>
      </c>
      <c r="O21" s="4"/>
    </row>
    <row r="22" spans="1:15" x14ac:dyDescent="0.25">
      <c r="A22" s="28" t="s">
        <v>12</v>
      </c>
      <c r="B22" s="29">
        <f>-83.34+72.8+74.26+393+10+269.41+2336.64+900+148.18+294.56+472.13+228.44+30+2443.79+60.8+70.11-399.8+529.18+568.3+1138.48+0.12</f>
        <v>9557.06</v>
      </c>
      <c r="C22" s="29">
        <f>-853.7+130+235.35+158.55+60.47+98+188.6+1266.14+183.9+459.9+60+231.55+298.25+18.67+78.92+21.96+3837.47+2153.71+15700.57+3592+0.06</f>
        <v>27920.370000000003</v>
      </c>
      <c r="D22" s="29">
        <f>6530+2645.66+2816.86+300.76+300+140.27+190.07+115+125+90.43+924.05+2065.08+50+31.51+939.44+37.2+309+80.22-128.96</f>
        <v>17561.590000000004</v>
      </c>
      <c r="E22" s="29">
        <f>62.37+1210.38+1002.06+247.5+241.14+3347.89+31.28+104.47+150+2443.79+81.29+5366.1+5354.95+17493.4+17493.38</f>
        <v>54630</v>
      </c>
      <c r="F22" s="29">
        <f>19833+2814.4+2301.18+275+300+61+116.07+497.14+431.6+95+30.09+100.02+7200+17.47+712+59.22+80.95</f>
        <v>34924.14</v>
      </c>
      <c r="G22" s="29">
        <f>300+457.5+90.95+1570.1+295.84+23817.07+389.34+99.44+19.3+145+305+81.59-885.6+16323.18+2184.01+111.49+0.01</f>
        <v>45304.22</v>
      </c>
      <c r="H22" s="29">
        <f>23817.2+1625.28+555+300+220+37.73+75+360+71.72+1957.26+300+93.84+99.4+770.59+114.82+2556.79+81.78</f>
        <v>33036.409999999996</v>
      </c>
      <c r="I22" s="29">
        <f>-272+300+1063.69+82.7+210+60.26+991.26+202.61+156.62+101.24+391.64+2973+206+82.02+79145.33+5650.83+1193.42+0.02</f>
        <v>92538.64</v>
      </c>
      <c r="J22" s="29">
        <f>42024.2+1176.59-964.56+172.55+300+79.99+85.53+274.2+235.12+1485.45+59.42+42.15+110.95+401.55+1240.88+49+116+81.93+0.2</f>
        <v>46971.149999999987</v>
      </c>
      <c r="K22" s="29">
        <f>-213.75+5336.47+5245.65+27.99+31.7+300+78+58.48+2878.55+31.25+114.83+394.22+1029.82+2443.79+82.27-0.27</f>
        <v>17839</v>
      </c>
      <c r="L22" s="29">
        <f>32.18+343.58+300+421+101.92+1700.39+193.08+31.25+372+83.63+1200+2723.67+8593.17</f>
        <v>16095.87</v>
      </c>
      <c r="M22" s="29">
        <f>4361.75+3520.24+7839.15+4081.49+201.29+900+309.63+94.56+871.7+210.08+2282.19+116+61.4+275.23+408.27+230.55+421.75+83.86+1381.25-313.82</f>
        <v>27336.570000000003</v>
      </c>
      <c r="N22" s="35">
        <f t="shared" si="2"/>
        <v>423715.01999999996</v>
      </c>
      <c r="O22" s="4"/>
    </row>
    <row r="23" spans="1:15" ht="15.75" thickBot="1" x14ac:dyDescent="0.3">
      <c r="A23" s="36" t="s">
        <v>13</v>
      </c>
      <c r="B23" s="37"/>
      <c r="C23" s="37"/>
      <c r="D23" s="37"/>
      <c r="E23" s="37"/>
      <c r="F23" s="37"/>
      <c r="G23" s="37"/>
      <c r="H23" s="37"/>
      <c r="I23" s="37"/>
      <c r="J23" s="37"/>
      <c r="K23" s="37">
        <v>15000</v>
      </c>
      <c r="L23" s="37"/>
      <c r="M23" s="37"/>
      <c r="N23" s="35">
        <f t="shared" si="2"/>
        <v>15000</v>
      </c>
      <c r="O23" s="4"/>
    </row>
    <row r="24" spans="1:15" x14ac:dyDescent="0.25">
      <c r="B24" s="4"/>
      <c r="C24" s="4"/>
      <c r="D24" s="4"/>
      <c r="E24" s="4"/>
      <c r="F24" s="4"/>
      <c r="G24" s="4"/>
      <c r="H24" s="4"/>
      <c r="I24" s="4"/>
      <c r="J24" s="8"/>
      <c r="K24" s="4"/>
      <c r="L24" s="4"/>
      <c r="M24" s="4"/>
      <c r="N24" s="4"/>
      <c r="O24" s="4"/>
    </row>
    <row r="25" spans="1:15" x14ac:dyDescent="0.25">
      <c r="A25" s="2" t="s">
        <v>14</v>
      </c>
      <c r="B25" s="4">
        <f>+B2+B3+B4+B5+B6+B8+B9+B10+B12-B16-B17-B18-B19-B20-B22-B23</f>
        <v>1134343.6799999999</v>
      </c>
      <c r="C25" s="4">
        <f t="shared" ref="C25" si="3">+C2+C3+C4+C5+C6+C8+C9+C10+C12-C16-C17-C18-C19-C20-C22-C23</f>
        <v>1063608.7899999998</v>
      </c>
      <c r="D25" s="4">
        <f>+D2+D3+D4+D5+D6+D8+D9+D10+D11+D12-D16-D17-D18-D19-D20-D22-D23</f>
        <v>1044265.8999999998</v>
      </c>
      <c r="E25" s="4">
        <f>+E2+E3+E4+E5+E6+E8+E9+E10+E12-E16-E17-E18-E19-E20-E22-E23+E11-E21</f>
        <v>996669.25</v>
      </c>
      <c r="F25" s="4">
        <f t="shared" ref="F25:I25" si="4">+F2+F3+F4+F5+F6+F8+F9+F10+F12-F16-F17-F18-F19-F20-F22-F23+F11-F21</f>
        <v>945784.88</v>
      </c>
      <c r="G25" s="4">
        <f t="shared" si="4"/>
        <v>885303.02</v>
      </c>
      <c r="H25" s="4">
        <f>+H2+H3+H4+H5+H6+H8+H9+H10+H12-H16-H17-H18-H19-H20-H22-H23+H11-H21+H7</f>
        <v>913124.6100000001</v>
      </c>
      <c r="I25" s="4">
        <f t="shared" si="4"/>
        <v>623618.76000000013</v>
      </c>
      <c r="J25" s="4">
        <f>+J2+J3+J4+J5+J6+J8+J9+J10+J12-J16-J17-J18-J19-J20-J22-J23+J11-J21+J7</f>
        <v>552566.82000000018</v>
      </c>
      <c r="K25" s="4">
        <f>+K2+K3+K4+K5+K6+K8+K9+K10+K12+K14-K16-K17-K18-K19-K20-K22-K23+K11-K21</f>
        <v>1458117.0940000003</v>
      </c>
      <c r="L25" s="4">
        <f>+L2+L3+L4+L5+L6+L8+L9+L10+L11+L12+L13+L14-L16-L17-L18-L19-L20-L22-L23-L21</f>
        <v>1308412.1340000005</v>
      </c>
      <c r="M25" s="4">
        <f>+M2+M3+M4+M5+M6+M8+M9+M10+M12+M13-M16-M17-M18-M19-M20-M22-M23+M11-M21</f>
        <v>1470947.5540000002</v>
      </c>
      <c r="N25" s="4"/>
      <c r="O25" s="4"/>
    </row>
    <row r="26" spans="1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t="s">
        <v>50</v>
      </c>
      <c r="B27" s="4">
        <f>1042372.85+91970.83</f>
        <v>1134343.6799999999</v>
      </c>
      <c r="C27" s="4">
        <f>36423.6+1027185.19</f>
        <v>1063608.79</v>
      </c>
      <c r="D27" s="4">
        <f>15419.67+1028846.23</f>
        <v>1044265.9</v>
      </c>
      <c r="E27" s="4">
        <f>950522.08+46147.17</f>
        <v>996669.25</v>
      </c>
      <c r="F27" s="4">
        <f>19927.65+925857.23</f>
        <v>945784.88</v>
      </c>
      <c r="G27" s="4">
        <f>807522.39+77780.63</f>
        <v>885303.02</v>
      </c>
      <c r="H27" s="4">
        <f>9819.33+903305.28</f>
        <v>913124.61</v>
      </c>
      <c r="I27" s="4">
        <f>601116.55+22502.21</f>
        <v>623618.76</v>
      </c>
      <c r="J27" s="4">
        <f>55593.92+496972.9</f>
        <v>552566.82000000007</v>
      </c>
      <c r="K27" s="4">
        <f>234848.67+1223268.42</f>
        <v>1458117.0899999999</v>
      </c>
      <c r="L27" s="4">
        <f>86354.74+1222057.39</f>
        <v>1308412.1299999999</v>
      </c>
      <c r="M27" s="4">
        <f>107693.98+1363253.57</f>
        <v>1470947.55</v>
      </c>
      <c r="N27" s="3"/>
      <c r="O27" s="3"/>
    </row>
    <row r="28" spans="1:15" x14ac:dyDescent="0.25">
      <c r="B28" s="4">
        <f t="shared" ref="B28:M28" si="5">+B25-B27</f>
        <v>0</v>
      </c>
      <c r="C28" s="4">
        <f t="shared" si="5"/>
        <v>0</v>
      </c>
      <c r="D28" s="4">
        <f t="shared" si="5"/>
        <v>0</v>
      </c>
      <c r="E28" s="4">
        <f t="shared" si="5"/>
        <v>0</v>
      </c>
      <c r="F28" s="4">
        <f t="shared" si="5"/>
        <v>0</v>
      </c>
      <c r="G28" s="4">
        <f t="shared" si="5"/>
        <v>0</v>
      </c>
      <c r="H28" s="4">
        <f t="shared" si="5"/>
        <v>0</v>
      </c>
      <c r="I28" s="4">
        <f t="shared" si="5"/>
        <v>0</v>
      </c>
      <c r="J28" s="4">
        <f t="shared" si="5"/>
        <v>0</v>
      </c>
      <c r="K28" s="4">
        <f>+K25-K27</f>
        <v>4.0000004228204489E-3</v>
      </c>
      <c r="L28" s="4">
        <f t="shared" si="5"/>
        <v>4.0000006556510925E-3</v>
      </c>
      <c r="M28" s="4">
        <f t="shared" si="5"/>
        <v>4.0000001899898052E-3</v>
      </c>
      <c r="N28" s="3"/>
      <c r="O28" s="3"/>
    </row>
    <row r="29" spans="1:15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"/>
      <c r="O29" s="3"/>
    </row>
    <row r="30" spans="1:15" x14ac:dyDescent="0.25">
      <c r="A30" t="s">
        <v>51</v>
      </c>
      <c r="B30" s="3"/>
      <c r="C30" s="4"/>
      <c r="D30" s="4"/>
      <c r="E30" s="4"/>
      <c r="F30" s="4"/>
      <c r="G30" s="4"/>
      <c r="H30" s="4"/>
      <c r="I30" s="4"/>
      <c r="J30" s="4"/>
      <c r="K30" s="4">
        <f>+K6</f>
        <v>972925.81</v>
      </c>
      <c r="L30" s="4">
        <f>+K6</f>
        <v>972925.81</v>
      </c>
      <c r="M30" s="4">
        <f>+K6</f>
        <v>972925.81</v>
      </c>
      <c r="N30" s="3"/>
      <c r="O30" s="3"/>
    </row>
    <row r="31" spans="1:15" ht="30" x14ac:dyDescent="0.25">
      <c r="A31" s="12" t="s">
        <v>52</v>
      </c>
      <c r="B31" s="3"/>
      <c r="C31" s="4"/>
      <c r="D31" s="4"/>
      <c r="E31" s="4"/>
      <c r="F31" s="4"/>
      <c r="G31" s="4"/>
      <c r="H31" s="4"/>
      <c r="I31" s="4"/>
      <c r="J31" s="4"/>
      <c r="K31" s="4">
        <f>+K27-K30</f>
        <v>485191.2799999998</v>
      </c>
      <c r="L31" s="4">
        <f t="shared" ref="L31:M31" si="6">+L27-L30</f>
        <v>335486.31999999983</v>
      </c>
      <c r="M31" s="4">
        <f t="shared" si="6"/>
        <v>498021.74</v>
      </c>
      <c r="N31" s="3"/>
      <c r="O31" s="3"/>
    </row>
    <row r="33" spans="1:16" x14ac:dyDescent="0.25">
      <c r="A33" t="s">
        <v>17</v>
      </c>
      <c r="B33" s="9"/>
      <c r="M33" s="26"/>
      <c r="N33" s="20" t="s">
        <v>15</v>
      </c>
    </row>
    <row r="34" spans="1:16" x14ac:dyDescent="0.25">
      <c r="A34" t="s">
        <v>16</v>
      </c>
      <c r="B34" s="9"/>
      <c r="E34" s="5"/>
      <c r="M34" s="26"/>
      <c r="N34" s="20" t="s">
        <v>15</v>
      </c>
    </row>
    <row r="35" spans="1:16" x14ac:dyDescent="0.25">
      <c r="B35" s="9">
        <f>SUM(B33:B34)</f>
        <v>0</v>
      </c>
      <c r="M35" s="26">
        <f>SUM(M33:M34)</f>
        <v>0</v>
      </c>
      <c r="N35" s="21" t="s">
        <v>53</v>
      </c>
    </row>
    <row r="36" spans="1:16" x14ac:dyDescent="0.25">
      <c r="A36" t="s">
        <v>109</v>
      </c>
      <c r="B36" s="9">
        <f>+K6</f>
        <v>972925.81</v>
      </c>
      <c r="M36" s="26"/>
      <c r="N36" s="21" t="s">
        <v>54</v>
      </c>
    </row>
    <row r="37" spans="1:16" x14ac:dyDescent="0.25">
      <c r="B37" s="9"/>
      <c r="I37" t="s">
        <v>106</v>
      </c>
      <c r="K37" s="13"/>
      <c r="M37" s="27">
        <f>M35-M36</f>
        <v>0</v>
      </c>
      <c r="N37" s="21"/>
    </row>
    <row r="38" spans="1:16" x14ac:dyDescent="0.25">
      <c r="A38" s="14" t="s">
        <v>40</v>
      </c>
      <c r="B38" s="22">
        <f>+M37</f>
        <v>0</v>
      </c>
      <c r="C38" s="15"/>
      <c r="K38" s="2" t="s">
        <v>63</v>
      </c>
    </row>
    <row r="39" spans="1:16" x14ac:dyDescent="0.25">
      <c r="A39" s="16"/>
      <c r="B39" s="23"/>
      <c r="C39" s="17" t="s">
        <v>41</v>
      </c>
      <c r="M39" s="25"/>
      <c r="N39" s="21"/>
      <c r="O39" s="21"/>
      <c r="P39" s="21"/>
    </row>
    <row r="40" spans="1:16" x14ac:dyDescent="0.25">
      <c r="A40" s="16"/>
      <c r="B40" s="23"/>
      <c r="C40" s="17" t="s">
        <v>41</v>
      </c>
      <c r="K40" s="44" t="e">
        <f>+M37/K37</f>
        <v>#DIV/0!</v>
      </c>
      <c r="M40" s="5"/>
    </row>
    <row r="41" spans="1:16" x14ac:dyDescent="0.25">
      <c r="A41" s="16"/>
      <c r="B41" s="23"/>
      <c r="C41" s="17" t="s">
        <v>41</v>
      </c>
    </row>
    <row r="42" spans="1:16" x14ac:dyDescent="0.25">
      <c r="A42" s="16"/>
      <c r="B42" s="23"/>
      <c r="C42" s="17"/>
    </row>
    <row r="43" spans="1:16" x14ac:dyDescent="0.25">
      <c r="A43" s="18"/>
      <c r="B43" s="24">
        <f>+B38-B39-B40-B41-B42</f>
        <v>0</v>
      </c>
      <c r="C43" s="19"/>
    </row>
  </sheetData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2"/>
  <sheetViews>
    <sheetView topLeftCell="A7" workbookViewId="0">
      <pane xSplit="1" topLeftCell="F1" activePane="topRight" state="frozen"/>
      <selection pane="topRight" activeCell="M26" sqref="M26"/>
    </sheetView>
  </sheetViews>
  <sheetFormatPr defaultRowHeight="15" x14ac:dyDescent="0.25"/>
  <cols>
    <col min="1" max="1" width="32.140625" customWidth="1"/>
    <col min="2" max="2" width="16.28515625" customWidth="1"/>
    <col min="3" max="13" width="13.7109375" customWidth="1"/>
    <col min="14" max="14" width="14.5703125" customWidth="1"/>
  </cols>
  <sheetData>
    <row r="1" spans="1:15" x14ac:dyDescent="0.25">
      <c r="A1" s="2" t="s">
        <v>108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s="28" t="s">
        <v>0</v>
      </c>
      <c r="B2" s="29">
        <v>1019957.71</v>
      </c>
      <c r="C2" s="29">
        <f>+B24</f>
        <v>946115.44</v>
      </c>
      <c r="D2" s="29">
        <f t="shared" ref="D2:M2" si="0">+C24</f>
        <v>880752.37999999989</v>
      </c>
      <c r="E2" s="29">
        <f t="shared" si="0"/>
        <v>829922.64999999979</v>
      </c>
      <c r="F2" s="29">
        <f t="shared" si="0"/>
        <v>893655.43999999971</v>
      </c>
      <c r="G2" s="29">
        <f t="shared" si="0"/>
        <v>861328.62999999977</v>
      </c>
      <c r="H2" s="29">
        <f t="shared" si="0"/>
        <v>567881.10999999964</v>
      </c>
      <c r="I2" s="29">
        <f t="shared" si="0"/>
        <v>534707.45999999961</v>
      </c>
      <c r="J2" s="29">
        <f t="shared" si="0"/>
        <v>479922.90999999963</v>
      </c>
      <c r="K2" s="29">
        <f t="shared" si="0"/>
        <v>420714.05999999959</v>
      </c>
      <c r="L2" s="29">
        <f t="shared" si="0"/>
        <v>1430988.4899999995</v>
      </c>
      <c r="M2" s="29">
        <f t="shared" si="0"/>
        <v>1498889.7699999996</v>
      </c>
      <c r="N2" s="30" t="s">
        <v>45</v>
      </c>
      <c r="O2" s="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"/>
    </row>
    <row r="5" spans="1:15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8"/>
      <c r="O5" s="4"/>
    </row>
    <row r="6" spans="1:15" x14ac:dyDescent="0.25">
      <c r="A6" s="34" t="s">
        <v>20</v>
      </c>
      <c r="B6" s="8"/>
      <c r="C6" s="8"/>
      <c r="D6" s="8"/>
      <c r="E6" s="8">
        <v>43626.48</v>
      </c>
      <c r="F6" s="8"/>
      <c r="G6" s="8"/>
      <c r="H6" s="8"/>
      <c r="I6" s="8"/>
      <c r="J6" s="8"/>
      <c r="K6" s="8">
        <v>940024.94</v>
      </c>
      <c r="L6" s="8"/>
      <c r="M6" s="8"/>
      <c r="N6" s="35">
        <f>SUM(B6:M6)</f>
        <v>983651.41999999993</v>
      </c>
      <c r="O6" s="4"/>
    </row>
    <row r="7" spans="1:15" x14ac:dyDescent="0.25">
      <c r="A7" s="28" t="s">
        <v>3</v>
      </c>
      <c r="B7" s="29">
        <v>19383.75</v>
      </c>
      <c r="C7" s="29">
        <v>19383.75</v>
      </c>
      <c r="D7" s="29">
        <v>19935.77</v>
      </c>
      <c r="E7" s="29">
        <v>75000</v>
      </c>
      <c r="F7" s="29">
        <v>19084.04</v>
      </c>
      <c r="G7" s="29">
        <v>3444.61</v>
      </c>
      <c r="H7" s="29">
        <v>21581.119999999999</v>
      </c>
      <c r="I7" s="29"/>
      <c r="J7" s="29"/>
      <c r="K7" s="29">
        <f>121490.19+4458.25</f>
        <v>125948.44</v>
      </c>
      <c r="L7" s="29">
        <f>19946.25+14608.32</f>
        <v>34554.57</v>
      </c>
      <c r="M7" s="29">
        <v>20439.03</v>
      </c>
      <c r="N7" s="35">
        <f t="shared" ref="N7:N13" si="1">SUM(B7:M7)</f>
        <v>358755.07999999996</v>
      </c>
      <c r="O7" s="4"/>
    </row>
    <row r="8" spans="1:15" x14ac:dyDescent="0.25">
      <c r="A8" s="34" t="s">
        <v>4</v>
      </c>
      <c r="B8" s="8">
        <f>6334+7198</f>
        <v>13532</v>
      </c>
      <c r="C8" s="8">
        <f>5826+4487-22347</f>
        <v>-12034</v>
      </c>
      <c r="D8" s="8">
        <f>14984-9987</f>
        <v>4997</v>
      </c>
      <c r="E8" s="8">
        <v>2000</v>
      </c>
      <c r="F8" s="8"/>
      <c r="G8" s="8">
        <f>13753-6167</f>
        <v>7586</v>
      </c>
      <c r="H8" s="8">
        <f>2943+3349+1300</f>
        <v>7592</v>
      </c>
      <c r="I8" s="8">
        <f>6613-3383</f>
        <v>3230</v>
      </c>
      <c r="J8" s="8">
        <f>10392-9613</f>
        <v>779</v>
      </c>
      <c r="K8" s="8">
        <f>14891+4000</f>
        <v>18891</v>
      </c>
      <c r="L8" s="8">
        <f>13892-5466</f>
        <v>8426</v>
      </c>
      <c r="M8" s="8">
        <f>12545-6315</f>
        <v>6230</v>
      </c>
      <c r="N8" s="35">
        <f t="shared" si="1"/>
        <v>61229</v>
      </c>
      <c r="O8" s="4"/>
    </row>
    <row r="9" spans="1:15" x14ac:dyDescent="0.25">
      <c r="A9" s="28" t="s">
        <v>5</v>
      </c>
      <c r="B9" s="29">
        <f>4.1+192.5+35.12</f>
        <v>231.72</v>
      </c>
      <c r="C9" s="29">
        <f>27800.9+3.73</f>
        <v>27804.63</v>
      </c>
      <c r="D9" s="29">
        <f>6.11+127.02+50+64</f>
        <v>247.13</v>
      </c>
      <c r="E9" s="29">
        <f>3.33+183.5+40.24+1625</f>
        <v>1852.07</v>
      </c>
      <c r="F9" s="29">
        <f>4.81+29.97+10+40.88+113</f>
        <v>198.66</v>
      </c>
      <c r="G9" s="29">
        <f>2265+19.71+90+28.83+29+7.16</f>
        <v>2439.6999999999998</v>
      </c>
      <c r="H9" s="29">
        <f>4000+2.76+60+174+11.27+310.92+33.42+2.89</f>
        <v>4595.2600000000011</v>
      </c>
      <c r="I9" s="29">
        <f>3.24+30+39.55+190.5</f>
        <v>263.28999999999996</v>
      </c>
      <c r="J9" s="29">
        <f>4.53+204.08+190+29.32+140</f>
        <v>567.93000000000006</v>
      </c>
      <c r="K9" s="29">
        <f>15.16+446.11+24.26+157</f>
        <v>642.53</v>
      </c>
      <c r="L9" s="29">
        <f>35.1+15.56+100+91.62+314</f>
        <v>556.28</v>
      </c>
      <c r="M9" s="29">
        <f>49.49+100+96.14+98+17.88</f>
        <v>361.51</v>
      </c>
      <c r="N9" s="35">
        <f t="shared" si="1"/>
        <v>39760.710000000006</v>
      </c>
      <c r="O9" s="4"/>
    </row>
    <row r="10" spans="1:15" x14ac:dyDescent="0.25">
      <c r="A10" s="34" t="s">
        <v>19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29870</v>
      </c>
      <c r="N10" s="35">
        <f t="shared" si="1"/>
        <v>29870</v>
      </c>
      <c r="O10" s="4"/>
    </row>
    <row r="11" spans="1:15" x14ac:dyDescent="0.25">
      <c r="A11" s="28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5">
        <f t="shared" si="1"/>
        <v>0</v>
      </c>
      <c r="O11" s="4"/>
    </row>
    <row r="12" spans="1:15" x14ac:dyDescent="0.25">
      <c r="A12" s="78" t="s">
        <v>105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>
        <v>154799</v>
      </c>
      <c r="M12" s="29"/>
      <c r="N12" s="35">
        <f t="shared" si="1"/>
        <v>154799</v>
      </c>
      <c r="O12" s="4"/>
    </row>
    <row r="13" spans="1:15" ht="15.75" thickBot="1" x14ac:dyDescent="0.3">
      <c r="A13" s="36" t="s">
        <v>66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>
        <f>SUM(M7:M12)</f>
        <v>56900.539999999994</v>
      </c>
      <c r="N13" s="35">
        <f t="shared" si="1"/>
        <v>56900.539999999994</v>
      </c>
      <c r="O13" s="4"/>
    </row>
    <row r="14" spans="1:15" ht="15.75" thickBot="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31" t="s">
        <v>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9"/>
      <c r="M15" s="32"/>
      <c r="N15" s="33"/>
      <c r="O15" s="4"/>
    </row>
    <row r="16" spans="1:15" x14ac:dyDescent="0.25">
      <c r="A16" s="28" t="s">
        <v>8</v>
      </c>
      <c r="B16" s="29">
        <f>17932.34+13519.99+1217.16+2319.18+849.99+334.32+2195.86+2456.55+2601.75+36.09+6307.32+111.09</f>
        <v>49881.639999999992</v>
      </c>
      <c r="C16" s="29">
        <f>12279.54+11165.63+10624.95</f>
        <v>34070.119999999995</v>
      </c>
      <c r="D16" s="29">
        <v>32578.43</v>
      </c>
      <c r="E16" s="29">
        <f>18195.9+6598.7+7458.53</f>
        <v>32253.13</v>
      </c>
      <c r="F16" s="29">
        <f>15586.91+811.44+1546.12+566.66+222.88+1457.24+1637.7+1734.5+24.06+4204.88+74.06+1557.46</f>
        <v>29423.910000000003</v>
      </c>
      <c r="G16" s="29">
        <f>15604.26+811.44+1546.12+566.66+222.88+1457.24+1637.7+1734.5+24.06+4204.88+74.06+1557.46</f>
        <v>29441.260000000006</v>
      </c>
      <c r="H16" s="29">
        <f>2336.19+111.09+6307.32+36.09+2601.75+2456.55+2155.86+334.32+849.99+2319.18+1217.16+10325.38+5406.22+5657.6+1903.2</f>
        <v>44017.9</v>
      </c>
      <c r="I16" s="29">
        <f>14931.8+811.44+1546.12+566.66+222.88+1457.24+1637.7+1734.5+24.06+4204.88+74.06+1557.46</f>
        <v>28768.800000000007</v>
      </c>
      <c r="J16" s="29">
        <f>14279.42+811.44+1546.12+566.66+222.88+1457.24+1637.7+1734.5+24.06+4204.88+74.06+1557.46</f>
        <v>28116.420000000006</v>
      </c>
      <c r="K16" s="29">
        <f>5595.5+9281.9+811.44+1546.12+566.66+222.88+1457.24+1637.7+1734.5+24.06+4204.88+74.06+1557.46</f>
        <v>28714.400000000005</v>
      </c>
      <c r="L16" s="41">
        <f>1903.2+5452.41+4040.52+3985.59+811.44+1546.12+566.66+222.88+1457.24+1637.7+1734.5+24.06+4204.88+74.06+1557.46</f>
        <v>29218.720000000005</v>
      </c>
      <c r="M16" s="29">
        <f>20747.64+8604.95+27.16+8146.02+2198.26+2849.85+4373.88</f>
        <v>46947.76</v>
      </c>
      <c r="N16" s="35">
        <f t="shared" ref="N16:N22" si="2">SUM(B16:M16)</f>
        <v>413432.49000000005</v>
      </c>
      <c r="O16" s="4"/>
    </row>
    <row r="17" spans="1:15" x14ac:dyDescent="0.25">
      <c r="A17" s="34" t="s">
        <v>9</v>
      </c>
      <c r="B17" s="8">
        <f>1931.52+451.73+6330.4+3722.28+1142.63+267.22</f>
        <v>13845.78</v>
      </c>
      <c r="C17" s="8">
        <f>939.39+1338.67+313.07+6330.4</f>
        <v>8921.5299999999988</v>
      </c>
      <c r="D17" s="8">
        <f>55+3722.28+178.05+761.34+6406.85+291.64+1247.02</f>
        <v>12662.18</v>
      </c>
      <c r="E17" s="8">
        <f>1107.32+258.97+7909.45</f>
        <v>9275.74</v>
      </c>
      <c r="F17" s="8">
        <f>953.01+222.88+6266.85+857.9+200.63-63.55</f>
        <v>8437.7199999999993</v>
      </c>
      <c r="G17" s="8">
        <f>857.9+200.63+3722.28+954.08+223.14+6296.85</f>
        <v>12254.880000000001</v>
      </c>
      <c r="H17" s="8">
        <f>300.51+1284.99+1424.06+333.05+6266.85</f>
        <v>9609.4600000000009</v>
      </c>
      <c r="I17" s="8">
        <f>912.39+213.38+6466.85+857.9+200.63+200</f>
        <v>8851.15</v>
      </c>
      <c r="J17" s="8">
        <f>871.94+203.92+6266.85+857.9+200.63+3722.28</f>
        <v>12123.52</v>
      </c>
      <c r="K17" s="8">
        <f>6966.85+212.59+909.02+857.9+200.63+140</f>
        <v>9286.99</v>
      </c>
      <c r="L17" s="40">
        <f>32552+940.29+219.9+6466.85+21483+857.9+200.63</f>
        <v>62720.57</v>
      </c>
      <c r="M17" s="8">
        <f>375.21+1604.32+6977.65-2962.12+1286.36+300.83+55+153.51</f>
        <v>7790.76</v>
      </c>
      <c r="N17" s="35">
        <f t="shared" si="2"/>
        <v>175780.28000000003</v>
      </c>
      <c r="O17" s="4"/>
    </row>
    <row r="18" spans="1:15" x14ac:dyDescent="0.25">
      <c r="A18" s="28" t="s">
        <v>10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>
        <f>244799</f>
        <v>244799</v>
      </c>
      <c r="N18" s="35">
        <f t="shared" si="2"/>
        <v>244799</v>
      </c>
      <c r="O18" s="4"/>
    </row>
    <row r="19" spans="1:15" x14ac:dyDescent="0.25">
      <c r="A19" s="77" t="s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>
        <f>60350+1357.88</f>
        <v>61707.88</v>
      </c>
      <c r="N19" s="35">
        <f t="shared" si="2"/>
        <v>61707.88</v>
      </c>
      <c r="O19" s="4"/>
    </row>
    <row r="20" spans="1:15" x14ac:dyDescent="0.25">
      <c r="A20" s="76" t="s">
        <v>102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35">
        <f t="shared" si="2"/>
        <v>0</v>
      </c>
      <c r="O20" s="4"/>
    </row>
    <row r="21" spans="1:15" x14ac:dyDescent="0.25">
      <c r="A21" s="28" t="s">
        <v>12</v>
      </c>
      <c r="B21" s="29">
        <v>43262.32</v>
      </c>
      <c r="C21" s="29">
        <f>13274.79+44251</f>
        <v>57525.79</v>
      </c>
      <c r="D21" s="29">
        <v>30769.02</v>
      </c>
      <c r="E21" s="29">
        <f>1500.29+2554.46+4442.53+4442.54+547.55+3137.64+591.88</f>
        <v>17216.89</v>
      </c>
      <c r="F21" s="29">
        <f>-377.2+5126.24+814.11+429.14+292.7+110+77.87+1254+359.82+5052.65+175.14+60+158.65+227.43+19.18+68.15-100</f>
        <v>13747.879999999997</v>
      </c>
      <c r="G21" s="29">
        <f>-900.1+30.8+62.85+155.95+1264.8+22988.87+300+107.26+221.42+18.82+399+31.2+67.75+125465.08+88910+23328.09+500+1796.64+473.28-0.02</f>
        <v>265221.69000000006</v>
      </c>
      <c r="H21" s="29">
        <f>97.79+55+202.73+280+18.9+2898.92+50.61+211.93+769.66+1115.88+67.93+5900.34+1881.19+106.47-263.4-79.28</f>
        <v>13314.67</v>
      </c>
      <c r="I21" s="29">
        <f>7928.15+5450.01-320+143.6+6.95+1172+150.33+517.47+1190+594.73+1286.08+221.51+61.51+214.53+394.29+1440+48+90.8+67.93</f>
        <v>20657.889999999996</v>
      </c>
      <c r="J21" s="29">
        <f>1586.36+15885.75-78+30.8+53.99+286.66+385+109.64+899.74+158.6+237.6+394.27+297.5+67.93</f>
        <v>20315.84</v>
      </c>
      <c r="K21" s="29">
        <f>-394.3+5440.57+1644.75+24958.48+78+486.13+600+39.97+350+161.98+729.79+213.84+245.73+399.94+1115.88+67.81+1200-107.48</f>
        <v>37231.090000000004</v>
      </c>
      <c r="L21" s="29">
        <f>38493.28+2</f>
        <v>38495.279999999999</v>
      </c>
      <c r="M21" s="29">
        <f>10659.95+771.21-215.2+350.75+569.75+890+928.17+418.96+110+735+874.63+1847+41.49+1551.24+145.57+275.05+1125.72+348.84+175+68.05-2</f>
        <v>21669.18</v>
      </c>
      <c r="N21" s="35">
        <f t="shared" si="2"/>
        <v>579427.54000000015</v>
      </c>
      <c r="O21" s="4"/>
    </row>
    <row r="22" spans="1:15" ht="15.75" thickBot="1" x14ac:dyDescent="0.3">
      <c r="A22" s="36" t="s">
        <v>13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5">
        <f t="shared" si="2"/>
        <v>0</v>
      </c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8"/>
      <c r="K23" s="4"/>
      <c r="L23" s="4"/>
      <c r="M23" s="4"/>
      <c r="N23" s="4"/>
      <c r="O23" s="4"/>
    </row>
    <row r="24" spans="1:15" x14ac:dyDescent="0.25">
      <c r="A24" s="2" t="s">
        <v>14</v>
      </c>
      <c r="B24" s="4">
        <f>+B2+B3+B4+B5+B6+B7+B8+B9+B11-B15-B16-B17-B18-B19-B21-B22</f>
        <v>946115.44</v>
      </c>
      <c r="C24" s="4">
        <f t="shared" ref="C24" si="3">+C2+C3+C4+C5+C6+C7+C8+C9+C11-C15-C16-C17-C18-C19-C21-C22</f>
        <v>880752.37999999989</v>
      </c>
      <c r="D24" s="4">
        <f>+D2+D3+D4+D5+D6+D7+D8+D9+D10+D11-D15-D16-D17-D18-D19-D21-D22</f>
        <v>829922.64999999979</v>
      </c>
      <c r="E24" s="4">
        <f>+E2+E3+E4+E5+E6+E7+E8+E9+E11-E15-E16-E17-E18-E19-E21-E22+E10-E20</f>
        <v>893655.43999999971</v>
      </c>
      <c r="F24" s="4">
        <f t="shared" ref="F24:J24" si="4">+F2+F3+F4+F5+F6+F7+F8+F9+F11-F15-F16-F17-F18-F19-F21-F22+F10-F20</f>
        <v>861328.62999999977</v>
      </c>
      <c r="G24" s="4">
        <f t="shared" si="4"/>
        <v>567881.10999999964</v>
      </c>
      <c r="H24" s="4">
        <f t="shared" si="4"/>
        <v>534707.45999999961</v>
      </c>
      <c r="I24" s="4">
        <f t="shared" si="4"/>
        <v>479922.90999999963</v>
      </c>
      <c r="J24" s="4">
        <f t="shared" si="4"/>
        <v>420714.05999999959</v>
      </c>
      <c r="K24" s="4">
        <f>+K2+K3+K4+K5+K6+K7+K8+K9+K11+K13-K15-K16-K17-K18-K19-K21-K22+K10-K20</f>
        <v>1430988.4899999995</v>
      </c>
      <c r="L24" s="4">
        <f>+L2+L3+L4+L5+L6+L7+L8+L9+L10+L11+L12+L13-L15-L16-L17-L18-L19-L21-L22-L20</f>
        <v>1498889.7699999996</v>
      </c>
      <c r="M24" s="4">
        <f>+M2+M3+M4+M5+M6+M7+M8+M9+M11+M12-M15-M16-M17-M18-M19-M21-M22+M10-M20</f>
        <v>1172875.7299999997</v>
      </c>
      <c r="N24" s="4"/>
      <c r="O24" s="4"/>
    </row>
    <row r="25" spans="1: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t="s">
        <v>50</v>
      </c>
      <c r="B26" s="4">
        <f>48356.09+897759.35</f>
        <v>946115.44</v>
      </c>
      <c r="C26" s="4">
        <f>93719.85+787032.53</f>
        <v>880752.38</v>
      </c>
      <c r="D26" s="4">
        <f>60773.6+769149.05</f>
        <v>829922.65</v>
      </c>
      <c r="E26" s="4">
        <f>95365.47+180+74022.12+424087.85+300000</f>
        <v>893655.44</v>
      </c>
      <c r="F26" s="4">
        <f>794916.74+66411.89</f>
        <v>861328.63</v>
      </c>
      <c r="G26" s="4">
        <f>534113.36+33767.75</f>
        <v>567881.11</v>
      </c>
      <c r="H26" s="4">
        <f>518217.38+16490.08</f>
        <v>534707.46</v>
      </c>
      <c r="I26" s="4">
        <f>80590.74+399332.17</f>
        <v>479922.91</v>
      </c>
      <c r="J26" s="4">
        <f>41501.03+379213.03</f>
        <v>420714.06000000006</v>
      </c>
      <c r="K26" s="4">
        <f>340738.02+1090250.47</f>
        <v>1430988.49</v>
      </c>
      <c r="L26" s="4">
        <f>169859.89+154799+1174230.88</f>
        <v>1498889.77</v>
      </c>
      <c r="M26" s="4">
        <f>1168400.49+4475.24</f>
        <v>1172875.73</v>
      </c>
      <c r="N26" s="3"/>
      <c r="O26" s="3"/>
    </row>
    <row r="27" spans="1:15" x14ac:dyDescent="0.25">
      <c r="B27" s="4">
        <f t="shared" ref="B27:M27" si="5">+B24-B26</f>
        <v>0</v>
      </c>
      <c r="C27" s="4">
        <f t="shared" si="5"/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  <c r="I27" s="4">
        <f t="shared" si="5"/>
        <v>0</v>
      </c>
      <c r="J27" s="4">
        <f t="shared" si="5"/>
        <v>-4.6566128730773926E-10</v>
      </c>
      <c r="K27" s="4">
        <f>+K24-K26</f>
        <v>0</v>
      </c>
      <c r="L27" s="4">
        <f t="shared" si="5"/>
        <v>0</v>
      </c>
      <c r="M27" s="4">
        <f t="shared" si="5"/>
        <v>0</v>
      </c>
      <c r="N27" s="3"/>
      <c r="O27" s="3"/>
    </row>
    <row r="28" spans="1:15" x14ac:dyDescent="0.2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"/>
      <c r="O28" s="3"/>
    </row>
    <row r="29" spans="1:15" x14ac:dyDescent="0.25">
      <c r="A29" t="s">
        <v>51</v>
      </c>
      <c r="B29" s="3"/>
      <c r="C29" s="4">
        <v>940024.94</v>
      </c>
      <c r="D29" s="4"/>
      <c r="E29" s="4"/>
      <c r="F29" s="4"/>
      <c r="G29" s="4"/>
      <c r="H29" s="4"/>
      <c r="I29" s="4"/>
      <c r="J29" s="4"/>
      <c r="K29" s="4">
        <f>+K6</f>
        <v>940024.94</v>
      </c>
      <c r="L29" s="4">
        <f>+K6</f>
        <v>940024.94</v>
      </c>
      <c r="M29" s="4">
        <f>+K6</f>
        <v>940024.94</v>
      </c>
      <c r="N29" s="3"/>
      <c r="O29" s="3"/>
    </row>
    <row r="30" spans="1:15" ht="30" x14ac:dyDescent="0.25">
      <c r="A30" s="12" t="s">
        <v>52</v>
      </c>
      <c r="B30" s="3"/>
      <c r="C30" s="4"/>
      <c r="D30" s="4"/>
      <c r="E30" s="4"/>
      <c r="F30" s="4"/>
      <c r="G30" s="4"/>
      <c r="H30" s="4"/>
      <c r="I30" s="4"/>
      <c r="J30" s="4"/>
      <c r="K30" s="4">
        <f>+K26-K29</f>
        <v>490963.55000000005</v>
      </c>
      <c r="L30" s="4">
        <f t="shared" ref="L30:M30" si="6">+L26-L29</f>
        <v>558864.83000000007</v>
      </c>
      <c r="M30" s="4">
        <f t="shared" si="6"/>
        <v>232850.79000000004</v>
      </c>
      <c r="N30" s="3"/>
      <c r="O30" s="3"/>
    </row>
    <row r="32" spans="1:15" x14ac:dyDescent="0.25">
      <c r="A32" t="s">
        <v>17</v>
      </c>
      <c r="B32" s="9"/>
      <c r="M32" s="26"/>
      <c r="N32" s="20" t="s">
        <v>15</v>
      </c>
    </row>
    <row r="33" spans="1:16" x14ac:dyDescent="0.25">
      <c r="A33" t="s">
        <v>16</v>
      </c>
      <c r="B33" s="9"/>
      <c r="E33" s="5"/>
      <c r="M33" s="26"/>
      <c r="N33" s="20" t="s">
        <v>15</v>
      </c>
    </row>
    <row r="34" spans="1:16" x14ac:dyDescent="0.25">
      <c r="B34" s="9">
        <f>SUM(B32:B33)</f>
        <v>0</v>
      </c>
      <c r="M34" s="26">
        <f>SUM(M32:M33)</f>
        <v>0</v>
      </c>
      <c r="N34" s="21" t="s">
        <v>53</v>
      </c>
    </row>
    <row r="35" spans="1:16" x14ac:dyDescent="0.25">
      <c r="A35" t="s">
        <v>109</v>
      </c>
      <c r="B35" s="9">
        <f>+K6</f>
        <v>940024.94</v>
      </c>
      <c r="M35" s="26"/>
      <c r="N35" s="21" t="s">
        <v>54</v>
      </c>
    </row>
    <row r="36" spans="1:16" x14ac:dyDescent="0.25">
      <c r="B36" s="9"/>
      <c r="I36" t="s">
        <v>106</v>
      </c>
      <c r="K36" s="13"/>
      <c r="M36" s="27">
        <f>M34-M35</f>
        <v>0</v>
      </c>
      <c r="N36" s="21"/>
    </row>
    <row r="37" spans="1:16" x14ac:dyDescent="0.25">
      <c r="A37" s="14" t="s">
        <v>40</v>
      </c>
      <c r="B37" s="22">
        <f>+M36</f>
        <v>0</v>
      </c>
      <c r="C37" s="15"/>
      <c r="K37" s="2" t="s">
        <v>63</v>
      </c>
    </row>
    <row r="38" spans="1:16" x14ac:dyDescent="0.25">
      <c r="A38" s="16"/>
      <c r="B38" s="23"/>
      <c r="C38" s="17" t="s">
        <v>41</v>
      </c>
      <c r="M38" s="25"/>
      <c r="N38" s="21"/>
      <c r="O38" s="21"/>
      <c r="P38" s="21"/>
    </row>
    <row r="39" spans="1:16" x14ac:dyDescent="0.25">
      <c r="A39" s="16"/>
      <c r="B39" s="23"/>
      <c r="C39" s="17" t="s">
        <v>41</v>
      </c>
      <c r="K39" s="44" t="e">
        <f>+M36/K36</f>
        <v>#DIV/0!</v>
      </c>
      <c r="M39" s="5"/>
    </row>
    <row r="40" spans="1:16" x14ac:dyDescent="0.25">
      <c r="A40" s="16"/>
      <c r="B40" s="23"/>
      <c r="C40" s="17" t="s">
        <v>41</v>
      </c>
    </row>
    <row r="41" spans="1:16" x14ac:dyDescent="0.25">
      <c r="A41" s="16"/>
      <c r="B41" s="23"/>
      <c r="C41" s="17"/>
    </row>
    <row r="42" spans="1:16" x14ac:dyDescent="0.25">
      <c r="A42" s="18"/>
      <c r="B42" s="24">
        <f>+B37-B38-B39-B40-B41</f>
        <v>0</v>
      </c>
      <c r="C42" s="19"/>
    </row>
  </sheetData>
  <pageMargins left="0.7" right="0.7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workbookViewId="0">
      <pane xSplit="1" topLeftCell="F1" activePane="topRight" state="frozen"/>
      <selection pane="topRight" sqref="A1:N30"/>
    </sheetView>
  </sheetViews>
  <sheetFormatPr defaultRowHeight="15" x14ac:dyDescent="0.25"/>
  <cols>
    <col min="1" max="1" width="32.140625" customWidth="1"/>
    <col min="2" max="2" width="16.28515625" customWidth="1"/>
    <col min="3" max="13" width="13.7109375" customWidth="1"/>
    <col min="14" max="14" width="14.5703125" customWidth="1"/>
  </cols>
  <sheetData>
    <row r="1" spans="1:15" x14ac:dyDescent="0.25">
      <c r="A1" s="2" t="s">
        <v>103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s="28" t="s">
        <v>0</v>
      </c>
      <c r="B2" s="29">
        <v>1148791.32</v>
      </c>
      <c r="C2" s="29">
        <f>+B24</f>
        <v>1045110.4600000002</v>
      </c>
      <c r="D2" s="29">
        <f t="shared" ref="D2:M2" si="0">+C24</f>
        <v>956616.75000000023</v>
      </c>
      <c r="E2" s="29">
        <f t="shared" si="0"/>
        <v>941661.37000000023</v>
      </c>
      <c r="F2" s="29">
        <f t="shared" si="0"/>
        <v>893418.95000000019</v>
      </c>
      <c r="G2" s="29">
        <f t="shared" si="0"/>
        <v>852470.41000000015</v>
      </c>
      <c r="H2" s="29">
        <f t="shared" si="0"/>
        <v>652805.16000000015</v>
      </c>
      <c r="I2" s="29">
        <f t="shared" si="0"/>
        <v>645708.13000000012</v>
      </c>
      <c r="J2" s="29">
        <f t="shared" si="0"/>
        <v>564806.1100000001</v>
      </c>
      <c r="K2" s="29">
        <f t="shared" si="0"/>
        <v>529015.12000000011</v>
      </c>
      <c r="L2" s="29">
        <f t="shared" si="0"/>
        <v>980366.9700000002</v>
      </c>
      <c r="M2" s="29">
        <f t="shared" si="0"/>
        <v>885633.5700000003</v>
      </c>
      <c r="N2" s="30" t="s">
        <v>45</v>
      </c>
      <c r="O2" s="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"/>
    </row>
    <row r="5" spans="1:15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8"/>
      <c r="O5" s="4"/>
    </row>
    <row r="6" spans="1:15" x14ac:dyDescent="0.25">
      <c r="A6" s="34" t="s">
        <v>20</v>
      </c>
      <c r="B6" s="8"/>
      <c r="C6" s="8"/>
      <c r="D6" s="8">
        <v>42651.83</v>
      </c>
      <c r="E6" s="8"/>
      <c r="F6" s="8"/>
      <c r="G6" s="8"/>
      <c r="H6" s="8"/>
      <c r="I6" s="8"/>
      <c r="J6" s="8"/>
      <c r="K6" s="8">
        <v>921593.08</v>
      </c>
      <c r="L6" s="8"/>
      <c r="M6" s="8"/>
      <c r="N6" s="35">
        <f>SUM(B6:M6)</f>
        <v>964244.90999999992</v>
      </c>
      <c r="O6" s="4"/>
    </row>
    <row r="7" spans="1:15" x14ac:dyDescent="0.25">
      <c r="A7" s="28" t="s">
        <v>3</v>
      </c>
      <c r="B7" s="29">
        <v>19383.75</v>
      </c>
      <c r="C7" s="29">
        <v>2649</v>
      </c>
      <c r="D7" s="29">
        <v>19383.75</v>
      </c>
      <c r="E7" s="29"/>
      <c r="F7" s="29">
        <v>11233.82</v>
      </c>
      <c r="G7" s="29">
        <v>1676.96</v>
      </c>
      <c r="H7" s="29">
        <v>37941</v>
      </c>
      <c r="I7" s="29"/>
      <c r="J7" s="29"/>
      <c r="K7" s="29"/>
      <c r="L7" s="29">
        <f>9962.37+19383.75</f>
        <v>29346.120000000003</v>
      </c>
      <c r="M7" s="29">
        <f>19510.46+15225.06+131927.18</f>
        <v>166662.69999999998</v>
      </c>
      <c r="N7" s="35">
        <f t="shared" ref="N7:N13" si="1">SUM(B7:M7)</f>
        <v>288277.09999999998</v>
      </c>
      <c r="O7" s="4"/>
    </row>
    <row r="8" spans="1:15" x14ac:dyDescent="0.25">
      <c r="A8" s="34" t="s">
        <v>4</v>
      </c>
      <c r="B8" s="8">
        <f>8753+5335-12974</f>
        <v>1114</v>
      </c>
      <c r="C8" s="8">
        <f>21398.5-8849</f>
        <v>12549.5</v>
      </c>
      <c r="D8" s="8">
        <f>18280.36-11995.5</f>
        <v>6284.8600000000006</v>
      </c>
      <c r="E8" s="8">
        <f>28596-10114</f>
        <v>18482</v>
      </c>
      <c r="F8" s="8">
        <f>16896-13934</f>
        <v>2962</v>
      </c>
      <c r="G8" s="8">
        <f>12641-17476</f>
        <v>-4835</v>
      </c>
      <c r="H8" s="8">
        <f>21189.5</f>
        <v>21189.5</v>
      </c>
      <c r="I8" s="8">
        <f>13371+8829-24666.5</f>
        <v>-2466.5</v>
      </c>
      <c r="J8" s="8">
        <v>16835.5</v>
      </c>
      <c r="K8" s="8">
        <f>9805.7+5709+1500-11456</f>
        <v>5558.7000000000007</v>
      </c>
      <c r="L8" s="8">
        <f>16936-9314</f>
        <v>7622</v>
      </c>
      <c r="M8" s="8">
        <f>17484-11433</f>
        <v>6051</v>
      </c>
      <c r="N8" s="35">
        <f t="shared" si="1"/>
        <v>91347.56</v>
      </c>
      <c r="O8" s="4"/>
    </row>
    <row r="9" spans="1:15" x14ac:dyDescent="0.25">
      <c r="A9" s="28" t="s">
        <v>5</v>
      </c>
      <c r="B9" s="29">
        <f>282.7+4.27</f>
        <v>286.96999999999997</v>
      </c>
      <c r="C9" s="29">
        <f>3.61+379.75</f>
        <v>383.36</v>
      </c>
      <c r="D9" s="29">
        <f>5.56+17.78+10+14.38+97+50.93</f>
        <v>195.65</v>
      </c>
      <c r="E9" s="29">
        <f>7.71+340.62</f>
        <v>348.33</v>
      </c>
      <c r="F9" s="29">
        <v>28107.39</v>
      </c>
      <c r="G9" s="29">
        <f>20.54+20+53.83+110+2.82</f>
        <v>207.19</v>
      </c>
      <c r="H9" s="29">
        <f>4.04+1572.57</f>
        <v>1576.61</v>
      </c>
      <c r="I9" s="29">
        <f>3.27+72.6+21.92+30+135</f>
        <v>262.78999999999996</v>
      </c>
      <c r="J9" s="29">
        <f>276.59+170+69.29+254+2.81</f>
        <v>772.68999999999994</v>
      </c>
      <c r="K9" s="29">
        <f>8.33+363.6+249+2920+30.27</f>
        <v>3571.2000000000003</v>
      </c>
      <c r="L9" s="29">
        <f>25.23+60+77.92+161+25+2.88</f>
        <v>352.03</v>
      </c>
      <c r="M9" s="29">
        <f>38.25+10+87.34+134+55+4.94</f>
        <v>329.53000000000003</v>
      </c>
      <c r="N9" s="35">
        <f t="shared" si="1"/>
        <v>36393.74</v>
      </c>
      <c r="O9" s="4"/>
    </row>
    <row r="10" spans="1:15" x14ac:dyDescent="0.25">
      <c r="A10" s="34" t="s">
        <v>104</v>
      </c>
      <c r="B10" s="8"/>
      <c r="C10" s="8"/>
      <c r="D10" s="8"/>
      <c r="E10" s="8"/>
      <c r="F10" s="8"/>
      <c r="G10" s="8"/>
      <c r="H10" s="8"/>
      <c r="I10" s="8"/>
      <c r="J10" s="8"/>
      <c r="K10" s="8">
        <v>100000</v>
      </c>
      <c r="L10" s="8"/>
      <c r="M10" s="8"/>
      <c r="N10" s="35">
        <f t="shared" si="1"/>
        <v>100000</v>
      </c>
      <c r="O10" s="4"/>
    </row>
    <row r="11" spans="1:15" x14ac:dyDescent="0.25">
      <c r="A11" s="28" t="s">
        <v>6</v>
      </c>
      <c r="B11" s="29"/>
      <c r="C11" s="29"/>
      <c r="D11" s="29"/>
      <c r="E11" s="29"/>
      <c r="F11" s="29"/>
      <c r="G11" s="29"/>
      <c r="H11" s="29"/>
      <c r="I11" s="29"/>
      <c r="J11" s="29"/>
      <c r="K11" s="29">
        <f>80207.25+25000</f>
        <v>105207.25</v>
      </c>
      <c r="L11" s="29"/>
      <c r="M11" s="29"/>
      <c r="N11" s="35">
        <f t="shared" si="1"/>
        <v>105207.25</v>
      </c>
      <c r="O11" s="4"/>
    </row>
    <row r="12" spans="1:15" x14ac:dyDescent="0.25">
      <c r="A12" s="78" t="s">
        <v>105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>
        <v>60350</v>
      </c>
      <c r="N12" s="35">
        <f t="shared" si="1"/>
        <v>60350</v>
      </c>
      <c r="O12" s="4"/>
    </row>
    <row r="13" spans="1:15" ht="15.75" thickBot="1" x14ac:dyDescent="0.3">
      <c r="A13" s="36" t="s">
        <v>66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5">
        <f t="shared" si="1"/>
        <v>0</v>
      </c>
      <c r="O13" s="4"/>
    </row>
    <row r="14" spans="1:15" ht="15.75" thickBot="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31" t="s">
        <v>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9"/>
      <c r="M15" s="32"/>
      <c r="N15" s="33"/>
      <c r="O15" s="4"/>
    </row>
    <row r="16" spans="1:15" x14ac:dyDescent="0.25">
      <c r="A16" s="28" t="s">
        <v>8</v>
      </c>
      <c r="B16" s="29">
        <f>1239.12+2361.06+865.38+347.19+2214.95+2501.07+2648.76+37.5+6421.5+31.69+4832+10095.27+15731.41</f>
        <v>49326.899999999994</v>
      </c>
      <c r="C16" s="29">
        <v>33384.160000000003</v>
      </c>
      <c r="D16" s="29">
        <f>826.08+1574.04+576.92+231.46+1483.3+1667.38+1765.84+25+4281+67.54+2295.36+11070.58+8397.22</f>
        <v>34261.72</v>
      </c>
      <c r="E16" s="29">
        <f>826.08+1574.04+576.92+231.46+1483.3+1667.38+1765.84+25+4281+67.54+9775.74+7741.33</f>
        <v>30015.630000000005</v>
      </c>
      <c r="F16" s="29">
        <f>13127.2+1893.6+826.08+1574.04+576.92+231.46+1483.3+1667.38+1765.84+25+4281+67.54</f>
        <v>27519.360000000001</v>
      </c>
      <c r="G16" s="29">
        <f>15232.26+826.08+1574.04+576.92+231.46+1483.3+1667.38+1765.84+25+4281+67.54</f>
        <v>27730.82</v>
      </c>
      <c r="H16" s="29">
        <f>3779.2+6046.8+5794.8+826.08+1574.04+576.92+231.46+1483.3+1667.38+1765.84+25+4281+475+67.54</f>
        <v>28594.36</v>
      </c>
      <c r="I16" s="29">
        <f>22511.2+1239.12+2361.06+865.38+347.19+2214.95+2501.07+2648.76+37.5+6421.5+950+101.31</f>
        <v>42199.040000000001</v>
      </c>
      <c r="J16" s="29">
        <f>826.08+1574.04+576.92+231.46+1483.3+1667.38+1765.84+25+4281+67.54+15389.4</f>
        <v>27887.96</v>
      </c>
      <c r="K16" s="29">
        <f>15320.8+826.08+1574.04+576.92+231.46+1483.3+1667.38+1765.84+25+4281+67.54</f>
        <v>27819.359999999997</v>
      </c>
      <c r="L16" s="41">
        <f>7490.4+4800.6+4518.51+826.08+1574.04+576.92+231.46+1483.3+1667.38+1765.84+25+4281+67.54</f>
        <v>29308.070000000003</v>
      </c>
      <c r="M16" s="29">
        <f>12500.3+6016.56+2627.67+2532.69+2627.67+5490.17</f>
        <v>31795.059999999998</v>
      </c>
      <c r="N16" s="35">
        <f t="shared" ref="N16:N22" si="2">SUM(B16:M16)</f>
        <v>389842.44</v>
      </c>
      <c r="O16" s="4"/>
    </row>
    <row r="17" spans="1:15" x14ac:dyDescent="0.25">
      <c r="A17" s="34" t="s">
        <v>9</v>
      </c>
      <c r="B17" s="8">
        <v>13682.89</v>
      </c>
      <c r="C17" s="8">
        <v>8766.9</v>
      </c>
      <c r="D17" s="8">
        <f>774.92+181.23+3477.9+1336.49+312.57+6451.63</f>
        <v>12534.74</v>
      </c>
      <c r="E17" s="8">
        <f>774.92+181.23+1073.24+251+6228.84</f>
        <v>8509.23</v>
      </c>
      <c r="F17" s="8">
        <f>774.92+181.23+918.46+214.8+6228.84</f>
        <v>8318.25</v>
      </c>
      <c r="G17" s="8">
        <f>931.57+217.87+6228.84+774.92+181.23+3477.9</f>
        <v>11812.33</v>
      </c>
      <c r="H17" s="8">
        <f>804.37+188.12+215+955.66+223.5+6551.34</f>
        <v>8937.99</v>
      </c>
      <c r="I17" s="8">
        <f>1376.45+321.91+6228.84+1220.66+285.48</f>
        <v>9433.34</v>
      </c>
      <c r="J17" s="8">
        <f>181.23+3477.9+250+774.92+941.32+220.15+6428.84</f>
        <v>12274.36</v>
      </c>
      <c r="K17" s="8">
        <f>937.06+219.15+6228.84+774.92+181.23</f>
        <v>8341.2000000000007</v>
      </c>
      <c r="L17" s="40">
        <f>31315.75+1029.36+240.74+7028.84+21158.29+774.92+181.23</f>
        <v>61729.130000000005</v>
      </c>
      <c r="M17" s="8">
        <v>6659.26</v>
      </c>
      <c r="N17" s="35">
        <f t="shared" si="2"/>
        <v>170999.62</v>
      </c>
      <c r="O17" s="4"/>
    </row>
    <row r="18" spans="1:15" x14ac:dyDescent="0.25">
      <c r="A18" s="28" t="s">
        <v>10</v>
      </c>
      <c r="B18" s="29"/>
      <c r="C18" s="29"/>
      <c r="D18" s="29"/>
      <c r="E18" s="29"/>
      <c r="F18" s="29">
        <v>39371.120000000003</v>
      </c>
      <c r="G18" s="29"/>
      <c r="H18" s="29"/>
      <c r="I18" s="29"/>
      <c r="J18" s="29"/>
      <c r="K18" s="29"/>
      <c r="L18" s="29"/>
      <c r="M18" s="29"/>
      <c r="N18" s="35">
        <f t="shared" si="2"/>
        <v>39371.120000000003</v>
      </c>
      <c r="O18" s="4"/>
    </row>
    <row r="19" spans="1:15" x14ac:dyDescent="0.25">
      <c r="A19" s="77" t="s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>
        <f>208540.58+5440.59</f>
        <v>213981.16999999998</v>
      </c>
      <c r="L19" s="8"/>
      <c r="M19" s="8"/>
      <c r="N19" s="35">
        <f t="shared" si="2"/>
        <v>213981.16999999998</v>
      </c>
      <c r="O19" s="4"/>
    </row>
    <row r="20" spans="1:15" x14ac:dyDescent="0.25">
      <c r="A20" s="76" t="s">
        <v>102</v>
      </c>
      <c r="B20" s="8"/>
      <c r="C20" s="8"/>
      <c r="D20" s="8"/>
      <c r="E20" s="8">
        <v>3202.4</v>
      </c>
      <c r="F20" s="8"/>
      <c r="G20" s="8"/>
      <c r="H20" s="8"/>
      <c r="I20" s="8"/>
      <c r="J20" s="8"/>
      <c r="K20" s="8">
        <v>307930</v>
      </c>
      <c r="L20" s="8"/>
      <c r="M20" s="8"/>
      <c r="N20" s="35">
        <f t="shared" si="2"/>
        <v>311132.40000000002</v>
      </c>
      <c r="O20" s="4"/>
    </row>
    <row r="21" spans="1:15" x14ac:dyDescent="0.25">
      <c r="A21" s="28" t="s">
        <v>12</v>
      </c>
      <c r="B21" s="29">
        <f>120+524.08+600+115.84+1086.03+6600.56+205.06+1683.37+899+843.96+150.39+276.02+469.79+1115.88+62.18+94.61+4335.33+1066.93+19232.81+21973.73+0.22</f>
        <v>61455.789999999994</v>
      </c>
      <c r="C21" s="29">
        <v>61924.51</v>
      </c>
      <c r="D21" s="29">
        <f>600+792.6+36.28+49+534.72+2082.63+6.77+63.2+364.24+261.24+16.74+473+50+421.4+61.61+3725.24+7474.55+9830.89+9830.9</f>
        <v>36675.009999999995</v>
      </c>
      <c r="E21" s="29">
        <f>290.59+1315.98+30.39+55.7+6600.56+12.5+167.02+1593.44+824.3+163.08+257.83+18.33+1115.88+150+61.98+7339.95+2426.37+98+3197.56-329.85-44.12</f>
        <v>25345.490000000005</v>
      </c>
      <c r="F21" s="29">
        <f>1115.27+1695.24+48.41+165.4+600+45.53+183.75+553+184.64+2677.55+192.55+57.88+53.08+237.91+19.09+129.56+21.88+62.28</f>
        <v>8043.0200000000013</v>
      </c>
      <c r="G21" s="29">
        <f>1995.66+6088.68+8298.09+1789.41+108105.68-168+36.14+793.94+600+177.98+820.64+434+349.21+1769.79+23857.6+92.16+582.75+60+53.08+240.65+333.01+129.56+299.97+556.92+62.33-188</f>
        <v>157171.25</v>
      </c>
      <c r="H21" s="29">
        <f>-897.2-160+7493.34+6086.38+236.3+1200+6600.56+125+5796+122.24+770.76+14.63+39.09+53.69+224.78+335.9+969.23+1115.88+83.33+61.88</f>
        <v>30271.790000000005</v>
      </c>
      <c r="I21" s="29">
        <f>-409.5-273-526.8+13003.72+3628.29+296.3+600+1040.99+54+895+254.85+1239.71+539.39+39.09+952.68+238.89+334.28+5038.16+30+28+61.88</f>
        <v>27065.929999999997</v>
      </c>
      <c r="J21" s="29">
        <v>13236.86</v>
      </c>
      <c r="K21" s="29">
        <f>91811.84+16000+6460.59+16.4+406.37+600+111.79+6600.56+550+1656.76+18.91+704.31+44+53.76+234.96+340.06+1115.88+197.2-416.74</f>
        <v>126506.64999999997</v>
      </c>
      <c r="L21" s="29">
        <f>-192.8-85.9-99.38+6202.24+1275.93+20755.8+29.2+4451.5+600+97.88+476.03+484+149.13+4230.55+191.77+512.32+29.6+53.76+244.33+326.47+21.2+62.72+1200</f>
        <v>41016.349999999991</v>
      </c>
      <c r="M21" s="29">
        <f>10775.37+154.64+3513.28+13709.48+7462</f>
        <v>35614.770000000004</v>
      </c>
      <c r="N21" s="35">
        <f t="shared" si="2"/>
        <v>624327.41999999981</v>
      </c>
      <c r="O21" s="4"/>
    </row>
    <row r="22" spans="1:15" ht="15.75" thickBot="1" x14ac:dyDescent="0.3">
      <c r="A22" s="36" t="s">
        <v>13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>
        <v>25000</v>
      </c>
      <c r="N22" s="35">
        <f t="shared" si="2"/>
        <v>25000</v>
      </c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8"/>
      <c r="K23" s="4"/>
      <c r="L23" s="4"/>
      <c r="M23" s="4"/>
      <c r="N23" s="4"/>
      <c r="O23" s="4"/>
    </row>
    <row r="24" spans="1:15" x14ac:dyDescent="0.25">
      <c r="A24" s="2" t="s">
        <v>14</v>
      </c>
      <c r="B24" s="4">
        <f>+B2+B3+B4+B5+B6+B7+B8+B9+B11-B15-B16-B17-B18-B19-B21-B22</f>
        <v>1045110.4600000002</v>
      </c>
      <c r="C24" s="4">
        <f t="shared" ref="C24" si="3">+C2+C3+C4+C5+C6+C7+C8+C9+C11-C15-C16-C17-C18-C19-C21-C22</f>
        <v>956616.75000000023</v>
      </c>
      <c r="D24" s="4">
        <f>+D2+D3+D4+D5+D6+D7+D8+D9+D10+D11-D15-D16-D17-D18-D19-D21-D22</f>
        <v>941661.37000000023</v>
      </c>
      <c r="E24" s="4">
        <f>+E2+E3+E4+E5+E6+E7+E8+E9+E11-E15-E16-E17-E18-E19-E21-E22+E10-E20</f>
        <v>893418.95000000019</v>
      </c>
      <c r="F24" s="4">
        <f t="shared" ref="F24:L24" si="4">+F2+F3+F4+F5+F6+F7+F8+F9+F11-F15-F16-F17-F18-F19-F21-F22+F10-F20</f>
        <v>852470.41000000015</v>
      </c>
      <c r="G24" s="4">
        <f t="shared" si="4"/>
        <v>652805.16000000015</v>
      </c>
      <c r="H24" s="4">
        <f t="shared" si="4"/>
        <v>645708.13000000012</v>
      </c>
      <c r="I24" s="4">
        <f t="shared" si="4"/>
        <v>564806.1100000001</v>
      </c>
      <c r="J24" s="4">
        <f t="shared" si="4"/>
        <v>529015.12000000011</v>
      </c>
      <c r="K24" s="4">
        <f>+K2+K3+K4+K5+K6+K7+K8+K9+K11+K13-K15-K16-K17-K18-K19-K21-K22+K10-K20</f>
        <v>980366.9700000002</v>
      </c>
      <c r="L24" s="4">
        <f t="shared" si="4"/>
        <v>885633.5700000003</v>
      </c>
      <c r="M24" s="4">
        <f>+M2+M3+M4+M5+M6+M7+M8+M9+M11+M12-M15-M16-M17-M18-M19-M21-M22+M10-M20</f>
        <v>1019957.7100000002</v>
      </c>
      <c r="N24" s="4"/>
      <c r="O24" s="4"/>
    </row>
    <row r="25" spans="1: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t="s">
        <v>50</v>
      </c>
      <c r="B26" s="4">
        <f>83731.93+201163.55+700000+60034.98+180</f>
        <v>1045110.46</v>
      </c>
      <c r="C26" s="4">
        <f>874453.91+82162.84</f>
        <v>956616.75</v>
      </c>
      <c r="D26" s="4">
        <f>800834.65+140826.72</f>
        <v>941661.37</v>
      </c>
      <c r="E26" s="4">
        <f>99873.97+793544.98</f>
        <v>893418.95</v>
      </c>
      <c r="F26" s="4">
        <f>35313+817157.41</f>
        <v>852470.41</v>
      </c>
      <c r="G26" s="4">
        <f>61427.76+591377.4</f>
        <v>652805.16</v>
      </c>
      <c r="H26" s="4">
        <f>582369.15+63338.98</f>
        <v>645708.13</v>
      </c>
      <c r="I26" s="4">
        <f>547621.27+17184.84</f>
        <v>564806.11</v>
      </c>
      <c r="J26" s="4">
        <f>138873+390142.12</f>
        <v>529015.12</v>
      </c>
      <c r="K26" s="4">
        <f>5708.98+974657.99</f>
        <v>980366.97</v>
      </c>
      <c r="L26" s="4">
        <f>40630.24+845003.33</f>
        <v>885633.57</v>
      </c>
      <c r="M26" s="4">
        <f>1018692.5+1265.21</f>
        <v>1019957.71</v>
      </c>
      <c r="N26" s="3"/>
      <c r="O26" s="3"/>
    </row>
    <row r="27" spans="1:15" x14ac:dyDescent="0.25">
      <c r="B27" s="3">
        <f t="shared" ref="B27:M27" si="5">+B24-B26</f>
        <v>0</v>
      </c>
      <c r="C27" s="3">
        <f t="shared" si="5"/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3">
        <f t="shared" si="5"/>
        <v>0</v>
      </c>
      <c r="I27" s="4">
        <f t="shared" si="5"/>
        <v>0</v>
      </c>
      <c r="J27" s="4">
        <f t="shared" si="5"/>
        <v>0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3"/>
      <c r="O27" s="3"/>
    </row>
    <row r="28" spans="1:15" x14ac:dyDescent="0.2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"/>
      <c r="O28" s="3"/>
    </row>
    <row r="29" spans="1:15" x14ac:dyDescent="0.25">
      <c r="A29" t="s">
        <v>51</v>
      </c>
      <c r="B29" s="3"/>
      <c r="C29" s="4"/>
      <c r="D29" s="4"/>
      <c r="E29" s="4"/>
      <c r="F29" s="4"/>
      <c r="G29" s="4"/>
      <c r="H29" s="4"/>
      <c r="I29" s="4"/>
      <c r="J29" s="4"/>
      <c r="K29" s="4">
        <f>+K6</f>
        <v>921593.08</v>
      </c>
      <c r="L29" s="4">
        <f>+K6</f>
        <v>921593.08</v>
      </c>
      <c r="M29" s="4">
        <f>+K6</f>
        <v>921593.08</v>
      </c>
      <c r="N29" s="3"/>
      <c r="O29" s="3"/>
    </row>
    <row r="30" spans="1:15" ht="30" x14ac:dyDescent="0.25">
      <c r="A30" s="12" t="s">
        <v>52</v>
      </c>
      <c r="B30" s="3"/>
      <c r="C30" s="4"/>
      <c r="D30" s="4"/>
      <c r="E30" s="4"/>
      <c r="F30" s="4"/>
      <c r="G30" s="4"/>
      <c r="H30" s="4"/>
      <c r="I30" s="4"/>
      <c r="J30" s="4"/>
      <c r="K30" s="4">
        <f>+K26-K29</f>
        <v>58773.890000000014</v>
      </c>
      <c r="L30" s="4">
        <f t="shared" ref="L30:M30" si="6">+L26-L29</f>
        <v>-35959.510000000009</v>
      </c>
      <c r="M30" s="4">
        <f t="shared" si="6"/>
        <v>98364.63</v>
      </c>
      <c r="N30" s="3"/>
      <c r="O30" s="3"/>
    </row>
    <row r="32" spans="1:15" x14ac:dyDescent="0.25">
      <c r="A32" t="s">
        <v>17</v>
      </c>
      <c r="B32" s="9">
        <v>1047735.18</v>
      </c>
      <c r="M32" s="26">
        <v>1047735.18</v>
      </c>
      <c r="N32" s="20" t="s">
        <v>15</v>
      </c>
    </row>
    <row r="33" spans="1:16" x14ac:dyDescent="0.25">
      <c r="A33" t="s">
        <v>16</v>
      </c>
      <c r="B33" s="9">
        <v>26785.919999999998</v>
      </c>
      <c r="E33" s="5"/>
      <c r="M33" s="26">
        <v>26785.919999999998</v>
      </c>
      <c r="N33" s="20" t="s">
        <v>15</v>
      </c>
    </row>
    <row r="34" spans="1:16" x14ac:dyDescent="0.25">
      <c r="B34" s="9">
        <f>SUM(B32:B33)</f>
        <v>1074521.1000000001</v>
      </c>
      <c r="M34" s="26">
        <f>SUM(M32:M33)</f>
        <v>1074521.1000000001</v>
      </c>
      <c r="N34" s="21" t="s">
        <v>53</v>
      </c>
    </row>
    <row r="35" spans="1:16" x14ac:dyDescent="0.25">
      <c r="A35" t="s">
        <v>107</v>
      </c>
      <c r="B35" s="9">
        <f>+K6</f>
        <v>921593.08</v>
      </c>
      <c r="M35" s="26">
        <v>921593.08</v>
      </c>
      <c r="N35" s="21" t="s">
        <v>54</v>
      </c>
    </row>
    <row r="36" spans="1:16" x14ac:dyDescent="0.25">
      <c r="B36" s="9"/>
      <c r="I36" t="s">
        <v>106</v>
      </c>
      <c r="K36" s="13">
        <v>1429874.8</v>
      </c>
      <c r="M36" s="27">
        <f>M34-M35</f>
        <v>152928.02000000014</v>
      </c>
      <c r="N36" s="21"/>
    </row>
    <row r="37" spans="1:16" x14ac:dyDescent="0.25">
      <c r="A37" s="14" t="s">
        <v>40</v>
      </c>
      <c r="B37" s="22">
        <f>+M36</f>
        <v>152928.02000000014</v>
      </c>
      <c r="C37" s="15"/>
      <c r="K37" s="2" t="s">
        <v>63</v>
      </c>
    </row>
    <row r="38" spans="1:16" x14ac:dyDescent="0.25">
      <c r="A38" s="16"/>
      <c r="B38" s="23"/>
      <c r="C38" s="17" t="s">
        <v>41</v>
      </c>
      <c r="M38" s="25"/>
      <c r="N38" s="21"/>
      <c r="O38" s="21"/>
      <c r="P38" s="21"/>
    </row>
    <row r="39" spans="1:16" x14ac:dyDescent="0.25">
      <c r="A39" s="16"/>
      <c r="B39" s="23"/>
      <c r="C39" s="17" t="s">
        <v>41</v>
      </c>
      <c r="K39" s="44">
        <f>+M36/K36</f>
        <v>0.10695203524112749</v>
      </c>
      <c r="M39" s="5"/>
    </row>
    <row r="40" spans="1:16" x14ac:dyDescent="0.25">
      <c r="A40" s="16"/>
      <c r="B40" s="23"/>
      <c r="C40" s="17" t="s">
        <v>41</v>
      </c>
    </row>
    <row r="41" spans="1:16" x14ac:dyDescent="0.25">
      <c r="A41" s="16"/>
      <c r="B41" s="23"/>
      <c r="C41" s="17"/>
    </row>
    <row r="42" spans="1:16" x14ac:dyDescent="0.25">
      <c r="A42" s="18"/>
      <c r="B42" s="24">
        <f>+B37-B38-B39-B40-B41</f>
        <v>152928.02000000014</v>
      </c>
      <c r="C42" s="19"/>
    </row>
  </sheetData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0"/>
  <sheetViews>
    <sheetView topLeftCell="A13" workbookViewId="0">
      <pane xSplit="1" topLeftCell="F1" activePane="topRight" state="frozen"/>
      <selection pane="topRight" activeCell="N5" sqref="N5"/>
    </sheetView>
  </sheetViews>
  <sheetFormatPr defaultRowHeight="15" x14ac:dyDescent="0.25"/>
  <cols>
    <col min="1" max="1" width="32.140625" customWidth="1"/>
    <col min="2" max="13" width="13.7109375" customWidth="1"/>
    <col min="14" max="14" width="14.5703125" customWidth="1"/>
  </cols>
  <sheetData>
    <row r="1" spans="1:15" x14ac:dyDescent="0.25">
      <c r="A1" s="2" t="s">
        <v>65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t="s">
        <v>0</v>
      </c>
      <c r="B2" s="4">
        <f>111309.37+1062153.74</f>
        <v>1173463.1099999999</v>
      </c>
      <c r="C2" s="4">
        <f>+B22</f>
        <v>1082770.8999999999</v>
      </c>
      <c r="D2" s="4">
        <f t="shared" ref="D2:M2" si="0">+C22</f>
        <v>1036799.4299999999</v>
      </c>
      <c r="E2" s="4">
        <f t="shared" si="0"/>
        <v>997835.27999999991</v>
      </c>
      <c r="F2" s="4">
        <f t="shared" si="0"/>
        <v>1004670.2999999998</v>
      </c>
      <c r="G2" s="4">
        <f t="shared" si="0"/>
        <v>1012615.4799999997</v>
      </c>
      <c r="H2" s="4">
        <f t="shared" si="0"/>
        <v>950160.31999999983</v>
      </c>
      <c r="I2" s="4">
        <f t="shared" si="0"/>
        <v>941523.10999999987</v>
      </c>
      <c r="J2" s="4">
        <f t="shared" si="0"/>
        <v>869215.94999999984</v>
      </c>
      <c r="K2" s="4">
        <f t="shared" si="0"/>
        <v>743187.98999999976</v>
      </c>
      <c r="L2" s="4">
        <f t="shared" si="0"/>
        <v>1069276.4799999995</v>
      </c>
      <c r="M2" s="4">
        <f t="shared" si="0"/>
        <v>1022966.8399999995</v>
      </c>
      <c r="N2" s="10" t="s">
        <v>45</v>
      </c>
      <c r="O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t="s">
        <v>2</v>
      </c>
      <c r="B5" s="4"/>
      <c r="C5" s="4">
        <v>183.67</v>
      </c>
      <c r="D5" s="4"/>
      <c r="E5" s="4"/>
      <c r="F5" s="4">
        <v>1890</v>
      </c>
      <c r="G5" s="4"/>
      <c r="H5" s="4"/>
      <c r="I5" s="4"/>
      <c r="J5" s="4"/>
      <c r="K5" s="4"/>
      <c r="L5" s="4"/>
      <c r="M5" s="4"/>
      <c r="N5" s="4">
        <f>SUM(B5:M5)</f>
        <v>2073.67</v>
      </c>
      <c r="O5" s="4"/>
    </row>
    <row r="6" spans="1:15" x14ac:dyDescent="0.25">
      <c r="A6" t="s">
        <v>20</v>
      </c>
      <c r="B6" s="4"/>
      <c r="C6" s="4"/>
      <c r="D6" s="4"/>
      <c r="E6" s="4">
        <v>41815.519999999997</v>
      </c>
      <c r="F6" s="4"/>
      <c r="G6" s="4"/>
      <c r="H6" s="4"/>
      <c r="I6" s="4"/>
      <c r="J6" s="4"/>
      <c r="K6" s="4">
        <v>903522.63</v>
      </c>
      <c r="L6" s="4"/>
      <c r="M6" s="4"/>
      <c r="N6" s="4">
        <f t="shared" ref="N6:N20" si="1">SUM(B6:M6)</f>
        <v>945338.15</v>
      </c>
      <c r="O6" s="4"/>
    </row>
    <row r="7" spans="1:15" x14ac:dyDescent="0.25">
      <c r="A7" t="s">
        <v>3</v>
      </c>
      <c r="B7" s="4">
        <v>19383.75</v>
      </c>
      <c r="C7" s="4">
        <v>19383.75</v>
      </c>
      <c r="D7" s="4"/>
      <c r="E7" s="4"/>
      <c r="F7" s="4">
        <f>13453.14</f>
        <v>13453.14</v>
      </c>
      <c r="G7" s="4">
        <v>2710.01</v>
      </c>
      <c r="H7" s="4">
        <v>31970.81</v>
      </c>
      <c r="I7" s="4"/>
      <c r="J7" s="4">
        <v>18032</v>
      </c>
      <c r="K7" s="4"/>
      <c r="L7" s="4">
        <v>15507</v>
      </c>
      <c r="M7" s="4">
        <f>2412.32+19383.75+151861.89</f>
        <v>173657.96000000002</v>
      </c>
      <c r="N7" s="4">
        <f t="shared" si="1"/>
        <v>294098.42000000004</v>
      </c>
      <c r="O7" s="4"/>
    </row>
    <row r="8" spans="1:15" x14ac:dyDescent="0.25">
      <c r="A8" t="s">
        <v>4</v>
      </c>
      <c r="B8" s="4">
        <f>6029+5839-6959</f>
        <v>4909</v>
      </c>
      <c r="C8" s="4">
        <f>8143+7399</f>
        <v>15542</v>
      </c>
      <c r="D8" s="4">
        <f>16067+10000-20416</f>
        <v>5651</v>
      </c>
      <c r="E8" s="4">
        <f>26373</f>
        <v>26373</v>
      </c>
      <c r="F8" s="4">
        <f>6847+11084-11512</f>
        <v>6419</v>
      </c>
      <c r="G8" s="4">
        <f>7408.5+12621-11594</f>
        <v>8435.5</v>
      </c>
      <c r="H8" s="4">
        <f>8482+11227+5100-11385.5+100</f>
        <v>13523.5</v>
      </c>
      <c r="I8" s="4">
        <f>22259.5-23811.5</f>
        <v>-1552</v>
      </c>
      <c r="J8" s="4">
        <f>22134.48</f>
        <v>22134.48</v>
      </c>
      <c r="K8" s="4">
        <f>29329-25334.48</f>
        <v>3994.5200000000004</v>
      </c>
      <c r="L8" s="4">
        <v>21077</v>
      </c>
      <c r="M8" s="4">
        <f>27793-12042</f>
        <v>15751</v>
      </c>
      <c r="N8" s="4">
        <f t="shared" si="1"/>
        <v>142258</v>
      </c>
      <c r="O8" s="4"/>
    </row>
    <row r="9" spans="1:15" x14ac:dyDescent="0.25">
      <c r="A9" t="s">
        <v>5</v>
      </c>
      <c r="B9" s="4">
        <f>285+44.73+3.68</f>
        <v>333.41</v>
      </c>
      <c r="C9" s="4">
        <f>126+18.88+20+232+25+8+35.5+3.71</f>
        <v>469.09</v>
      </c>
      <c r="D9" s="4">
        <f>3.13+16+90+36.69+25+180+4.18+33</f>
        <v>388</v>
      </c>
      <c r="E9" s="4">
        <f>2.38+1.38+30+15.17+178</f>
        <v>226.93</v>
      </c>
      <c r="F9" s="4">
        <f>2.49+4.32+205+60+30.9+22322.43</f>
        <v>22625.14</v>
      </c>
      <c r="G9" s="4">
        <f>4.05+24.26+30+50+210+8+300.22+13.61</f>
        <v>640.14</v>
      </c>
      <c r="H9" s="4">
        <f>5.35+22.3+130+206+25+687.5+39.93</f>
        <v>1116.0800000000002</v>
      </c>
      <c r="I9" s="4">
        <f>3.9+127+110.34+20+38.04</f>
        <v>299.28000000000003</v>
      </c>
      <c r="J9" s="4">
        <f>215.61+120+40.16+250+50+2.33</f>
        <v>678.1</v>
      </c>
      <c r="K9" s="4">
        <f>466.11+80+1490.7+220+17.13</f>
        <v>2273.94</v>
      </c>
      <c r="L9" s="4">
        <f>4.94+22.28+20+89.97+145</f>
        <v>282.19</v>
      </c>
      <c r="M9" s="4">
        <f>56.15+150+127.8+204+4.92</f>
        <v>542.87</v>
      </c>
      <c r="N9" s="4">
        <f t="shared" si="1"/>
        <v>29875.169999999995</v>
      </c>
      <c r="O9" s="4"/>
    </row>
    <row r="10" spans="1:15" x14ac:dyDescent="0.25">
      <c r="A10" t="s">
        <v>19</v>
      </c>
      <c r="B10" s="4"/>
      <c r="C10" s="4"/>
      <c r="D10" s="4">
        <v>40000</v>
      </c>
      <c r="E10" s="4"/>
      <c r="F10" s="4">
        <v>21600</v>
      </c>
      <c r="G10" s="4"/>
      <c r="H10" s="4"/>
      <c r="I10" s="4"/>
      <c r="J10" s="4"/>
      <c r="K10" s="4"/>
      <c r="L10" s="4"/>
      <c r="M10" s="4"/>
      <c r="N10" s="4">
        <f t="shared" si="1"/>
        <v>61600</v>
      </c>
      <c r="O10" s="4"/>
    </row>
    <row r="11" spans="1:15" x14ac:dyDescent="0.25">
      <c r="A11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>
        <v>48126.080000000002</v>
      </c>
      <c r="M11" s="4"/>
      <c r="N11" s="4">
        <f t="shared" si="1"/>
        <v>48126.080000000002</v>
      </c>
      <c r="O11" s="4"/>
    </row>
    <row r="12" spans="1:15" x14ac:dyDescent="0.25">
      <c r="A12" t="s">
        <v>66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>
        <v>134108.32999999999</v>
      </c>
      <c r="M12" s="4"/>
      <c r="N12" s="4">
        <f t="shared" si="1"/>
        <v>134108.32999999999</v>
      </c>
      <c r="O12" s="4"/>
    </row>
    <row r="13" spans="1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2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20"/>
      <c r="M14" s="4"/>
      <c r="N14" s="4"/>
      <c r="O14" s="4"/>
    </row>
    <row r="15" spans="1:15" x14ac:dyDescent="0.25">
      <c r="A15" t="s">
        <v>8</v>
      </c>
      <c r="B15" s="4">
        <f>9617.36+15630.63+12283.78</f>
        <v>37531.769999999997</v>
      </c>
      <c r="C15" s="4">
        <f>826.16+1543.28+576.92+231.46+1454.6+1634.66+1731.26+25+4197.06+63.38+10764.21+10176.21</f>
        <v>33224.199999999997</v>
      </c>
      <c r="D15" s="4">
        <f>1239.24+2314.92+865.38+347.19+2171.9+2451.99+2596.89+37.5+6295.59+95.07+4242.64+10344.12+7866.25+6844.71</f>
        <v>47713.39</v>
      </c>
      <c r="E15" s="4">
        <f>13030.12+1926.43+1897.38+63.38+4197.06+25+1731.26+1634.66+1454.6+231.46+576.92+1543.28+826.16</f>
        <v>29137.709999999995</v>
      </c>
      <c r="F15" s="4">
        <f>7287.63+7181.52+413.08+771.64+288.46+115.73+717.3+817.33+865.63+12.5+2098.53+31.69+413.08+771.64+288.46+115.73+737.3+817.33+865.63+12.5+2098.53+31.69</f>
        <v>26752.93</v>
      </c>
      <c r="G15" s="4">
        <f>3291.84+3685.6+3311.84+3705.6+413.08+771.64+288.46+115.73+717.3+817.33+865.63+12.5+2098.53+31.69+413.08+771.64+288.46+115.73+737.3+817.33+865.63+12.5+2098.53+31.69</f>
        <v>26278.659999999996</v>
      </c>
      <c r="H15" s="4">
        <f>6245.92+2931.2+2091.67+1988.8+12748.11</f>
        <v>26005.699999999997</v>
      </c>
      <c r="I15" s="4">
        <f>21195.22+19344.34</f>
        <v>40539.56</v>
      </c>
      <c r="J15" s="4">
        <f>826.16+1543.28+576.92+231.46+1454.6+1634.66+1731.26+25+4197.06+63.38+14933.72</f>
        <v>27217.5</v>
      </c>
      <c r="K15" s="4">
        <f>1978.8+11068.8+1978.8+826.16+1543.28+576.92+231.46+1454.6+1634.66+1731.26+25+4197.06+63.38</f>
        <v>27310.179999999993</v>
      </c>
      <c r="L15" s="20">
        <f>7343.2+9655.79+12283.78</f>
        <v>29282.770000000004</v>
      </c>
      <c r="M15" s="4">
        <v>33900.870000000003</v>
      </c>
      <c r="N15" s="4">
        <f t="shared" si="1"/>
        <v>384895.24</v>
      </c>
      <c r="O15" s="4"/>
    </row>
    <row r="16" spans="1:15" x14ac:dyDescent="0.25">
      <c r="A16" t="s">
        <v>9</v>
      </c>
      <c r="B16" s="4">
        <f>1552.72+363.14+6232.2+3544.44+761.6+178.11</f>
        <v>12632.210000000001</v>
      </c>
      <c r="C16" s="4">
        <f>761.6+178.11+1285.65+300.67+6232.2</f>
        <v>8758.23</v>
      </c>
      <c r="D16" s="4">
        <f>1141.78+267.02+3544.44+1797.47+420.38+6172.2</f>
        <v>13343.29</v>
      </c>
      <c r="E16" s="4">
        <f>1032.29+241.42+6372.2+761.6+178.11+70</f>
        <v>8655.6200000000008</v>
      </c>
      <c r="F16" s="4">
        <f>270.74+20+5898+254.2+445.5+104.19+438.93+102.65+362.7+380.18+88.91+381.42+89.2</f>
        <v>8836.619999999999</v>
      </c>
      <c r="G16" s="4">
        <f>200+60+20+5898+254.2+426.27+99.69+428.75+100.27+30+3544.44+380.18+88.91+381.42+89.2</f>
        <v>12001.33</v>
      </c>
      <c r="H16" s="4">
        <f>40+5898+254.2+380.92+89.09+428.39+100.19+1121.67</f>
        <v>8312.4599999999991</v>
      </c>
      <c r="I16" s="4">
        <f>302.89+6292.2+1295.11+1479.86</f>
        <v>9370.06</v>
      </c>
      <c r="J16" s="4">
        <f>761.6+178.11+3544.44+90.87+913.23+213.58+6212.2</f>
        <v>11914.029999999999</v>
      </c>
      <c r="K16" s="4">
        <f>918.98+214.93+6778.61+761.6+178.11</f>
        <v>8852.23</v>
      </c>
      <c r="L16" s="20">
        <v>61462.27</v>
      </c>
      <c r="M16" s="4">
        <f>9074.63-199.8-2654.1</f>
        <v>6220.73</v>
      </c>
      <c r="N16" s="4">
        <f t="shared" si="1"/>
        <v>170359.08000000002</v>
      </c>
      <c r="O16" s="4"/>
    </row>
    <row r="17" spans="1:15" x14ac:dyDescent="0.25">
      <c r="A17" t="s">
        <v>10</v>
      </c>
      <c r="B17" s="4">
        <v>29383.24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f t="shared" si="1"/>
        <v>29383.24</v>
      </c>
      <c r="O17" s="4"/>
    </row>
    <row r="18" spans="1:15" x14ac:dyDescent="0.25">
      <c r="A18" t="s">
        <v>11</v>
      </c>
      <c r="B18" s="4"/>
      <c r="C18" s="4"/>
      <c r="D18" s="4"/>
      <c r="E18" s="4"/>
      <c r="F18" s="4"/>
      <c r="G18" s="4"/>
      <c r="H18" s="4"/>
      <c r="I18" s="4"/>
      <c r="J18" s="4"/>
      <c r="K18" s="4">
        <f>80207.25+3609.33</f>
        <v>83816.58</v>
      </c>
      <c r="L18" s="4">
        <f>128333.33+5775</f>
        <v>134108.33000000002</v>
      </c>
      <c r="M18" s="4"/>
      <c r="N18" s="4">
        <f t="shared" si="1"/>
        <v>217924.91000000003</v>
      </c>
      <c r="O18" s="4"/>
    </row>
    <row r="19" spans="1:15" x14ac:dyDescent="0.25">
      <c r="A19" t="s">
        <v>12</v>
      </c>
      <c r="B19" s="4">
        <f>6152.46+2274.58+7679+7775.25+147.6+285.6+574.7+193.61+1792.25+800+293.09+264.94+6800+533.55+204.52</f>
        <v>35771.15</v>
      </c>
      <c r="C19" s="4">
        <f>68.8+562.68+325+218.05+6855.35+35+240.72+2910.19+315.43+50.4+50+178.1+264.96+0.77+1115.88+18.8+61.84+6268.32+4438.63+80.97+7401.25+8106.41</f>
        <v>39567.550000000003</v>
      </c>
      <c r="D19" s="4">
        <f>18.8+130+800+802.8+141.82+181.15+1796.36+49.19+211.3+46.88+190.38+244.75+110.55+422.5+61.84+3540.37+1665.59+6924.54+6607.65</f>
        <v>23946.47</v>
      </c>
      <c r="E19" s="4">
        <f>4143.56+3962.98+1214.8+108+33.6+1271.1+400+6855.35+89.68+560+166.34+1553.16+91.29+45.46+378.75+66.89+251.44+19.59+993.04+1145.48+374.98+61.61</f>
        <v>23787.1</v>
      </c>
      <c r="F19" s="4">
        <f>-546-273-180.4+483.39+261.31+284.11+1230.35+139.5+107.5+443.04+7446.89+5463.37+432.11+84.92+40+64+132+73.82+1.29+493.39-126+16.87+200+250+12.5+182.35+235.42+419.92+62.21+34.25+69.75+280+1092+400+33+84+178.57+314.28+370.79+223.59+8.15+89.99+143.24+86.96+29.07+49.95+360.42+158.85+150+250.99+53.01+71.57+428.64+11.93+44.69</f>
        <v>22452.549999999996</v>
      </c>
      <c r="G19" s="4">
        <f>-90.2+1752+262.02+273.06+53.12+2752.32+110.25+40.54+23.45+310+49.8+61.3+79.9+451.63+40+359-108-84+120+46.8+39.2+209.96+62.78+44.25+50+1015+400+110+60+27.5+190.52+122.7+60+60+316+90+385.71+314.28+178.57+30+406.77+239.01+18.72+60+90+98.82+60+63.35+360.42+49.95+23437.29+53.01+193.69+164.02+63.54+285+23.84+23.93</f>
        <v>35960.82</v>
      </c>
      <c r="H19" s="4">
        <f>-244-546-180.4+20.46+318+140.57+2633.65+168.24+165.66+1564.81+1760.61+148.35+1198.31+319.99-28.4+13489.59</f>
        <v>20929.440000000002</v>
      </c>
      <c r="I19" s="4">
        <f>-351.2-18.8-1000+11051.7+1003.91+10539.21-80</f>
        <v>21144.82</v>
      </c>
      <c r="J19" s="8">
        <f>16+231.06+57.23+974+135.36+1066.11+150+52.93+248.82+682.38+294.24+62.51-30.4-263.4+21090.48+2266.77+706.92</f>
        <v>27741.01</v>
      </c>
      <c r="K19" s="4">
        <f>141884.52+105764.68+19733.23+1089.24+473.28+500.93+400+169.38+6855.35+147+124.47+1088.99+75+53.12+261.5+653.8+1041.34+1149.08+431.5+62.73-470.14</f>
        <v>281488.99999999994</v>
      </c>
      <c r="L19" s="4">
        <f>41239.37-682.5</f>
        <v>40556.870000000003</v>
      </c>
      <c r="M19" s="4">
        <f>6491.9+11724.67+16+1172.82+384.87+435+114.5+148.27+1853.99+94.88+253.12+277.37+768.58+207+62.78</f>
        <v>24005.75</v>
      </c>
      <c r="N19" s="4">
        <f t="shared" si="1"/>
        <v>597352.52999999991</v>
      </c>
      <c r="O19" s="4"/>
    </row>
    <row r="20" spans="1:15" x14ac:dyDescent="0.25">
      <c r="A20" t="s">
        <v>13</v>
      </c>
      <c r="B20" s="4"/>
      <c r="C20" s="4"/>
      <c r="D20" s="4"/>
      <c r="E20" s="4"/>
      <c r="F20" s="4"/>
      <c r="G20" s="4"/>
      <c r="H20" s="4"/>
      <c r="I20" s="4"/>
      <c r="J20" s="8">
        <v>100000</v>
      </c>
      <c r="K20" s="4">
        <v>182234.61</v>
      </c>
      <c r="L20" s="4"/>
      <c r="M20" s="4"/>
      <c r="N20" s="4">
        <f t="shared" si="1"/>
        <v>282234.61</v>
      </c>
      <c r="O20" s="4"/>
    </row>
    <row r="21" spans="1:15" x14ac:dyDescent="0.25">
      <c r="B21" s="4"/>
      <c r="C21" s="4"/>
      <c r="D21" s="4"/>
      <c r="E21" s="4"/>
      <c r="F21" s="4"/>
      <c r="G21" s="4"/>
      <c r="H21" s="4"/>
      <c r="I21" s="4"/>
      <c r="J21" s="8"/>
      <c r="K21" s="4"/>
      <c r="L21" s="4"/>
      <c r="M21" s="4"/>
      <c r="N21" s="4"/>
      <c r="O21" s="4"/>
    </row>
    <row r="22" spans="1:15" x14ac:dyDescent="0.25">
      <c r="A22" s="2" t="s">
        <v>14</v>
      </c>
      <c r="B22" s="4">
        <f>+B2+B3+B4+B5+B6+B7+B8+B9+B11-B14-B15-B16-B17-B18-B19-B20</f>
        <v>1082770.8999999999</v>
      </c>
      <c r="C22" s="4">
        <f t="shared" ref="C22" si="2">+C2+C3+C4+C5+C6+C7+C8+C9+C11-C14-C15-C16-C17-C18-C19-C20</f>
        <v>1036799.4299999999</v>
      </c>
      <c r="D22" s="4">
        <f>+D2+D3+D4+D5+D6+D7+D8+D9+D10+D11-D14-D15-D16-D17-D18-D19-D20</f>
        <v>997835.27999999991</v>
      </c>
      <c r="E22" s="4">
        <f>+E2+E3+E4+E5+E6+E7+E8+E9+E11-E14-E15-E16-E17-E18-E19-E20+E10</f>
        <v>1004670.2999999998</v>
      </c>
      <c r="F22" s="4">
        <f t="shared" ref="F22:M22" si="3">+F2+F3+F4+F5+F6+F7+F8+F9+F11-F14-F15-F16-F17-F18-F19-F20+F10</f>
        <v>1012615.4799999997</v>
      </c>
      <c r="G22" s="4">
        <f t="shared" si="3"/>
        <v>950160.31999999983</v>
      </c>
      <c r="H22" s="4">
        <f t="shared" si="3"/>
        <v>941523.10999999987</v>
      </c>
      <c r="I22" s="4">
        <f t="shared" si="3"/>
        <v>869215.94999999984</v>
      </c>
      <c r="J22" s="4">
        <f t="shared" si="3"/>
        <v>743187.98999999976</v>
      </c>
      <c r="K22" s="4">
        <f t="shared" si="3"/>
        <v>1069276.4799999995</v>
      </c>
      <c r="L22" s="4">
        <f>+L2+L3+L4+L5+L6+L7+L8+L9+L11+L12-L14-L15-L16-L17-L18-L19-L20+L10</f>
        <v>1022966.8399999995</v>
      </c>
      <c r="M22" s="4">
        <f t="shared" si="3"/>
        <v>1148791.3199999996</v>
      </c>
      <c r="N22" s="4"/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t="s">
        <v>50</v>
      </c>
      <c r="B24" s="4">
        <f>144036.22+938734.68</f>
        <v>1082770.9000000001</v>
      </c>
      <c r="C24" s="4">
        <f>108369.16+928430.27</f>
        <v>1036799.43</v>
      </c>
      <c r="D24" s="4">
        <f>91946.37+905888.91</f>
        <v>997835.28</v>
      </c>
      <c r="E24" s="4">
        <f>946650.73+58019.57</f>
        <v>1004670.2999999999</v>
      </c>
      <c r="F24" s="4">
        <f>141437.11+871178.37</f>
        <v>1012615.48</v>
      </c>
      <c r="G24" s="4">
        <f>836729.41+113430.91</f>
        <v>950160.32000000007</v>
      </c>
      <c r="H24" s="4">
        <f>117490.44+824032.67</f>
        <v>941523.1100000001</v>
      </c>
      <c r="I24" s="4">
        <f>792511.44+76704.51</f>
        <v>869215.95</v>
      </c>
      <c r="J24" s="4">
        <f>712554.65+30633.34</f>
        <v>743187.99</v>
      </c>
      <c r="K24" s="4">
        <f>947954.66+121322.02</f>
        <v>1069276.68</v>
      </c>
      <c r="L24" s="4">
        <f>66086.85+921941.25+180+34758.94</f>
        <v>1022967.04</v>
      </c>
      <c r="M24" s="4">
        <f>1122005.18+26785.92</f>
        <v>1148791.0999999999</v>
      </c>
      <c r="N24" s="3"/>
      <c r="O24" s="3"/>
    </row>
    <row r="25" spans="1:15" x14ac:dyDescent="0.25">
      <c r="B25" s="3">
        <f t="shared" ref="B25:M25" si="4">+B22-B24</f>
        <v>0</v>
      </c>
      <c r="C25" s="3">
        <f t="shared" si="4"/>
        <v>0</v>
      </c>
      <c r="D25" s="3">
        <f t="shared" si="4"/>
        <v>0</v>
      </c>
      <c r="E25" s="3">
        <f t="shared" si="4"/>
        <v>0</v>
      </c>
      <c r="F25" s="3">
        <f t="shared" si="4"/>
        <v>0</v>
      </c>
      <c r="G25" s="3">
        <f t="shared" si="4"/>
        <v>0</v>
      </c>
      <c r="H25" s="3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-0.20000000041909516</v>
      </c>
      <c r="L25" s="4">
        <f t="shared" si="4"/>
        <v>-0.20000000053551048</v>
      </c>
      <c r="M25" s="4">
        <f t="shared" si="4"/>
        <v>0.21999999973922968</v>
      </c>
      <c r="N25" s="3"/>
      <c r="O25" s="3"/>
    </row>
    <row r="26" spans="1:15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  <c r="O26" s="3"/>
    </row>
    <row r="27" spans="1:15" x14ac:dyDescent="0.25">
      <c r="A27" t="s">
        <v>51</v>
      </c>
      <c r="B27" s="3"/>
      <c r="C27" s="4"/>
      <c r="D27" s="4"/>
      <c r="E27" s="4"/>
      <c r="F27" s="4"/>
      <c r="G27" s="4"/>
      <c r="H27" s="4"/>
      <c r="I27" s="4"/>
      <c r="J27" s="4"/>
      <c r="K27" s="4">
        <f>+K6</f>
        <v>903522.63</v>
      </c>
      <c r="L27" s="4">
        <f>+K6</f>
        <v>903522.63</v>
      </c>
      <c r="M27" s="4">
        <f>+K6</f>
        <v>903522.63</v>
      </c>
      <c r="N27" s="3"/>
      <c r="O27" s="3"/>
    </row>
    <row r="28" spans="1:15" ht="30" x14ac:dyDescent="0.25">
      <c r="A28" s="12" t="s">
        <v>52</v>
      </c>
      <c r="B28" s="3"/>
      <c r="C28" s="4"/>
      <c r="D28" s="4"/>
      <c r="E28" s="4"/>
      <c r="F28" s="4"/>
      <c r="G28" s="4"/>
      <c r="H28" s="4"/>
      <c r="I28" s="4"/>
      <c r="J28" s="4"/>
      <c r="K28" s="4">
        <f>+K24-K27</f>
        <v>165754.04999999993</v>
      </c>
      <c r="L28" s="4">
        <f t="shared" ref="L28:M28" si="5">+L24-L27</f>
        <v>119444.41000000003</v>
      </c>
      <c r="M28" s="4">
        <f t="shared" si="5"/>
        <v>245268.46999999986</v>
      </c>
      <c r="N28" s="3"/>
      <c r="O28" s="3"/>
    </row>
    <row r="30" spans="1:15" x14ac:dyDescent="0.25">
      <c r="A30" t="s">
        <v>17</v>
      </c>
      <c r="B30" s="9">
        <v>1023253.74</v>
      </c>
      <c r="M30" s="4">
        <v>1147735.18</v>
      </c>
      <c r="N30" s="20" t="s">
        <v>15</v>
      </c>
    </row>
    <row r="31" spans="1:15" x14ac:dyDescent="0.25">
      <c r="A31" t="s">
        <v>16</v>
      </c>
      <c r="B31" s="9">
        <f>111309.37</f>
        <v>111309.37</v>
      </c>
      <c r="E31" s="5"/>
      <c r="M31" s="4">
        <v>58529.79</v>
      </c>
      <c r="N31" s="20" t="s">
        <v>15</v>
      </c>
    </row>
    <row r="32" spans="1:15" x14ac:dyDescent="0.25">
      <c r="B32" s="9">
        <f>SUM(B30:B31)</f>
        <v>1134563.1099999999</v>
      </c>
      <c r="M32" s="26">
        <f>SUM(M30:M31)</f>
        <v>1206264.97</v>
      </c>
      <c r="N32" s="21" t="s">
        <v>53</v>
      </c>
    </row>
    <row r="33" spans="1:16" x14ac:dyDescent="0.25">
      <c r="A33" t="s">
        <v>64</v>
      </c>
      <c r="B33" s="9">
        <f>+K6</f>
        <v>903522.63</v>
      </c>
      <c r="M33" s="4">
        <v>906523</v>
      </c>
      <c r="N33" s="21" t="s">
        <v>54</v>
      </c>
    </row>
    <row r="34" spans="1:16" x14ac:dyDescent="0.25">
      <c r="B34" s="9"/>
      <c r="I34" t="s">
        <v>62</v>
      </c>
      <c r="K34" s="13">
        <v>1831086</v>
      </c>
      <c r="M34" s="27">
        <f>M32-M33</f>
        <v>299741.96999999997</v>
      </c>
      <c r="N34" s="21"/>
    </row>
    <row r="35" spans="1:16" x14ac:dyDescent="0.25">
      <c r="A35" s="14" t="s">
        <v>40</v>
      </c>
      <c r="B35" s="22">
        <f>+M34</f>
        <v>299741.96999999997</v>
      </c>
      <c r="C35" s="15"/>
      <c r="K35" s="2" t="s">
        <v>63</v>
      </c>
    </row>
    <row r="36" spans="1:16" x14ac:dyDescent="0.25">
      <c r="A36" s="16"/>
      <c r="B36" s="23"/>
      <c r="C36" s="17" t="s">
        <v>41</v>
      </c>
      <c r="M36" s="25"/>
      <c r="N36" s="21"/>
      <c r="O36" s="21"/>
      <c r="P36" s="21"/>
    </row>
    <row r="37" spans="1:16" x14ac:dyDescent="0.25">
      <c r="A37" s="16"/>
      <c r="B37" s="23"/>
      <c r="C37" s="17" t="s">
        <v>41</v>
      </c>
      <c r="K37" s="44">
        <f>+M34/K34</f>
        <v>0.16369628187862284</v>
      </c>
      <c r="M37" s="5"/>
    </row>
    <row r="38" spans="1:16" x14ac:dyDescent="0.25">
      <c r="A38" s="16"/>
      <c r="B38" s="23"/>
      <c r="C38" s="17" t="s">
        <v>41</v>
      </c>
    </row>
    <row r="39" spans="1:16" x14ac:dyDescent="0.25">
      <c r="A39" s="16"/>
      <c r="B39" s="23"/>
      <c r="C39" s="17"/>
    </row>
    <row r="40" spans="1:16" x14ac:dyDescent="0.25">
      <c r="A40" s="18"/>
      <c r="B40" s="24">
        <f>+B35-B36-B37-B38-B39</f>
        <v>299741.96999999997</v>
      </c>
      <c r="C40" s="19"/>
    </row>
  </sheetData>
  <pageMargins left="0.25" right="0.25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topLeftCell="A22" workbookViewId="0">
      <pane xSplit="1" topLeftCell="F1" activePane="topRight" state="frozen"/>
      <selection pane="topRight" activeCell="A17" sqref="A17"/>
    </sheetView>
  </sheetViews>
  <sheetFormatPr defaultRowHeight="15" x14ac:dyDescent="0.25"/>
  <cols>
    <col min="1" max="1" width="32.140625" customWidth="1"/>
    <col min="2" max="13" width="13.7109375" customWidth="1"/>
    <col min="14" max="14" width="14.5703125" customWidth="1"/>
  </cols>
  <sheetData>
    <row r="1" spans="1:15" x14ac:dyDescent="0.25">
      <c r="A1" s="2" t="s">
        <v>22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ht="30" x14ac:dyDescent="0.25">
      <c r="A2" t="s">
        <v>0</v>
      </c>
      <c r="B2" s="4">
        <f>296752.52+889454.83</f>
        <v>1186207.3500000001</v>
      </c>
      <c r="C2" s="4">
        <f>+B22</f>
        <v>1111223.19</v>
      </c>
      <c r="D2" s="4">
        <f t="shared" ref="D2:M2" si="0">+C22</f>
        <v>1314351.8099999998</v>
      </c>
      <c r="E2" s="4">
        <f t="shared" si="0"/>
        <v>1244608.3299999996</v>
      </c>
      <c r="F2" s="4">
        <f t="shared" si="0"/>
        <v>1260553.7399999995</v>
      </c>
      <c r="G2" s="4">
        <f t="shared" si="0"/>
        <v>1187116.8299999994</v>
      </c>
      <c r="H2" s="4">
        <f t="shared" si="0"/>
        <v>1104634.8299999996</v>
      </c>
      <c r="I2" s="4">
        <f t="shared" si="0"/>
        <v>980893.12201569928</v>
      </c>
      <c r="J2" s="4">
        <f t="shared" si="0"/>
        <v>812535.48201569926</v>
      </c>
      <c r="K2" s="4">
        <f t="shared" si="0"/>
        <v>646092.32201569923</v>
      </c>
      <c r="L2" s="4">
        <f t="shared" si="0"/>
        <v>1384484.8020156992</v>
      </c>
      <c r="M2" s="4">
        <f t="shared" si="0"/>
        <v>1171161.2020156991</v>
      </c>
      <c r="N2" s="10" t="s">
        <v>45</v>
      </c>
      <c r="O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t="s">
        <v>2</v>
      </c>
      <c r="B5" s="4"/>
      <c r="C5" s="4">
        <v>224774</v>
      </c>
      <c r="D5" s="4"/>
      <c r="E5" s="4"/>
      <c r="F5" s="4"/>
      <c r="G5" s="4">
        <v>3230</v>
      </c>
      <c r="H5" s="4"/>
      <c r="I5" s="4"/>
      <c r="J5" s="4"/>
      <c r="K5" s="4"/>
      <c r="L5" s="4"/>
      <c r="M5" s="4"/>
      <c r="N5" s="4">
        <f>SUM(B5:M5)</f>
        <v>228004</v>
      </c>
      <c r="O5" s="4"/>
    </row>
    <row r="6" spans="1:15" x14ac:dyDescent="0.25">
      <c r="A6" t="s">
        <v>20</v>
      </c>
      <c r="B6" s="4"/>
      <c r="C6" s="4"/>
      <c r="D6" s="4"/>
      <c r="E6" s="4">
        <v>40951.81</v>
      </c>
      <c r="F6" s="4"/>
      <c r="G6" s="4"/>
      <c r="H6" s="4"/>
      <c r="I6" s="4"/>
      <c r="J6" s="4"/>
      <c r="K6" s="4">
        <v>877636.6</v>
      </c>
      <c r="L6" s="4"/>
      <c r="M6" s="4"/>
      <c r="N6" s="4">
        <f t="shared" ref="N6:N20" si="1">SUM(B6:M6)</f>
        <v>918588.40999999992</v>
      </c>
      <c r="O6" s="4"/>
    </row>
    <row r="7" spans="1:15" x14ac:dyDescent="0.25">
      <c r="A7" t="s">
        <v>3</v>
      </c>
      <c r="B7" s="4"/>
      <c r="C7" s="4">
        <v>19814.5</v>
      </c>
      <c r="D7" s="4"/>
      <c r="E7" s="4">
        <v>19814.5</v>
      </c>
      <c r="F7" s="4">
        <v>19053.37</v>
      </c>
      <c r="G7" s="4">
        <v>4297.24</v>
      </c>
      <c r="H7" s="4">
        <v>21003.91</v>
      </c>
      <c r="I7" s="4"/>
      <c r="J7" s="4">
        <v>18032</v>
      </c>
      <c r="K7" s="4"/>
      <c r="L7" s="4">
        <f>19383.75+12918.99</f>
        <v>32302.739999999998</v>
      </c>
      <c r="M7" s="4">
        <f>151824.19+2842.72</f>
        <v>154666.91</v>
      </c>
      <c r="N7" s="4">
        <f t="shared" si="1"/>
        <v>288985.17</v>
      </c>
      <c r="O7" s="4"/>
    </row>
    <row r="8" spans="1:15" x14ac:dyDescent="0.25">
      <c r="A8" t="s">
        <v>4</v>
      </c>
      <c r="B8" s="4">
        <f>17438+7700-8381</f>
        <v>16757</v>
      </c>
      <c r="C8" s="4">
        <f>15483+3871-11181</f>
        <v>8173</v>
      </c>
      <c r="D8" s="4">
        <f>12354-6046</f>
        <v>6308</v>
      </c>
      <c r="E8" s="4">
        <f>23602-11046</f>
        <v>12556</v>
      </c>
      <c r="F8" s="4">
        <f>17664-9456.5</f>
        <v>8207.5</v>
      </c>
      <c r="G8" s="4">
        <f>18974-10646</f>
        <v>8328</v>
      </c>
      <c r="H8" s="4">
        <f>22987-10352</f>
        <v>12635</v>
      </c>
      <c r="I8" s="4">
        <f>20588-10737</f>
        <v>9851</v>
      </c>
      <c r="J8" s="4">
        <f>16916</f>
        <v>16916</v>
      </c>
      <c r="K8" s="4">
        <f>22925-16820</f>
        <v>6105</v>
      </c>
      <c r="L8" s="4">
        <f>27026.5</f>
        <v>27026.5</v>
      </c>
      <c r="M8" s="4">
        <f>26281-28411</f>
        <v>-2130</v>
      </c>
      <c r="N8" s="4">
        <f t="shared" si="1"/>
        <v>130733</v>
      </c>
      <c r="O8" s="4"/>
    </row>
    <row r="9" spans="1:15" x14ac:dyDescent="0.25">
      <c r="A9" t="s">
        <v>5</v>
      </c>
      <c r="B9" s="4">
        <f>6.38+17.5+60+25+10+129+80+0.09</f>
        <v>327.96999999999997</v>
      </c>
      <c r="C9" s="4">
        <f>119+6.55+10+30+2.83</f>
        <v>168.38000000000002</v>
      </c>
      <c r="D9" s="4">
        <f>20814.02+70+1125+3.88+63+25+2.44+226.03+52.86</f>
        <v>22382.23</v>
      </c>
      <c r="E9" s="4">
        <f>36.1+3.04+30+55+6.12+305</f>
        <v>435.26</v>
      </c>
      <c r="F9" s="4">
        <f>2.31+4.97+60+355+6.04+233+36.1</f>
        <v>697.42</v>
      </c>
      <c r="G9" s="4">
        <f>39.69+50+60+593.85+244+25+303.42-36.1</f>
        <v>1279.8600000000001</v>
      </c>
      <c r="H9" s="4">
        <f>5.43+73.32+230+312+14.25+158+25+20</f>
        <v>838</v>
      </c>
      <c r="I9" s="4">
        <f>52.5+20+110+223.04+13.88+137+1.12</f>
        <v>557.54</v>
      </c>
      <c r="J9" s="4">
        <f>0.93+233.21+150+211+489.55+210+25</f>
        <v>1319.69</v>
      </c>
      <c r="K9" s="4">
        <f>0.25+468.79+20+130+15.97+202+2</f>
        <v>839.01</v>
      </c>
      <c r="L9" s="4">
        <f>10000+9.99+20+25+24.99+184+8+2.26</f>
        <v>10274.24</v>
      </c>
      <c r="M9" s="4">
        <f>1.51+109+10+38.88+188</f>
        <v>347.39</v>
      </c>
      <c r="N9" s="4">
        <f t="shared" si="1"/>
        <v>39466.989999999991</v>
      </c>
      <c r="O9" s="4"/>
    </row>
    <row r="10" spans="1:15" x14ac:dyDescent="0.25">
      <c r="A10" t="s">
        <v>19</v>
      </c>
      <c r="B10" s="4"/>
      <c r="C10" s="4"/>
      <c r="D10" s="4"/>
      <c r="E10" s="4">
        <f>5000+89</f>
        <v>5089</v>
      </c>
      <c r="F10" s="4"/>
      <c r="G10" s="4"/>
      <c r="H10" s="4">
        <v>185212</v>
      </c>
      <c r="I10" s="4"/>
      <c r="J10" s="4"/>
      <c r="K10" s="4"/>
      <c r="L10" s="4"/>
      <c r="M10" s="4"/>
      <c r="N10" s="4">
        <f t="shared" si="1"/>
        <v>190301</v>
      </c>
      <c r="O10" s="4"/>
    </row>
    <row r="11" spans="1:15" x14ac:dyDescent="0.25">
      <c r="A11" t="s">
        <v>6</v>
      </c>
      <c r="B11" s="4"/>
      <c r="C11" s="4">
        <f>500+14490</f>
        <v>14990</v>
      </c>
      <c r="D11" s="4"/>
      <c r="E11" s="4"/>
      <c r="F11" s="4"/>
      <c r="G11" s="4"/>
      <c r="H11" s="4"/>
      <c r="I11" s="4"/>
      <c r="J11" s="4">
        <v>2239.16</v>
      </c>
      <c r="K11" s="4"/>
      <c r="L11" s="4"/>
      <c r="M11" s="4"/>
      <c r="N11" s="4">
        <f t="shared" si="1"/>
        <v>17229.16</v>
      </c>
      <c r="O11" s="4"/>
    </row>
    <row r="12" spans="1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2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t="s">
        <v>8</v>
      </c>
      <c r="B15" s="4">
        <f>7167.94+14444.05+826.08+1513+576.92+226.92+1406.46+1602.6+1697.3+25+4114.82+63.38+341</f>
        <v>34005.469999999994</v>
      </c>
      <c r="C15" s="4">
        <f>8234.28+5706.54+3604.53+826.08+1513+576.92+226.92+1446.46+1602.6+1697.3+25+4114.82+63.38+341</f>
        <v>29978.829999999994</v>
      </c>
      <c r="D15" s="4">
        <f>511.5+95.07+6172.23+37.5+2545.95+2403.9+2129.69+340.38+865.38+2269.5+1239.12+4862.97+12927.61+11847.74</f>
        <v>48248.54</v>
      </c>
      <c r="E15" s="4">
        <f>11586.92+3846.45+826.08+1513+576.92+226.92+1426.46+1602.6+1697.3+25+4114.82+63.38+341-20</f>
        <v>27826.849999999991</v>
      </c>
      <c r="F15" s="4">
        <f>14843.37+826.08+1513+576.92+226.92+1426.46+1602.6+1697.3+25+4114.82+63.38+341</f>
        <v>27256.849999999995</v>
      </c>
      <c r="G15" s="4">
        <f>826.08+1513+576.92+226.92+1426.46+1602.6+1697.3+25+4114.82+63.38+341+14574.44</f>
        <v>26987.919999999998</v>
      </c>
      <c r="H15" s="4">
        <f>7816.01+7239.2+826.08+1513+576.92+226.92+1426.46+1602.6+1697.3+25+4114.82+464.34+63.38+341</f>
        <v>27933.029999999995</v>
      </c>
      <c r="I15" s="4">
        <f>10824.8+10913.66+1239.12+2269.5+865.38+340.38+2129.69+2403.9+2545.95+37.5+6172.23+928.66+95.07+511.5</f>
        <v>41277.340000000004</v>
      </c>
      <c r="J15" s="4">
        <f>826.08+1513+576.92+226.92+1426.46+1602.6+1697.3+25+4114.82+63.38+341+14438.4</f>
        <v>26851.879999999997</v>
      </c>
      <c r="K15" s="4">
        <f>15038.4+826.08+1513+576.92+226.92+1426.46+1602.6+1697.3+25+4114.82+63.38+341</f>
        <v>27451.879999999994</v>
      </c>
      <c r="L15" s="4">
        <f>9306.11+4244.97+2004.49+826.08+1513+576.92+226.92+1426.46+1602.6+1697.3+25+4114.82+63.38+341</f>
        <v>27969.049999999996</v>
      </c>
      <c r="M15" s="4">
        <f>827.04+1513+576.96+226.96+1426.48+1602.8+1697.4+25+4114.86+63.44+341+2221.44+6035.89+8257.83+4190.68+9.7</f>
        <v>33130.479999999996</v>
      </c>
      <c r="N15" s="4">
        <f t="shared" si="1"/>
        <v>378918.12</v>
      </c>
      <c r="O15" s="4"/>
    </row>
    <row r="16" spans="1:15" x14ac:dyDescent="0.25">
      <c r="A16" t="s">
        <v>9</v>
      </c>
      <c r="B16" s="4">
        <f>768.4+179.7+1327.78+310.52+3262.02+6085.32+3.37</f>
        <v>11937.11</v>
      </c>
      <c r="C16" s="4">
        <f>1075.64+251.56+14.61+6045.32+770.88+180.28+150</f>
        <v>8488.2899999999991</v>
      </c>
      <c r="D16" s="4">
        <f>1819.32+425.48+1153.84+269.84+3262.02+5985.32</f>
        <v>12915.82</v>
      </c>
      <c r="E16" s="4">
        <f>944.7+220.94+40.5+6045.32+769.64+179.99</f>
        <v>8201.09</v>
      </c>
      <c r="F16" s="4">
        <f>769.64+179.99+120+908.12+212.39+12.37+5985.32</f>
        <v>8187.83</v>
      </c>
      <c r="G16" s="4">
        <f>769.64+179.99+3262.02+891.45+208.49+6165.32</f>
        <v>11476.91</v>
      </c>
      <c r="H16" s="4">
        <f>6085.32+215.46+921.2679843+186.73+798.42</f>
        <v>8207.197984299999</v>
      </c>
      <c r="I16" s="4">
        <f>1329.54+310.95+6125.32+1211.42+283.32</f>
        <v>9260.5499999999993</v>
      </c>
      <c r="J16" s="4">
        <f>883.02+206.52+6085.32+769.64+179.99+3262.02</f>
        <v>11386.51</v>
      </c>
      <c r="K16" s="4">
        <v>8470.39</v>
      </c>
      <c r="L16" s="4">
        <f>26713+952.28+222.71+6515.32+179.99+284.58+769.64+26092</f>
        <v>61729.52</v>
      </c>
      <c r="M16" s="4">
        <f>-2552+1272.19+297.53+56.37+6236.19+769.73+180.01+75</f>
        <v>6335.02</v>
      </c>
      <c r="N16" s="4">
        <f t="shared" si="1"/>
        <v>166596.23798429998</v>
      </c>
      <c r="O16" s="4"/>
    </row>
    <row r="17" spans="1:15" x14ac:dyDescent="0.25">
      <c r="A17" t="s">
        <v>10</v>
      </c>
      <c r="B17" s="4"/>
      <c r="C17" s="4"/>
      <c r="D17" s="4"/>
      <c r="E17" s="4"/>
      <c r="F17" s="4"/>
      <c r="G17" s="4"/>
      <c r="H17" s="4">
        <f>28731.57+185000</f>
        <v>213731.57</v>
      </c>
      <c r="I17" s="4">
        <v>61268.43</v>
      </c>
      <c r="J17" s="4">
        <v>319.25</v>
      </c>
      <c r="K17" s="4"/>
      <c r="L17" s="4"/>
      <c r="M17" s="4"/>
      <c r="N17" s="4">
        <f t="shared" si="1"/>
        <v>275319.25</v>
      </c>
      <c r="O17" s="4"/>
    </row>
    <row r="18" spans="1:15" x14ac:dyDescent="0.25">
      <c r="A18" t="s">
        <v>11</v>
      </c>
      <c r="B18" s="4"/>
      <c r="C18" s="4"/>
      <c r="D18" s="4"/>
      <c r="E18" s="4"/>
      <c r="F18" s="4">
        <f>54445.68+732.97</f>
        <v>55178.65</v>
      </c>
      <c r="G18" s="4"/>
      <c r="H18" s="4">
        <f>74430.67+930.38</f>
        <v>75361.05</v>
      </c>
      <c r="I18" s="4"/>
      <c r="J18" s="4"/>
      <c r="K18" s="4"/>
      <c r="L18" s="4">
        <f>128333.34+5582.5</f>
        <v>133915.84</v>
      </c>
      <c r="M18" s="4"/>
      <c r="N18" s="4">
        <f t="shared" si="1"/>
        <v>264455.54000000004</v>
      </c>
      <c r="O18" s="4"/>
    </row>
    <row r="19" spans="1:15" x14ac:dyDescent="0.25">
      <c r="A19" t="s">
        <v>12</v>
      </c>
      <c r="B19" s="4">
        <f>2749.29+325+34.06+1022.35+6605.03+1+209.29+1442.91+71+800+98.6+258+6800+1726.43+68.67+2604.02+6152.56+7338.66+7319.68</f>
        <v>45626.549999999996</v>
      </c>
      <c r="C19" s="4">
        <f>581.7+4033.74+777.72+6800.3+10232.2+126.93+448.86+650+27.2+19.96+16.2+172.05+1283.89+151.27+215.59+50+52.81+258.91+22.15+325.6+77.06</f>
        <v>26324.140000000003</v>
      </c>
      <c r="D19" s="4">
        <f>3820.8+2044.94+4624.33+7012.14+429.47+325+232.9+210.58+115.06+385+298.2+2886+52.81+237.34+27.72+60+77.06-60</f>
        <v>22779.350000000009</v>
      </c>
      <c r="E19" s="4">
        <f>241.52+1811.7+591.74+10535.17+3456.59+151.98+171.94+325+781.91+123.88+6605.03+30.51+385+49.95+1249.24+114.34+162.87+233.09+111.93+480.62+76.91-817.7</f>
        <v>26873.219999999998</v>
      </c>
      <c r="F19" s="4">
        <f>-631.2+248.83+503.09+325+419.22+175+280.63+1696.36+96.91+45.3+223.95+557.8+77.2+4565+2188.78</f>
        <v>10771.87</v>
      </c>
      <c r="G19" s="4">
        <f>-947.9-169.64+13876.8+16762.61+3522.13+1400+31.4+650+24.4+101.75+1645+71.77+2303.12+71+20513.48+620+52.87+211.3+18.87+316.4+76.91</f>
        <v>61152.270000000011</v>
      </c>
      <c r="H19" s="4">
        <f>-161.76+5016.72+1610.26+54.4+6605.03+146.5+277.69+1702.77+196+230+474.98+214.52+559.81+1218.5+25.2+27.15</f>
        <v>18197.770000000004</v>
      </c>
      <c r="I19" s="4">
        <f>-591.1+47894.48+5294.15+2665.9+317.4+383.94+17.6+557.62+325+997.59+386.42+198+74.06+1833.34+158.85+190+761.98+219.11+478.97+3722.21+392.7+395+59.12-12.48+240</f>
        <v>66959.86</v>
      </c>
      <c r="J19" s="4">
        <f>-726+108970.07+490.83+591.98+388.55+1221.83+325+55.97+2011+69.24+951.44+218+671.1+535.27+52.9+224.39+284.82+59.47-3.49</f>
        <v>116392.37000000002</v>
      </c>
      <c r="K19" s="4">
        <f>-546+30604.61</f>
        <v>30058.61</v>
      </c>
      <c r="L19" s="4">
        <f>48.4+999.76+145.65+97.76+150+65.87+1775.35+158.85+716.2+53.01+251.43+281.68+28073+1115.88+60.2+1000+6138.83+2367.26+5079.02+10734.52</f>
        <v>59312.67</v>
      </c>
      <c r="M19" s="4">
        <f>6800.44+9232.37+3238.58+367.52+5.6+482.47+650+547.32+1423.21+1281.18+413+87.5+2425.65+208.92+678.53+253.01+258.22+26.33+856.83+556.21+126.8+929.35+60.6</f>
        <v>30909.639999999996</v>
      </c>
      <c r="N19" s="4">
        <f t="shared" si="1"/>
        <v>515358.32</v>
      </c>
      <c r="O19" s="4"/>
    </row>
    <row r="20" spans="1:15" x14ac:dyDescent="0.25">
      <c r="A20" t="s">
        <v>13</v>
      </c>
      <c r="B20" s="4">
        <v>500</v>
      </c>
      <c r="C20" s="4"/>
      <c r="D20" s="4">
        <v>14490</v>
      </c>
      <c r="E20" s="4"/>
      <c r="F20" s="4"/>
      <c r="G20" s="4"/>
      <c r="H20" s="4"/>
      <c r="I20" s="4"/>
      <c r="J20" s="6">
        <v>50000</v>
      </c>
      <c r="K20" s="4">
        <v>80207.25</v>
      </c>
      <c r="L20" s="4"/>
      <c r="M20" s="4">
        <v>80207.25</v>
      </c>
      <c r="N20" s="4">
        <f t="shared" si="1"/>
        <v>225404.5</v>
      </c>
      <c r="O20" s="4"/>
    </row>
    <row r="21" spans="1:15" x14ac:dyDescent="0.25">
      <c r="B21" s="4"/>
      <c r="C21" s="4"/>
      <c r="D21" s="4"/>
      <c r="E21" s="4"/>
      <c r="F21" s="4"/>
      <c r="G21" s="4"/>
      <c r="H21" s="4"/>
      <c r="I21" s="4"/>
      <c r="J21" s="7" t="s">
        <v>21</v>
      </c>
      <c r="K21" s="4"/>
      <c r="L21" s="4"/>
      <c r="M21" s="4"/>
      <c r="N21" s="4"/>
      <c r="O21" s="4"/>
    </row>
    <row r="22" spans="1:15" x14ac:dyDescent="0.25">
      <c r="A22" s="2" t="s">
        <v>14</v>
      </c>
      <c r="B22" s="4">
        <f>+B2+B3+B4+B5+B6+B7+B8+B9+B11-B14-B15-B16-B17-B18-B19-B20</f>
        <v>1111223.19</v>
      </c>
      <c r="C22" s="4">
        <f t="shared" ref="C22:D22" si="2">+C2+C3+C4+C5+C6+C7+C8+C9+C11-C14-C15-C16-C17-C18-C19-C20</f>
        <v>1314351.8099999998</v>
      </c>
      <c r="D22" s="4">
        <f t="shared" si="2"/>
        <v>1244608.3299999996</v>
      </c>
      <c r="E22" s="4">
        <f>+E2+E3+E4+E5+E6+E7+E8+E9+E11-E14-E15-E16-E17-E18-E19-E20+E10</f>
        <v>1260553.7399999995</v>
      </c>
      <c r="F22" s="4">
        <f t="shared" ref="F22:M22" si="3">+F2+F3+F4+F5+F6+F7+F8+F9+F11-F14-F15-F16-F17-F18-F19-F20+F10</f>
        <v>1187116.8299999994</v>
      </c>
      <c r="G22" s="4">
        <f t="shared" si="3"/>
        <v>1104634.8299999996</v>
      </c>
      <c r="H22" s="4">
        <f t="shared" si="3"/>
        <v>980893.12201569928</v>
      </c>
      <c r="I22" s="4">
        <f t="shared" si="3"/>
        <v>812535.48201569926</v>
      </c>
      <c r="J22" s="4">
        <f t="shared" si="3"/>
        <v>646092.32201569923</v>
      </c>
      <c r="K22" s="4">
        <f t="shared" si="3"/>
        <v>1384484.8020156992</v>
      </c>
      <c r="L22" s="4">
        <f t="shared" si="3"/>
        <v>1171161.2020156991</v>
      </c>
      <c r="M22" s="4">
        <f t="shared" si="3"/>
        <v>1173463.112015699</v>
      </c>
      <c r="N22" s="4"/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t="s">
        <v>50</v>
      </c>
      <c r="B24" s="4">
        <f>318998.71+792224.48</f>
        <v>1111223.19</v>
      </c>
      <c r="C24" s="4">
        <f>835104.31+479247.5</f>
        <v>1314351.81</v>
      </c>
      <c r="D24" s="4">
        <f>409668.18+834940.15</f>
        <v>1244608.33</v>
      </c>
      <c r="E24" s="4">
        <f>864518.81+396034.93</f>
        <v>1260553.74</v>
      </c>
      <c r="F24" s="4">
        <f>312810.54+874306.29</f>
        <v>1187116.83</v>
      </c>
      <c r="G24" s="4">
        <f>848010.31+256624.52</f>
        <v>1104634.83</v>
      </c>
      <c r="H24" s="4">
        <f>145010.77+835882.35</f>
        <v>980893.12</v>
      </c>
      <c r="I24" s="4">
        <f>714248.58+98286.9</f>
        <v>812535.48</v>
      </c>
      <c r="J24" s="4">
        <f>17351.18+628741.14</f>
        <v>646092.32000000007</v>
      </c>
      <c r="K24" s="4">
        <f>274163.99+1110320.81</f>
        <v>1384484.8</v>
      </c>
      <c r="L24" s="4">
        <f>1085805.55+85355.65</f>
        <v>1171161.2</v>
      </c>
      <c r="M24" s="4">
        <f>111309.37+1062153.74</f>
        <v>1173463.1099999999</v>
      </c>
      <c r="N24" s="3"/>
      <c r="O24" s="3"/>
    </row>
    <row r="25" spans="1:15" x14ac:dyDescent="0.25">
      <c r="B25" s="3">
        <f>+B22-B24</f>
        <v>0</v>
      </c>
      <c r="C25" s="4">
        <f t="shared" ref="C25:J25" si="4">+C22-C24</f>
        <v>0</v>
      </c>
      <c r="D25" s="4">
        <f t="shared" si="4"/>
        <v>0</v>
      </c>
      <c r="E25" s="4">
        <f t="shared" si="4"/>
        <v>0</v>
      </c>
      <c r="F25" s="4">
        <f t="shared" si="4"/>
        <v>0</v>
      </c>
      <c r="G25" s="4">
        <f t="shared" si="4"/>
        <v>0</v>
      </c>
      <c r="H25" s="4">
        <f t="shared" si="4"/>
        <v>2.0156992832198739E-3</v>
      </c>
      <c r="I25" s="4">
        <f t="shared" si="4"/>
        <v>2.0156992832198739E-3</v>
      </c>
      <c r="J25" s="4">
        <f t="shared" si="4"/>
        <v>2.0156991668045521E-3</v>
      </c>
      <c r="K25" s="4">
        <f t="shared" ref="K25" si="5">+K22-K24</f>
        <v>2.0156991668045521E-3</v>
      </c>
      <c r="L25" s="4">
        <f t="shared" ref="L25:M25" si="6">+L22-L24</f>
        <v>2.0156991668045521E-3</v>
      </c>
      <c r="M25" s="4">
        <f t="shared" si="6"/>
        <v>2.0156991668045521E-3</v>
      </c>
      <c r="N25" s="3"/>
      <c r="O25" s="3"/>
    </row>
    <row r="26" spans="1:15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  <c r="O26" s="3"/>
    </row>
    <row r="27" spans="1:15" x14ac:dyDescent="0.25">
      <c r="A27" t="s">
        <v>51</v>
      </c>
      <c r="B27" s="3"/>
      <c r="C27" s="4"/>
      <c r="D27" s="4"/>
      <c r="E27" s="4"/>
      <c r="F27" s="4"/>
      <c r="G27" s="4"/>
      <c r="H27" s="4"/>
      <c r="I27" s="4"/>
      <c r="J27" s="4"/>
      <c r="K27" s="4">
        <f>+K6</f>
        <v>877636.6</v>
      </c>
      <c r="L27" s="4">
        <f>+K6</f>
        <v>877636.6</v>
      </c>
      <c r="M27" s="4">
        <f>+K6</f>
        <v>877636.6</v>
      </c>
      <c r="N27" s="3"/>
      <c r="O27" s="3"/>
    </row>
    <row r="28" spans="1:15" ht="30" x14ac:dyDescent="0.25">
      <c r="A28" s="12" t="s">
        <v>52</v>
      </c>
      <c r="B28" s="3"/>
      <c r="C28" s="4"/>
      <c r="D28" s="4"/>
      <c r="E28" s="4"/>
      <c r="F28" s="4"/>
      <c r="G28" s="4"/>
      <c r="H28" s="4"/>
      <c r="I28" s="4"/>
      <c r="J28" s="4"/>
      <c r="K28" s="4">
        <f>+K24-K27</f>
        <v>506848.20000000007</v>
      </c>
      <c r="L28" s="4">
        <f t="shared" ref="L28:M28" si="7">+L24-L27</f>
        <v>293524.59999999998</v>
      </c>
      <c r="M28" s="4">
        <f t="shared" si="7"/>
        <v>295826.50999999989</v>
      </c>
      <c r="N28" s="3"/>
      <c r="O28" s="3"/>
    </row>
    <row r="30" spans="1:15" x14ac:dyDescent="0.25">
      <c r="A30" t="s">
        <v>17</v>
      </c>
      <c r="B30" s="9">
        <v>882054.83</v>
      </c>
      <c r="M30" s="26">
        <v>1023253.74</v>
      </c>
      <c r="N30" s="20" t="s">
        <v>15</v>
      </c>
    </row>
    <row r="31" spans="1:15" x14ac:dyDescent="0.25">
      <c r="A31" t="s">
        <v>16</v>
      </c>
      <c r="B31" s="9">
        <v>296752.52</v>
      </c>
      <c r="E31" s="5"/>
      <c r="M31" s="26">
        <v>161309.37</v>
      </c>
      <c r="N31" s="20" t="s">
        <v>15</v>
      </c>
    </row>
    <row r="32" spans="1:15" x14ac:dyDescent="0.25">
      <c r="B32" s="9">
        <f>SUM(B30:B31)</f>
        <v>1178807.3500000001</v>
      </c>
      <c r="M32" s="26">
        <f>SUM(M30:M31)</f>
        <v>1184563.1099999999</v>
      </c>
      <c r="N32" s="21" t="s">
        <v>53</v>
      </c>
    </row>
    <row r="33" spans="1:16" x14ac:dyDescent="0.25">
      <c r="A33" t="s">
        <v>18</v>
      </c>
      <c r="B33" s="9">
        <f>+K6</f>
        <v>877636.6</v>
      </c>
      <c r="M33" s="26">
        <v>877636.6</v>
      </c>
      <c r="N33" s="21" t="s">
        <v>54</v>
      </c>
    </row>
    <row r="34" spans="1:16" x14ac:dyDescent="0.25">
      <c r="B34" s="9"/>
      <c r="I34" t="s">
        <v>60</v>
      </c>
      <c r="K34" s="13">
        <v>1488506.32</v>
      </c>
      <c r="M34" s="27">
        <f>M32-M33</f>
        <v>306926.50999999989</v>
      </c>
      <c r="N34" s="21"/>
    </row>
    <row r="35" spans="1:16" x14ac:dyDescent="0.25">
      <c r="A35" s="14" t="s">
        <v>40</v>
      </c>
      <c r="B35" s="22">
        <f>+M34</f>
        <v>306926.50999999989</v>
      </c>
      <c r="C35" s="15"/>
      <c r="K35" s="2" t="s">
        <v>61</v>
      </c>
    </row>
    <row r="36" spans="1:16" x14ac:dyDescent="0.25">
      <c r="A36" s="16" t="s">
        <v>38</v>
      </c>
      <c r="B36" s="23">
        <v>19000</v>
      </c>
      <c r="C36" s="17" t="s">
        <v>41</v>
      </c>
      <c r="M36" s="25"/>
      <c r="N36" s="21"/>
      <c r="O36" s="21"/>
      <c r="P36" s="21"/>
    </row>
    <row r="37" spans="1:16" x14ac:dyDescent="0.25">
      <c r="A37" s="16" t="s">
        <v>42</v>
      </c>
      <c r="B37" s="23">
        <v>14269.6</v>
      </c>
      <c r="C37" s="17" t="s">
        <v>41</v>
      </c>
      <c r="M37" s="5"/>
    </row>
    <row r="38" spans="1:16" x14ac:dyDescent="0.25">
      <c r="A38" s="16" t="s">
        <v>44</v>
      </c>
      <c r="B38" s="23">
        <v>40000</v>
      </c>
      <c r="C38" s="17" t="s">
        <v>41</v>
      </c>
      <c r="K38" s="5">
        <f>+M34/K34</f>
        <v>0.20619765322864056</v>
      </c>
    </row>
    <row r="39" spans="1:16" x14ac:dyDescent="0.25">
      <c r="A39" s="16"/>
      <c r="B39" s="23"/>
      <c r="C39" s="17"/>
    </row>
    <row r="40" spans="1:16" x14ac:dyDescent="0.25">
      <c r="A40" s="18"/>
      <c r="B40" s="24">
        <f>+B35-B36-B37-B38-B39</f>
        <v>233656.90999999992</v>
      </c>
      <c r="C40" s="19"/>
    </row>
  </sheetData>
  <pageMargins left="0.25" right="0.25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0"/>
  <sheetViews>
    <sheetView topLeftCell="A31" workbookViewId="0">
      <pane xSplit="1" topLeftCell="H1" activePane="topRight" state="frozen"/>
      <selection pane="topRight" activeCell="A19" sqref="A19"/>
    </sheetView>
  </sheetViews>
  <sheetFormatPr defaultRowHeight="15" x14ac:dyDescent="0.25"/>
  <cols>
    <col min="1" max="1" width="32.28515625" customWidth="1"/>
    <col min="2" max="13" width="13.7109375" customWidth="1"/>
    <col min="14" max="14" width="14.42578125" customWidth="1"/>
    <col min="16" max="16" width="8.85546875" customWidth="1"/>
  </cols>
  <sheetData>
    <row r="1" spans="1:15" x14ac:dyDescent="0.25">
      <c r="A1" s="2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x14ac:dyDescent="0.25">
      <c r="A2" t="s">
        <v>0</v>
      </c>
      <c r="B2" s="4">
        <v>908408.37</v>
      </c>
      <c r="C2" s="4">
        <f>+B22</f>
        <v>870521.80999999994</v>
      </c>
      <c r="D2" s="4">
        <f t="shared" ref="D2:M2" si="0">+C22</f>
        <v>1084220.57</v>
      </c>
      <c r="E2" s="4">
        <f t="shared" si="0"/>
        <v>1024679.78</v>
      </c>
      <c r="F2" s="4">
        <f t="shared" si="0"/>
        <v>1017431.82</v>
      </c>
      <c r="G2" s="4">
        <f t="shared" si="0"/>
        <v>907622.2</v>
      </c>
      <c r="H2" s="4">
        <f t="shared" si="0"/>
        <v>637537.9</v>
      </c>
      <c r="I2" s="4">
        <f t="shared" si="0"/>
        <v>538061.59000000008</v>
      </c>
      <c r="J2" s="4">
        <f t="shared" si="0"/>
        <v>506495.16000000009</v>
      </c>
      <c r="K2" s="4">
        <f t="shared" si="0"/>
        <v>463974.45000000007</v>
      </c>
      <c r="L2" s="4">
        <f t="shared" si="0"/>
        <v>58208.020000000077</v>
      </c>
      <c r="M2" s="4">
        <f t="shared" si="0"/>
        <v>1182700.3300000003</v>
      </c>
      <c r="N2" s="4" t="s">
        <v>37</v>
      </c>
      <c r="O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t="s">
        <v>2</v>
      </c>
      <c r="B5" s="4">
        <v>1840</v>
      </c>
      <c r="C5" s="4">
        <f>226234</f>
        <v>226234</v>
      </c>
      <c r="D5" s="4"/>
      <c r="E5" s="4"/>
      <c r="F5" s="4"/>
      <c r="G5" s="4">
        <v>2925</v>
      </c>
      <c r="H5" s="4"/>
      <c r="I5" s="4"/>
      <c r="J5" s="4"/>
      <c r="K5" s="4"/>
      <c r="L5" s="4"/>
      <c r="M5" s="4"/>
      <c r="N5" s="4">
        <f t="shared" ref="N5:N7" si="1">SUM(B5:M5)</f>
        <v>230999</v>
      </c>
      <c r="O5" s="4"/>
    </row>
    <row r="6" spans="1:15" x14ac:dyDescent="0.25">
      <c r="A6" t="s">
        <v>20</v>
      </c>
      <c r="B6" s="4"/>
      <c r="C6" s="4"/>
      <c r="D6" s="4"/>
      <c r="E6" s="4">
        <v>40119.49</v>
      </c>
      <c r="F6" s="4"/>
      <c r="G6" s="4"/>
      <c r="H6" s="4"/>
      <c r="I6" s="4"/>
      <c r="J6" s="4"/>
      <c r="K6" s="4"/>
      <c r="L6" s="4">
        <v>860428.14</v>
      </c>
      <c r="M6" s="4"/>
      <c r="N6" s="4">
        <f t="shared" si="1"/>
        <v>900547.63</v>
      </c>
      <c r="O6" s="4"/>
    </row>
    <row r="7" spans="1:15" x14ac:dyDescent="0.25">
      <c r="A7" t="s">
        <v>3</v>
      </c>
      <c r="B7" s="4"/>
      <c r="C7" s="4">
        <v>39629</v>
      </c>
      <c r="D7" s="4"/>
      <c r="E7" s="4"/>
      <c r="F7" s="4">
        <v>15428</v>
      </c>
      <c r="G7" s="4">
        <v>3059.95</v>
      </c>
      <c r="H7" s="4">
        <v>21003.91</v>
      </c>
      <c r="I7" s="4"/>
      <c r="J7" s="4">
        <f>131895.61+18032</f>
        <v>149927.60999999999</v>
      </c>
      <c r="K7" s="4"/>
      <c r="L7" s="4">
        <v>12251.64</v>
      </c>
      <c r="M7" s="4">
        <f>19814.5+2262.25+38585.96</f>
        <v>60662.71</v>
      </c>
      <c r="N7" s="4">
        <f t="shared" si="1"/>
        <v>301962.82</v>
      </c>
      <c r="O7" s="4"/>
    </row>
    <row r="8" spans="1:15" x14ac:dyDescent="0.25">
      <c r="A8" t="s">
        <v>4</v>
      </c>
      <c r="B8" s="4">
        <f>16166-9553</f>
        <v>6613</v>
      </c>
      <c r="C8" s="4">
        <f>12247.5</f>
        <v>12247.5</v>
      </c>
      <c r="D8" s="4">
        <f>16222-6214.5</f>
        <v>10007.5</v>
      </c>
      <c r="E8" s="4">
        <f>20253-21998</f>
        <v>-1745</v>
      </c>
      <c r="F8" s="4">
        <f>13223-7661</f>
        <v>5562</v>
      </c>
      <c r="G8" s="4">
        <f>14303</f>
        <v>14303</v>
      </c>
      <c r="H8" s="4">
        <f>13510-8860</f>
        <v>4650</v>
      </c>
      <c r="I8" s="4">
        <f>16365-7188</f>
        <v>9177</v>
      </c>
      <c r="J8" s="4">
        <f>19251-11161</f>
        <v>8090</v>
      </c>
      <c r="K8" s="4">
        <f>18437-18417</f>
        <v>20</v>
      </c>
      <c r="L8" s="4">
        <f>16020-9550</f>
        <v>6470</v>
      </c>
      <c r="M8" s="4">
        <f>19806-12486</f>
        <v>7320</v>
      </c>
      <c r="N8" s="4">
        <f>SUM(B8:M8)</f>
        <v>82715</v>
      </c>
      <c r="O8" s="4"/>
    </row>
    <row r="9" spans="1:15" x14ac:dyDescent="0.25">
      <c r="A9" t="s">
        <v>5</v>
      </c>
      <c r="B9" s="4">
        <f>455.95+1.88</f>
        <v>457.83</v>
      </c>
      <c r="C9" s="4">
        <f>6.93+341.52</f>
        <v>348.45</v>
      </c>
      <c r="D9" s="4">
        <f>8.34+858.88</f>
        <v>867.22</v>
      </c>
      <c r="E9" s="4">
        <f>6.85+19576.78</f>
        <v>19583.629999999997</v>
      </c>
      <c r="F9" s="4">
        <f>412.89+4.26+54445.68</f>
        <v>54862.83</v>
      </c>
      <c r="G9" s="4">
        <f>1.72+752.09</f>
        <v>753.81000000000006</v>
      </c>
      <c r="H9" s="4">
        <f>633.18+0.8</f>
        <v>633.9799999999999</v>
      </c>
      <c r="I9" s="4">
        <f>2.15+500.69</f>
        <v>502.84</v>
      </c>
      <c r="J9" s="4">
        <f>2.12+586.06</f>
        <v>588.17999999999995</v>
      </c>
      <c r="K9" s="4">
        <f>1.34+715.68</f>
        <v>717.02</v>
      </c>
      <c r="L9" s="4">
        <f>2.2+303.72</f>
        <v>305.92</v>
      </c>
      <c r="M9" s="4">
        <f>0.54+561.3</f>
        <v>561.83999999999992</v>
      </c>
      <c r="N9" s="4">
        <f t="shared" ref="N9:N11" si="2">SUM(B9:M9)</f>
        <v>80183.549999999974</v>
      </c>
      <c r="O9" s="4"/>
    </row>
    <row r="10" spans="1:15" x14ac:dyDescent="0.25">
      <c r="A10" t="s">
        <v>19</v>
      </c>
      <c r="B10" s="4"/>
      <c r="C10" s="4"/>
      <c r="D10" s="4"/>
      <c r="E10" s="4"/>
      <c r="F10" s="4"/>
      <c r="G10" s="4"/>
      <c r="H10" s="4"/>
      <c r="I10" s="4">
        <v>20800</v>
      </c>
      <c r="J10" s="4"/>
      <c r="K10" s="4">
        <v>23000</v>
      </c>
      <c r="L10" s="4"/>
      <c r="M10" s="4"/>
      <c r="N10" s="4">
        <f t="shared" si="2"/>
        <v>43800</v>
      </c>
      <c r="O10" s="4"/>
    </row>
    <row r="11" spans="1:15" x14ac:dyDescent="0.25">
      <c r="A11" t="s">
        <v>6</v>
      </c>
      <c r="B11" s="4">
        <v>10890.8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f t="shared" si="2"/>
        <v>10890.8</v>
      </c>
      <c r="O11" s="4"/>
    </row>
    <row r="12" spans="1:15" x14ac:dyDescent="0.25">
      <c r="B12" s="4"/>
      <c r="C12" s="4">
        <f>SUM(C5:C11)</f>
        <v>278458.95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2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t="s">
        <v>8</v>
      </c>
      <c r="B15" s="4">
        <f>13805.28+8934.2+3607.52+5419.72</f>
        <v>31766.720000000005</v>
      </c>
      <c r="C15" s="4">
        <f>13805.28+5128.38+9478.74</f>
        <v>28412.400000000001</v>
      </c>
      <c r="D15" s="4">
        <f>10425.26+9857.81+20680.42</f>
        <v>40963.49</v>
      </c>
      <c r="E15" s="4">
        <f>8030.51+3258.25+2301.27+1767.67+13805.28</f>
        <v>29162.980000000003</v>
      </c>
      <c r="F15" s="4">
        <f>7138.52+5273.11+1758.8+13805.28</f>
        <v>27975.71</v>
      </c>
      <c r="G15" s="4">
        <f>14232.7+13805.28</f>
        <v>28037.980000000003</v>
      </c>
      <c r="H15" s="4">
        <f>10749.99+3825.6+14259.61</f>
        <v>28835.200000000001</v>
      </c>
      <c r="I15" s="4">
        <f>12442.36+1758.8+14743.95</f>
        <v>28945.11</v>
      </c>
      <c r="J15" s="4">
        <f>22017.05+20680.42</f>
        <v>42697.47</v>
      </c>
      <c r="K15" s="4">
        <f>13942.8+13805.28</f>
        <v>27748.080000000002</v>
      </c>
      <c r="L15" s="4">
        <f>10508.8+3417.6+13045.22</f>
        <v>26971.62</v>
      </c>
      <c r="M15" s="4">
        <f>398.32+9691.49+11374.65+12313.58</f>
        <v>33778.04</v>
      </c>
      <c r="N15" s="4">
        <f t="shared" ref="N15:N21" si="3">SUM(B15:M15)</f>
        <v>375294.80000000005</v>
      </c>
      <c r="O15" s="4"/>
    </row>
    <row r="16" spans="1:15" x14ac:dyDescent="0.25">
      <c r="A16" t="s">
        <v>9</v>
      </c>
      <c r="B16" s="4">
        <f>4045.91+1113.61+260.44+38.08+5520.88</f>
        <v>10978.919999999998</v>
      </c>
      <c r="C16" s="4">
        <f>1056.11+905.65+211.81+5560.88</f>
        <v>7734.45</v>
      </c>
      <c r="D16" s="4">
        <f>1257.55+294.1+7864.35+4811.86</f>
        <v>14227.86</v>
      </c>
      <c r="E16" s="4">
        <f>952.18+222.68+7175.3+1086.11+261.1</f>
        <v>9697.3700000000008</v>
      </c>
      <c r="F16" s="4">
        <f>878.57+205.47+7088.85+1056.11</f>
        <v>9229</v>
      </c>
      <c r="G16" s="4">
        <f>882.43+206.38+7108.85+4045.91</f>
        <v>12243.57</v>
      </c>
      <c r="H16" s="4">
        <f>903.69+211.35+7143.85+1090.86</f>
        <v>9349.75</v>
      </c>
      <c r="I16" s="4">
        <f>880.47+205.92+7438.85+1127.92</f>
        <v>9653.16</v>
      </c>
      <c r="J16" s="4">
        <f>1365.06+319.25+7248.85+4621.86</f>
        <v>13555.02</v>
      </c>
      <c r="K16" s="4">
        <f>864.46+202.17+7583.71+1146.11</f>
        <v>9796.4500000000007</v>
      </c>
      <c r="L16" s="4">
        <f>29998.45+863.44+201.94+7153.99+24587.51</f>
        <v>62805.33</v>
      </c>
      <c r="M16" s="4">
        <f>-1823.29+1330.79+311.24+58.22+7946.65+941.99</f>
        <v>8765.6</v>
      </c>
      <c r="N16" s="4">
        <f t="shared" si="3"/>
        <v>178036.48000000001</v>
      </c>
      <c r="O16" s="4"/>
    </row>
    <row r="17" spans="1:15" x14ac:dyDescent="0.25">
      <c r="A17" t="s">
        <v>10</v>
      </c>
      <c r="B17" s="4"/>
      <c r="C17" s="4"/>
      <c r="D17" s="4"/>
      <c r="E17" s="4"/>
      <c r="F17" s="4">
        <v>28522</v>
      </c>
      <c r="G17" s="4">
        <v>160000</v>
      </c>
      <c r="H17" s="4"/>
      <c r="I17" s="4"/>
      <c r="J17" s="4"/>
      <c r="K17" s="4"/>
      <c r="L17" s="4"/>
      <c r="M17" s="4"/>
      <c r="N17" s="4">
        <f t="shared" si="3"/>
        <v>188522</v>
      </c>
      <c r="O17" s="4"/>
    </row>
    <row r="18" spans="1:15" x14ac:dyDescent="0.25">
      <c r="A18" t="s">
        <v>11</v>
      </c>
      <c r="B18" s="4"/>
      <c r="C18" s="4"/>
      <c r="D18" s="4"/>
      <c r="E18" s="4"/>
      <c r="F18" s="4">
        <f>108891.34+1357.36</f>
        <v>110248.7</v>
      </c>
      <c r="G18" s="4"/>
      <c r="H18" s="4">
        <f>-74430.67+148861.34+1850.43</f>
        <v>76281.099999999991</v>
      </c>
      <c r="I18" s="4"/>
      <c r="J18" s="4"/>
      <c r="K18" s="4"/>
      <c r="L18" s="4"/>
      <c r="M18" s="4"/>
      <c r="N18" s="4">
        <f t="shared" si="3"/>
        <v>186529.8</v>
      </c>
      <c r="O18" s="4"/>
    </row>
    <row r="19" spans="1:15" x14ac:dyDescent="0.25">
      <c r="A19" t="s">
        <v>12</v>
      </c>
      <c r="B19" s="4">
        <v>14942.55</v>
      </c>
      <c r="C19" s="4">
        <f>3070.09+2881.44+313.8+386.1+1366.77+9749.88-45.54</f>
        <v>17722.54</v>
      </c>
      <c r="D19" s="4">
        <f>2832.43+2037.25+121.72+2303.2+7929.56</f>
        <v>15224.16</v>
      </c>
      <c r="E19" s="4">
        <f>-125+7528.5+2354.67+841.72+1334.3+6045.22+8366.32</f>
        <v>26345.73</v>
      </c>
      <c r="F19" s="4">
        <f>1303.9+1239.45+921.35+1388.48+5003.66-169.8</f>
        <v>9687.0400000000009</v>
      </c>
      <c r="G19" s="4">
        <f>62357.69+691.89+3726.82-2807+26875.11</f>
        <v>90844.510000000009</v>
      </c>
      <c r="H19" s="4">
        <f>4158.16+1520.54+5619.45</f>
        <v>11298.15</v>
      </c>
      <c r="I19" s="4">
        <f>-93.2+7737.3+876.28+1779.44+114.25-390-718+14141.93</f>
        <v>23448</v>
      </c>
      <c r="J19" s="8">
        <f>-558.8+110982.95+2741.9+215.52+8492.44</f>
        <v>121874.01</v>
      </c>
      <c r="K19" s="4">
        <f>-413.67+392472.55-99.96</f>
        <v>391958.92</v>
      </c>
      <c r="L19" s="4">
        <f>-385000+9355.87+2056.13+25140.01+3540.46+10233.61-139.64</f>
        <v>-334813.56</v>
      </c>
      <c r="M19" s="4">
        <f>-56.4+3167.12+6512.77+7750.82+5119.58</f>
        <v>22493.89</v>
      </c>
      <c r="N19" s="4">
        <f t="shared" si="3"/>
        <v>411025.94</v>
      </c>
      <c r="O19" s="4"/>
    </row>
    <row r="20" spans="1:15" x14ac:dyDescent="0.25">
      <c r="A20" t="s">
        <v>13</v>
      </c>
      <c r="B20" s="4"/>
      <c r="C20" s="4">
        <v>10890.8</v>
      </c>
      <c r="D20" s="4"/>
      <c r="E20" s="4"/>
      <c r="F20" s="4"/>
      <c r="G20" s="4"/>
      <c r="H20" s="4"/>
      <c r="I20" s="4"/>
      <c r="J20" s="8">
        <v>23000</v>
      </c>
      <c r="K20" s="4"/>
      <c r="L20" s="4"/>
      <c r="M20" s="4"/>
      <c r="N20" s="4">
        <f t="shared" si="3"/>
        <v>33890.800000000003</v>
      </c>
      <c r="O20" s="4"/>
    </row>
    <row r="21" spans="1:15" x14ac:dyDescent="0.25">
      <c r="B21" s="4"/>
      <c r="C21" s="4"/>
      <c r="D21" s="4"/>
      <c r="E21" s="4"/>
      <c r="F21" s="4"/>
      <c r="G21" s="4"/>
      <c r="H21" s="4"/>
      <c r="I21" s="4"/>
      <c r="J21" s="8"/>
      <c r="K21" s="4"/>
      <c r="L21" s="4"/>
      <c r="M21" s="4"/>
      <c r="N21" s="4">
        <f t="shared" si="3"/>
        <v>0</v>
      </c>
      <c r="O21" s="4"/>
    </row>
    <row r="22" spans="1:15" x14ac:dyDescent="0.25">
      <c r="A22" s="2" t="s">
        <v>14</v>
      </c>
      <c r="B22" s="4">
        <f>+B2+B3+B4+B5+B6+B7+B8+B9+B11-B14-B15-B16-B17-B18-B19-B20</f>
        <v>870521.80999999994</v>
      </c>
      <c r="C22" s="4">
        <f t="shared" ref="C22:D22" si="4">+C2+C3+C4+C5+C6+C7+C8+C9+C11-C14-C15-C16-C17-C18-C19-C20</f>
        <v>1084220.57</v>
      </c>
      <c r="D22" s="4">
        <f t="shared" si="4"/>
        <v>1024679.78</v>
      </c>
      <c r="E22" s="4">
        <f>+E2+E3+E4+E5+E6+E7+E8+E9+E11-E14-E15-E16-E17-E18-E19-E20+E10</f>
        <v>1017431.82</v>
      </c>
      <c r="F22" s="4">
        <f t="shared" ref="F22:M22" si="5">+F2+F3+F4+F5+F6+F7+F8+F9+F11-F14-F15-F16-F17-F18-F19-F20+F10</f>
        <v>907622.2</v>
      </c>
      <c r="G22" s="4">
        <f t="shared" si="5"/>
        <v>637537.9</v>
      </c>
      <c r="H22" s="4">
        <f t="shared" si="5"/>
        <v>538061.59000000008</v>
      </c>
      <c r="I22" s="4">
        <f t="shared" si="5"/>
        <v>506495.16000000009</v>
      </c>
      <c r="J22" s="4">
        <f t="shared" si="5"/>
        <v>463974.45000000007</v>
      </c>
      <c r="K22" s="4">
        <f t="shared" si="5"/>
        <v>58208.020000000077</v>
      </c>
      <c r="L22" s="4">
        <f t="shared" si="5"/>
        <v>1182700.3300000003</v>
      </c>
      <c r="M22" s="4">
        <f t="shared" si="5"/>
        <v>1186207.3500000003</v>
      </c>
      <c r="N22" s="4"/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B24" s="4">
        <f>139598.55+730923.26</f>
        <v>870521.81</v>
      </c>
      <c r="C24" s="4">
        <f>365274.02+718946.55</f>
        <v>1084220.57</v>
      </c>
      <c r="D24" s="4">
        <f>328288.69+696391.09</f>
        <v>1024679.78</v>
      </c>
      <c r="E24" s="4">
        <f>286222.17+731209.65</f>
        <v>1017431.8200000001</v>
      </c>
      <c r="F24" s="4">
        <f>174874.71+732747.49</f>
        <v>907622.2</v>
      </c>
      <c r="G24" s="4">
        <f>125669.67+511868.23</f>
        <v>637537.9</v>
      </c>
      <c r="H24" s="4">
        <f>141880.1+396181.49</f>
        <v>538061.59</v>
      </c>
      <c r="I24" s="4">
        <f>129541.78+376953.38</f>
        <v>506495.16000000003</v>
      </c>
      <c r="J24" s="4">
        <f>117107.73+346866.72</f>
        <v>463974.44999999995</v>
      </c>
      <c r="K24" s="4">
        <f>-291633.55+349841.57</f>
        <v>58208.020000000019</v>
      </c>
      <c r="L24" s="4">
        <f>51271.76+1131428.57</f>
        <v>1182700.33</v>
      </c>
      <c r="M24" s="4">
        <f>24424.42+1161782.93</f>
        <v>1186207.3499999999</v>
      </c>
      <c r="N24" s="3"/>
      <c r="O24" s="3"/>
    </row>
    <row r="25" spans="1:15" x14ac:dyDescent="0.25">
      <c r="B25" s="4">
        <f>+B22-B24</f>
        <v>0</v>
      </c>
      <c r="C25" s="4">
        <f t="shared" ref="C25:M25" si="6">+C22-C24</f>
        <v>0</v>
      </c>
      <c r="D25" s="4">
        <f t="shared" si="6"/>
        <v>0</v>
      </c>
      <c r="E25" s="4">
        <f t="shared" si="6"/>
        <v>0</v>
      </c>
      <c r="F25" s="4">
        <f t="shared" si="6"/>
        <v>0</v>
      </c>
      <c r="G25" s="4">
        <f t="shared" si="6"/>
        <v>0</v>
      </c>
      <c r="H25" s="4">
        <f t="shared" si="6"/>
        <v>0</v>
      </c>
      <c r="I25" s="4">
        <f t="shared" si="6"/>
        <v>0</v>
      </c>
      <c r="J25" s="4">
        <f t="shared" si="6"/>
        <v>0</v>
      </c>
      <c r="K25" s="4">
        <f t="shared" si="6"/>
        <v>5.8207660913467407E-11</v>
      </c>
      <c r="L25" s="4">
        <f t="shared" si="6"/>
        <v>0</v>
      </c>
      <c r="M25" s="4">
        <f t="shared" si="6"/>
        <v>0</v>
      </c>
      <c r="N25" s="3"/>
      <c r="O25" s="3"/>
    </row>
    <row r="26" spans="1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  <c r="O26" s="3"/>
    </row>
    <row r="27" spans="1:15" x14ac:dyDescent="0.25">
      <c r="A27" t="s">
        <v>51</v>
      </c>
      <c r="B27" s="3"/>
      <c r="C27" s="4"/>
      <c r="D27" s="4"/>
      <c r="E27" s="4"/>
      <c r="F27" s="4"/>
      <c r="G27" s="4"/>
      <c r="H27" s="4"/>
      <c r="I27" s="4"/>
      <c r="J27" s="4"/>
      <c r="K27" s="4">
        <f>+K6</f>
        <v>0</v>
      </c>
      <c r="L27" s="4">
        <f>+L6</f>
        <v>860428.14</v>
      </c>
      <c r="M27" s="4">
        <f>+L6</f>
        <v>860428.14</v>
      </c>
      <c r="N27" s="3"/>
      <c r="O27" s="3"/>
    </row>
    <row r="28" spans="1:15" ht="30" x14ac:dyDescent="0.25">
      <c r="A28" s="12" t="s">
        <v>52</v>
      </c>
      <c r="B28" s="3"/>
      <c r="C28" s="4"/>
      <c r="D28" s="4"/>
      <c r="E28" s="4"/>
      <c r="F28" s="4"/>
      <c r="G28" s="4"/>
      <c r="H28" s="4"/>
      <c r="I28" s="4"/>
      <c r="J28" s="4"/>
      <c r="K28" s="4">
        <f>+K24-K27</f>
        <v>58208.020000000019</v>
      </c>
      <c r="L28" s="4">
        <f t="shared" ref="L28:M28" si="7">+L24-L27</f>
        <v>322272.19000000006</v>
      </c>
      <c r="M28" s="4">
        <f t="shared" si="7"/>
        <v>325779.20999999985</v>
      </c>
      <c r="N28" s="3"/>
      <c r="O28" s="3"/>
    </row>
    <row r="30" spans="1:15" x14ac:dyDescent="0.25">
      <c r="A30" t="s">
        <v>17</v>
      </c>
      <c r="B30" s="9">
        <v>752149.01</v>
      </c>
      <c r="M30" s="9">
        <v>882054.83</v>
      </c>
      <c r="N30" s="20" t="s">
        <v>15</v>
      </c>
    </row>
    <row r="31" spans="1:15" x14ac:dyDescent="0.25">
      <c r="A31" t="s">
        <v>16</v>
      </c>
      <c r="B31" s="9">
        <v>156259.35999999999</v>
      </c>
      <c r="E31" s="5"/>
      <c r="M31" s="9">
        <v>296752.52</v>
      </c>
      <c r="N31" s="20" t="s">
        <v>15</v>
      </c>
    </row>
    <row r="32" spans="1:15" x14ac:dyDescent="0.25">
      <c r="B32" s="9">
        <f>SUM(B30:B31)</f>
        <v>908408.37</v>
      </c>
      <c r="M32" s="9">
        <f>SUM(M30:M31)</f>
        <v>1178807.3500000001</v>
      </c>
      <c r="N32" s="21" t="s">
        <v>53</v>
      </c>
    </row>
    <row r="33" spans="1:14" x14ac:dyDescent="0.25">
      <c r="A33" t="s">
        <v>36</v>
      </c>
      <c r="B33" s="9">
        <f>+L6</f>
        <v>860428.14</v>
      </c>
      <c r="M33" s="9">
        <f>+L6</f>
        <v>860428.14</v>
      </c>
      <c r="N33" t="s">
        <v>54</v>
      </c>
    </row>
    <row r="34" spans="1:14" x14ac:dyDescent="0.25">
      <c r="B34" s="9"/>
      <c r="I34" t="s">
        <v>56</v>
      </c>
      <c r="K34" s="13">
        <v>1516487.46</v>
      </c>
      <c r="M34" s="13">
        <f>M32-M33</f>
        <v>318379.21000000008</v>
      </c>
    </row>
    <row r="35" spans="1:14" x14ac:dyDescent="0.25">
      <c r="A35" s="14" t="s">
        <v>40</v>
      </c>
      <c r="B35" s="22">
        <f>+M34</f>
        <v>318379.21000000008</v>
      </c>
      <c r="C35" s="15"/>
      <c r="K35" s="2" t="s">
        <v>59</v>
      </c>
    </row>
    <row r="36" spans="1:14" x14ac:dyDescent="0.25">
      <c r="A36" s="16" t="s">
        <v>38</v>
      </c>
      <c r="B36" s="23">
        <v>24511.49</v>
      </c>
      <c r="C36" s="17" t="s">
        <v>41</v>
      </c>
    </row>
    <row r="37" spans="1:14" x14ac:dyDescent="0.25">
      <c r="A37" s="16" t="s">
        <v>39</v>
      </c>
      <c r="B37" s="23">
        <v>38585.96</v>
      </c>
      <c r="C37" s="17" t="s">
        <v>41</v>
      </c>
      <c r="M37" s="5"/>
    </row>
    <row r="38" spans="1:14" x14ac:dyDescent="0.25">
      <c r="A38" s="16" t="s">
        <v>42</v>
      </c>
      <c r="B38" s="23">
        <v>8739.59</v>
      </c>
      <c r="C38" s="17" t="s">
        <v>41</v>
      </c>
    </row>
    <row r="39" spans="1:14" x14ac:dyDescent="0.25">
      <c r="A39" s="16" t="s">
        <v>43</v>
      </c>
      <c r="B39" s="23">
        <v>20000</v>
      </c>
      <c r="C39" s="17" t="s">
        <v>41</v>
      </c>
    </row>
    <row r="40" spans="1:14" x14ac:dyDescent="0.25">
      <c r="A40" s="18"/>
      <c r="B40" s="24">
        <f>+B35-B36-B37-B38-B39</f>
        <v>226542.1700000001</v>
      </c>
      <c r="C40" s="19"/>
    </row>
  </sheetData>
  <pageMargins left="0.25" right="0.25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0"/>
  <sheetViews>
    <sheetView topLeftCell="A25" workbookViewId="0">
      <pane xSplit="1" topLeftCell="G1" activePane="topRight" state="frozen"/>
      <selection pane="topRight"/>
    </sheetView>
  </sheetViews>
  <sheetFormatPr defaultRowHeight="15" x14ac:dyDescent="0.25"/>
  <cols>
    <col min="1" max="1" width="32.28515625" customWidth="1"/>
    <col min="2" max="13" width="13.7109375" customWidth="1"/>
    <col min="14" max="14" width="14.28515625" customWidth="1"/>
  </cols>
  <sheetData>
    <row r="1" spans="1:15" x14ac:dyDescent="0.25">
      <c r="A1" s="2" t="s">
        <v>49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28</v>
      </c>
      <c r="G1" s="11" t="s">
        <v>29</v>
      </c>
      <c r="H1" s="11" t="s">
        <v>30</v>
      </c>
      <c r="I1" s="11" t="s">
        <v>31</v>
      </c>
      <c r="J1" s="11" t="s">
        <v>32</v>
      </c>
      <c r="K1" s="11" t="s">
        <v>33</v>
      </c>
      <c r="L1" s="11" t="s">
        <v>34</v>
      </c>
      <c r="M1" s="11" t="s">
        <v>35</v>
      </c>
      <c r="N1" s="1"/>
    </row>
    <row r="2" spans="1:15" x14ac:dyDescent="0.25">
      <c r="A2" t="s">
        <v>0</v>
      </c>
      <c r="B2" s="4">
        <f>26000.5+758130.79</f>
        <v>784131.29</v>
      </c>
      <c r="C2" s="4">
        <f>+B22</f>
        <v>742935.68</v>
      </c>
      <c r="D2" s="4">
        <f t="shared" ref="D2:M2" si="0">+C22</f>
        <v>693364.88</v>
      </c>
      <c r="E2" s="4">
        <f t="shared" si="0"/>
        <v>650277.38</v>
      </c>
      <c r="F2" s="4">
        <f t="shared" si="0"/>
        <v>573063.57999999996</v>
      </c>
      <c r="G2" s="4">
        <f t="shared" si="0"/>
        <v>492402.39999999997</v>
      </c>
      <c r="H2" s="4">
        <f t="shared" si="0"/>
        <v>418702.75</v>
      </c>
      <c r="I2" s="4">
        <f t="shared" si="0"/>
        <v>345592.7</v>
      </c>
      <c r="J2" s="4">
        <f t="shared" si="0"/>
        <v>178640.47</v>
      </c>
      <c r="K2" s="4">
        <f t="shared" si="0"/>
        <v>159802.29999999999</v>
      </c>
      <c r="L2" s="4">
        <f t="shared" si="0"/>
        <v>943322.53999999992</v>
      </c>
      <c r="M2" s="4">
        <f t="shared" si="0"/>
        <v>814131.29999999993</v>
      </c>
      <c r="N2" s="4" t="s">
        <v>37</v>
      </c>
      <c r="O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t="s">
        <v>20</v>
      </c>
      <c r="B6" s="4"/>
      <c r="C6" s="4"/>
      <c r="D6" s="4">
        <v>39332.83</v>
      </c>
      <c r="E6" s="4"/>
      <c r="F6" s="4"/>
      <c r="G6" s="4"/>
      <c r="H6" s="4"/>
      <c r="I6" s="4"/>
      <c r="J6" s="4"/>
      <c r="K6" s="4">
        <v>843556.9</v>
      </c>
      <c r="L6" s="4"/>
      <c r="M6" s="4"/>
      <c r="N6" s="4">
        <f t="shared" ref="N6:N7" si="1">SUM(B6:M6)</f>
        <v>882889.73</v>
      </c>
      <c r="O6" s="4"/>
    </row>
    <row r="7" spans="1:15" x14ac:dyDescent="0.25">
      <c r="A7" t="s">
        <v>3</v>
      </c>
      <c r="B7" s="4">
        <f>19527</f>
        <v>19527</v>
      </c>
      <c r="C7" s="4"/>
      <c r="D7" s="4">
        <v>19527</v>
      </c>
      <c r="E7" s="4"/>
      <c r="F7" s="4">
        <f>18017.44+9877.71</f>
        <v>27895.149999999998</v>
      </c>
      <c r="G7" s="4">
        <v>2000.11</v>
      </c>
      <c r="H7" s="4">
        <f>37978.28</f>
        <v>37978.28</v>
      </c>
      <c r="I7" s="4"/>
      <c r="J7" s="4">
        <v>18032</v>
      </c>
      <c r="K7" s="4"/>
      <c r="L7" s="4">
        <f>19814.5+6005.81+10715.68</f>
        <v>36535.990000000005</v>
      </c>
      <c r="M7" s="4">
        <f>122725.36+1681.38</f>
        <v>124406.74</v>
      </c>
      <c r="N7" s="4">
        <f t="shared" si="1"/>
        <v>285902.27</v>
      </c>
      <c r="O7" s="4"/>
    </row>
    <row r="8" spans="1:15" x14ac:dyDescent="0.25">
      <c r="A8" t="s">
        <v>4</v>
      </c>
      <c r="B8" s="4">
        <f>12568-5916</f>
        <v>6652</v>
      </c>
      <c r="C8" s="4">
        <f>6642</f>
        <v>6642</v>
      </c>
      <c r="D8" s="4">
        <f>7615-7116</f>
        <v>499</v>
      </c>
      <c r="E8" s="4">
        <f>12520-8315</f>
        <v>4205</v>
      </c>
      <c r="F8" s="4">
        <f>8137-5364.5</f>
        <v>2772.5</v>
      </c>
      <c r="G8" s="4">
        <f>3460-2441</f>
        <v>1019</v>
      </c>
      <c r="H8" s="4">
        <f>18287.92-9950.92</f>
        <v>8336.9999999999982</v>
      </c>
      <c r="I8" s="4">
        <f>13381-6851.5</f>
        <v>6529.5</v>
      </c>
      <c r="J8" s="4">
        <f>15427</f>
        <v>15427</v>
      </c>
      <c r="K8" s="4">
        <f>17818.58-18535.58+2500</f>
        <v>1783</v>
      </c>
      <c r="L8" s="4">
        <f>16049.02-8010.02</f>
        <v>8039</v>
      </c>
      <c r="M8" s="4">
        <f>16714-7225</f>
        <v>9489</v>
      </c>
      <c r="N8" s="4">
        <f>SUM(B8:M8)</f>
        <v>71394</v>
      </c>
      <c r="O8" s="4"/>
    </row>
    <row r="9" spans="1:15" x14ac:dyDescent="0.25">
      <c r="A9" t="s">
        <v>5</v>
      </c>
      <c r="B9" s="4">
        <f>3.5+19.43+65+75+29.74+146+80</f>
        <v>418.67</v>
      </c>
      <c r="C9" s="4">
        <f>2.78+10.21+3.59+168</f>
        <v>184.57999999999998</v>
      </c>
      <c r="D9" s="4">
        <f>0.46+2.08+17.5+152+100+25+200+41.47</f>
        <v>538.51</v>
      </c>
      <c r="E9" s="4">
        <f>2.34+2.76+18668.18+169+25+108+0.06+20.33</f>
        <v>18995.670000000002</v>
      </c>
      <c r="F9" s="4">
        <f>0.28+1.87+2210+5.18+134+100+125+18.75</f>
        <v>2595.08</v>
      </c>
      <c r="G9" s="4">
        <f>0.09+1.4+4.97+163+90+8+200+15.63</f>
        <v>483.09000000000003</v>
      </c>
      <c r="H9" s="4">
        <f>0.57+1.19+37.76+136+25+415.5+13.55</f>
        <v>629.56999999999994</v>
      </c>
      <c r="I9" s="4">
        <f>1.35+1.39+52.12+166+10+2135+5</f>
        <v>2370.86</v>
      </c>
      <c r="J9" s="4">
        <f>0.11+0.96+252.18+276+50+583+220+2.5</f>
        <v>1384.75</v>
      </c>
      <c r="K9" s="4">
        <f>0.11+1.33+659.78+146+362.5</f>
        <v>1169.72</v>
      </c>
      <c r="L9" s="4">
        <f>0.6+21.49+56.86+141+320+135</f>
        <v>674.95</v>
      </c>
      <c r="M9" s="4">
        <f>1.81+18.8+55.8+182+130+50+15+16</f>
        <v>469.40999999999997</v>
      </c>
      <c r="N9" s="4">
        <f t="shared" ref="N9:N11" si="2">SUM(B9:M9)</f>
        <v>29914.860000000004</v>
      </c>
      <c r="O9" s="4"/>
    </row>
    <row r="10" spans="1:15" x14ac:dyDescent="0.25">
      <c r="A10" t="s">
        <v>19</v>
      </c>
      <c r="B10" s="4"/>
      <c r="C10" s="4"/>
      <c r="D10" s="4"/>
      <c r="E10" s="4"/>
      <c r="F10" s="4"/>
      <c r="G10" s="4"/>
      <c r="H10" s="4">
        <v>56820</v>
      </c>
      <c r="I10" s="4"/>
      <c r="J10" s="4"/>
      <c r="K10" s="4"/>
      <c r="L10" s="4"/>
      <c r="M10" s="4"/>
      <c r="N10" s="4">
        <f t="shared" si="2"/>
        <v>56820</v>
      </c>
      <c r="O10" s="4"/>
    </row>
    <row r="11" spans="1:15" x14ac:dyDescent="0.25">
      <c r="A11" t="s">
        <v>6</v>
      </c>
      <c r="B11" s="4"/>
      <c r="C11" s="4">
        <f>24350+1200.24</f>
        <v>25550.240000000002</v>
      </c>
      <c r="D11" s="4"/>
      <c r="E11" s="4"/>
      <c r="F11" s="4"/>
      <c r="G11" s="4"/>
      <c r="H11" s="4"/>
      <c r="I11" s="4"/>
      <c r="J11" s="4"/>
      <c r="K11" s="4">
        <v>8904.43</v>
      </c>
      <c r="L11" s="4"/>
      <c r="M11" s="4"/>
      <c r="N11" s="4">
        <f t="shared" si="2"/>
        <v>34454.67</v>
      </c>
      <c r="O11" s="4"/>
    </row>
    <row r="12" spans="1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2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t="s">
        <v>8</v>
      </c>
      <c r="B15" s="4">
        <f>2208.38+9024.94+8450.33+13536.64</f>
        <v>33220.29</v>
      </c>
      <c r="C15" s="4">
        <f>11086.27+12064.9+13536.64</f>
        <v>36687.81</v>
      </c>
      <c r="D15" s="4">
        <f>10009.32+9940.56+13536.64</f>
        <v>33486.519999999997</v>
      </c>
      <c r="E15" s="4">
        <f>8427.26+7927.32+7101.13+20287.46</f>
        <v>43743.17</v>
      </c>
      <c r="F15" s="4">
        <f>8806.44+5199.06+13536.64</f>
        <v>27542.14</v>
      </c>
      <c r="G15" s="4">
        <f>13684.8+13536.64</f>
        <v>27221.439999999999</v>
      </c>
      <c r="H15" s="4">
        <f>14284.8+14437.96</f>
        <v>28722.76</v>
      </c>
      <c r="I15" s="4">
        <f>10398.12+3542.52+13987.32</f>
        <v>27927.96</v>
      </c>
      <c r="J15" s="4">
        <f>13700.72+13536.64</f>
        <v>27237.360000000001</v>
      </c>
      <c r="K15" s="4">
        <f>21347.43+20287.46</f>
        <v>41634.89</v>
      </c>
      <c r="L15" s="4">
        <f>13732.86+13536.64</f>
        <v>27269.5</v>
      </c>
      <c r="M15" s="4">
        <f>3532.69+10603.13+13539.32</f>
        <v>27675.14</v>
      </c>
      <c r="N15" s="4">
        <f t="shared" ref="N15:N21" si="3">SUM(B15:M15)</f>
        <v>382368.98000000004</v>
      </c>
      <c r="O15" s="4"/>
    </row>
    <row r="16" spans="1:15" x14ac:dyDescent="0.25">
      <c r="A16" t="s">
        <v>9</v>
      </c>
      <c r="B16" s="4">
        <f>1220.39+285.42+2.55+5493.24+4010.35</f>
        <v>11011.95</v>
      </c>
      <c r="C16" s="4">
        <f>-29.76-6.96+1435.37+6341.64+335.7+839.27+196.28+1035.55</f>
        <v>10147.09</v>
      </c>
      <c r="D16" s="4">
        <f>-29.76-6.96-19.53-4.56+1236.89+5721.99+289.28+4010.35</f>
        <v>11197.699999999999</v>
      </c>
      <c r="E16" s="4">
        <f>2051.99+7532.13</f>
        <v>9584.119999999999</v>
      </c>
      <c r="F16" s="4">
        <f>868.34+5877.23+203.08+1035.55</f>
        <v>7984.2</v>
      </c>
      <c r="G16" s="4">
        <f>848.46+5447.44+198.42+839.27+2974.8+196.28</f>
        <v>10504.67</v>
      </c>
      <c r="H16" s="4">
        <f>885.66+5784.35+207.12+895.15+209.35</f>
        <v>7981.63</v>
      </c>
      <c r="I16" s="4">
        <f>864.32+5687.44+202.13+1070.02</f>
        <v>7823.91</v>
      </c>
      <c r="J16" s="4">
        <f>849.45+5467.44+198.66+839.27+2974.8+196.28</f>
        <v>10525.9</v>
      </c>
      <c r="K16" s="4">
        <f>1323.54+5989.45+309.53+1257.82+294.17</f>
        <v>9174.51</v>
      </c>
      <c r="L16" s="4">
        <f>40250+851.44+5725.21+199.12+30341.55</f>
        <v>77367.320000000007</v>
      </c>
      <c r="M16" s="4">
        <f>876.42+5780.88+61.78+204.96+1035.76</f>
        <v>7959.8</v>
      </c>
      <c r="N16" s="4">
        <f t="shared" si="3"/>
        <v>181262.8</v>
      </c>
      <c r="O16" s="4"/>
    </row>
    <row r="17" spans="1:15" x14ac:dyDescent="0.25">
      <c r="A17" t="s">
        <v>10</v>
      </c>
      <c r="B17" s="4"/>
      <c r="C17" s="4"/>
      <c r="D17" s="4"/>
      <c r="E17" s="4"/>
      <c r="F17" s="4"/>
      <c r="G17" s="4"/>
      <c r="H17" s="4"/>
      <c r="I17" s="4">
        <v>100000</v>
      </c>
      <c r="J17" s="4"/>
      <c r="K17" s="4"/>
      <c r="L17" s="4">
        <v>5000</v>
      </c>
      <c r="M17" s="4"/>
      <c r="N17" s="4">
        <f t="shared" si="3"/>
        <v>105000</v>
      </c>
      <c r="O17" s="4"/>
    </row>
    <row r="18" spans="1:15" x14ac:dyDescent="0.25">
      <c r="A18" t="s">
        <v>11</v>
      </c>
      <c r="B18" s="4"/>
      <c r="C18" s="4"/>
      <c r="D18" s="4"/>
      <c r="E18" s="4"/>
      <c r="F18" s="4">
        <f>54445.66+2036.04</f>
        <v>56481.700000000004</v>
      </c>
      <c r="G18" s="4"/>
      <c r="H18" s="4">
        <f>74430.66+2716.6</f>
        <v>77147.260000000009</v>
      </c>
      <c r="I18" s="4"/>
      <c r="J18" s="4"/>
      <c r="K18" s="4"/>
      <c r="L18" s="4"/>
      <c r="M18" s="4"/>
      <c r="N18" s="4">
        <f t="shared" si="3"/>
        <v>133628.96000000002</v>
      </c>
      <c r="O18" s="4"/>
    </row>
    <row r="19" spans="1:15" x14ac:dyDescent="0.25">
      <c r="A19" t="s">
        <v>12</v>
      </c>
      <c r="B19" s="4">
        <f>-4044.68-1019-4283.2+3815.79+2452.19+703.21+2087.19+5071.38+18778.16</f>
        <v>23561.040000000001</v>
      </c>
      <c r="C19" s="4">
        <f>-89.2+3243.21+15594.04+5456.19+7628.43+4315.6-1035.55</f>
        <v>35112.720000000001</v>
      </c>
      <c r="D19" s="4">
        <f>5363.02+2064.17+11636.07+7462.37+7424.99</f>
        <v>33950.620000000003</v>
      </c>
      <c r="E19" s="4">
        <f>-829.14-196.81+43189.03+4924.1</f>
        <v>47087.18</v>
      </c>
      <c r="F19" s="4">
        <f>-59.2-250+1557.39+13455.28+7212.4</f>
        <v>21915.870000000003</v>
      </c>
      <c r="G19" s="4">
        <f>-713.5+6217.71+492.88+23624.27+9854.38</f>
        <v>39475.74</v>
      </c>
      <c r="H19" s="4">
        <f>-2800+394.34+3417.92+2673.03+13107.2+46230.76</f>
        <v>63023.25</v>
      </c>
      <c r="I19" s="4">
        <f>2801.52+4229.86+14142.8+18926.54</f>
        <v>40100.720000000001</v>
      </c>
      <c r="J19" s="8">
        <f>-849-757+2418.03+6533.46+8573.17</f>
        <v>15918.66</v>
      </c>
      <c r="K19" s="4">
        <f>-535.2+1344.65+6717.88+13557.08</f>
        <v>21084.41</v>
      </c>
      <c r="L19" s="4">
        <f>-735+36720.78+1144.81+169.83+1603.94</f>
        <v>38904.36</v>
      </c>
      <c r="M19" s="4">
        <f>2930.12+100+1968.99+25354.03</f>
        <v>30353.14</v>
      </c>
      <c r="N19" s="4">
        <f t="shared" si="3"/>
        <v>410487.70999999996</v>
      </c>
      <c r="O19" s="4"/>
    </row>
    <row r="20" spans="1:15" x14ac:dyDescent="0.25">
      <c r="A20" t="s">
        <v>13</v>
      </c>
      <c r="B20" s="4"/>
      <c r="C20" s="4"/>
      <c r="D20" s="4">
        <v>24350</v>
      </c>
      <c r="E20" s="4"/>
      <c r="F20" s="4"/>
      <c r="G20" s="4"/>
      <c r="H20" s="4"/>
      <c r="I20" s="4"/>
      <c r="J20" s="8"/>
      <c r="K20" s="4"/>
      <c r="L20" s="4">
        <f>900+25000</f>
        <v>25900</v>
      </c>
      <c r="M20" s="4">
        <v>775.17</v>
      </c>
      <c r="N20" s="4">
        <f t="shared" si="3"/>
        <v>51025.17</v>
      </c>
      <c r="O20" s="4"/>
    </row>
    <row r="21" spans="1:15" x14ac:dyDescent="0.25">
      <c r="B21" s="4"/>
      <c r="C21" s="4"/>
      <c r="D21" s="4"/>
      <c r="E21" s="4"/>
      <c r="F21" s="4"/>
      <c r="G21" s="4"/>
      <c r="H21" s="4"/>
      <c r="I21" s="4"/>
      <c r="J21" s="8"/>
      <c r="K21" s="4"/>
      <c r="L21" s="4"/>
      <c r="M21" s="4"/>
      <c r="N21" s="4">
        <f t="shared" si="3"/>
        <v>0</v>
      </c>
      <c r="O21" s="4"/>
    </row>
    <row r="22" spans="1:15" x14ac:dyDescent="0.25">
      <c r="A22" s="2" t="s">
        <v>14</v>
      </c>
      <c r="B22" s="4">
        <f>+B2+B3+B4+B5+B6+B7+B8+B9+B11-B14-B15-B16-B17-B18-B19-B20</f>
        <v>742935.68</v>
      </c>
      <c r="C22" s="4">
        <f t="shared" ref="C22:D22" si="4">+C2+C3+C4+C5+C6+C7+C8+C9+C11-C14-C15-C16-C17-C18-C19-C20</f>
        <v>693364.88</v>
      </c>
      <c r="D22" s="4">
        <f t="shared" si="4"/>
        <v>650277.38</v>
      </c>
      <c r="E22" s="4">
        <f>+E2+E3+E4+E5+E6+E7+E8+E9+E11-E14-E15-E16-E17-E18-E19-E20+E10</f>
        <v>573063.57999999996</v>
      </c>
      <c r="F22" s="4">
        <f t="shared" ref="F22:M22" si="5">+F2+F3+F4+F5+F6+F7+F8+F9+F11-F14-F15-F16-F17-F18-F19-F20+F10</f>
        <v>492402.39999999997</v>
      </c>
      <c r="G22" s="4">
        <f t="shared" si="5"/>
        <v>418702.75</v>
      </c>
      <c r="H22" s="4">
        <f t="shared" si="5"/>
        <v>345592.7</v>
      </c>
      <c r="I22" s="4">
        <f t="shared" si="5"/>
        <v>178640.47</v>
      </c>
      <c r="J22" s="4">
        <f t="shared" si="5"/>
        <v>159802.29999999999</v>
      </c>
      <c r="K22" s="4">
        <f t="shared" si="5"/>
        <v>943322.53999999992</v>
      </c>
      <c r="L22" s="4">
        <f t="shared" si="5"/>
        <v>814131.29999999993</v>
      </c>
      <c r="M22" s="4">
        <f t="shared" si="5"/>
        <v>881733.19999999984</v>
      </c>
      <c r="N22" s="4"/>
      <c r="O22" s="4"/>
    </row>
    <row r="23" spans="1: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B24" s="4">
        <f>678872.81+64062.87</f>
        <v>742935.68</v>
      </c>
      <c r="C24" s="4">
        <f>55355.82+638009.06</f>
        <v>693364.88</v>
      </c>
      <c r="D24" s="4">
        <f>21846.33+628431.05</f>
        <v>650277.38</v>
      </c>
      <c r="E24" s="4">
        <f>23695.46+549368.12</f>
        <v>573063.57999999996</v>
      </c>
      <c r="F24" s="4">
        <f>19573.86+472828.54</f>
        <v>492402.39999999997</v>
      </c>
      <c r="G24" s="4">
        <f>29773.47+388929.28</f>
        <v>418702.75</v>
      </c>
      <c r="H24" s="4">
        <f>238922.06+106670.64</f>
        <v>345592.7</v>
      </c>
      <c r="I24" s="4">
        <f>143837.19+34803.28</f>
        <v>178640.47</v>
      </c>
      <c r="J24" s="4">
        <f>36484.63+123317.67</f>
        <v>159802.29999999999</v>
      </c>
      <c r="K24" s="4">
        <f>918335.08+24987.46</f>
        <v>943322.53999999992</v>
      </c>
      <c r="L24" s="4">
        <f>754540.14+59591.16</f>
        <v>814131.3</v>
      </c>
      <c r="M24" s="4">
        <f>725473.84+156259.36</f>
        <v>881733.2</v>
      </c>
      <c r="N24" s="3"/>
      <c r="O24" s="3"/>
    </row>
    <row r="25" spans="1:15" x14ac:dyDescent="0.25">
      <c r="B25" s="4">
        <f>+B22-B24</f>
        <v>0</v>
      </c>
      <c r="C25" s="4">
        <f t="shared" ref="C25:M25" si="6">+C22-C24</f>
        <v>0</v>
      </c>
      <c r="D25" s="4">
        <f t="shared" si="6"/>
        <v>0</v>
      </c>
      <c r="E25" s="4">
        <f t="shared" si="6"/>
        <v>0</v>
      </c>
      <c r="F25" s="4">
        <f t="shared" si="6"/>
        <v>0</v>
      </c>
      <c r="G25" s="4">
        <f t="shared" si="6"/>
        <v>0</v>
      </c>
      <c r="H25" s="4">
        <f t="shared" si="6"/>
        <v>0</v>
      </c>
      <c r="I25" s="4">
        <f t="shared" si="6"/>
        <v>0</v>
      </c>
      <c r="J25" s="4">
        <f t="shared" si="6"/>
        <v>0</v>
      </c>
      <c r="K25" s="4">
        <f t="shared" si="6"/>
        <v>0</v>
      </c>
      <c r="L25" s="4">
        <f t="shared" si="6"/>
        <v>0</v>
      </c>
      <c r="M25" s="4">
        <f t="shared" si="6"/>
        <v>0</v>
      </c>
      <c r="N25" s="3"/>
      <c r="O25" s="3"/>
    </row>
    <row r="26" spans="1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  <c r="O26" s="3"/>
    </row>
    <row r="27" spans="1:15" x14ac:dyDescent="0.25">
      <c r="A27" t="s">
        <v>51</v>
      </c>
      <c r="B27" s="3"/>
      <c r="C27" s="4"/>
      <c r="D27" s="4"/>
      <c r="E27" s="4"/>
      <c r="F27" s="4"/>
      <c r="G27" s="4"/>
      <c r="H27" s="4"/>
      <c r="I27" s="4"/>
      <c r="J27" s="4"/>
      <c r="K27" s="4">
        <f>+K6</f>
        <v>843556.9</v>
      </c>
      <c r="L27" s="4">
        <f>+K6</f>
        <v>843556.9</v>
      </c>
      <c r="M27" s="4">
        <f>+K6</f>
        <v>843556.9</v>
      </c>
      <c r="N27" s="3"/>
      <c r="O27" s="3"/>
    </row>
    <row r="28" spans="1:15" ht="30" x14ac:dyDescent="0.25">
      <c r="A28" s="12" t="s">
        <v>52</v>
      </c>
      <c r="B28" s="3"/>
      <c r="C28" s="4"/>
      <c r="D28" s="4"/>
      <c r="E28" s="4"/>
      <c r="F28" s="4"/>
      <c r="G28" s="4"/>
      <c r="H28" s="4"/>
      <c r="I28" s="4"/>
      <c r="J28" s="4"/>
      <c r="K28" s="4">
        <f>+K24-K27</f>
        <v>99765.639999999898</v>
      </c>
      <c r="L28" s="4">
        <f t="shared" ref="L28:M28" si="7">+L24-L27</f>
        <v>-29425.599999999977</v>
      </c>
      <c r="M28" s="4">
        <f t="shared" si="7"/>
        <v>38176.29999999993</v>
      </c>
      <c r="N28" s="3"/>
      <c r="O28" s="3"/>
    </row>
    <row r="30" spans="1:15" x14ac:dyDescent="0.25">
      <c r="A30" t="s">
        <v>17</v>
      </c>
      <c r="B30" s="9">
        <v>759330.79</v>
      </c>
      <c r="M30" s="9">
        <v>752149.01</v>
      </c>
      <c r="N30" s="20" t="s">
        <v>15</v>
      </c>
    </row>
    <row r="31" spans="1:15" x14ac:dyDescent="0.25">
      <c r="A31" t="s">
        <v>16</v>
      </c>
      <c r="B31" s="9">
        <v>26000.5</v>
      </c>
      <c r="E31" s="5"/>
      <c r="M31" s="9">
        <v>156259.35999999999</v>
      </c>
      <c r="N31" s="20" t="s">
        <v>15</v>
      </c>
    </row>
    <row r="32" spans="1:15" x14ac:dyDescent="0.25">
      <c r="B32" s="9">
        <f>SUM(B30:B31)</f>
        <v>785331.29</v>
      </c>
      <c r="M32" s="9">
        <f>SUM(M30:M31)</f>
        <v>908408.37</v>
      </c>
      <c r="N32" s="21" t="s">
        <v>53</v>
      </c>
    </row>
    <row r="33" spans="1:14" x14ac:dyDescent="0.25">
      <c r="A33" t="s">
        <v>57</v>
      </c>
      <c r="B33" s="9">
        <v>843556.9</v>
      </c>
      <c r="K33" s="4"/>
      <c r="M33" s="9">
        <f>+B33</f>
        <v>843556.9</v>
      </c>
      <c r="N33" t="s">
        <v>54</v>
      </c>
    </row>
    <row r="34" spans="1:14" x14ac:dyDescent="0.25">
      <c r="B34" s="9"/>
      <c r="I34" t="s">
        <v>55</v>
      </c>
      <c r="K34" s="13">
        <v>1440379.1</v>
      </c>
      <c r="M34" s="13">
        <f>M32-M33</f>
        <v>64851.469999999972</v>
      </c>
    </row>
    <row r="35" spans="1:14" x14ac:dyDescent="0.25">
      <c r="A35" s="14" t="s">
        <v>40</v>
      </c>
      <c r="B35" s="22">
        <f>+M34</f>
        <v>64851.469999999972</v>
      </c>
      <c r="C35" s="15"/>
      <c r="K35" s="2" t="s">
        <v>58</v>
      </c>
      <c r="M35" s="9"/>
    </row>
    <row r="36" spans="1:14" x14ac:dyDescent="0.25">
      <c r="A36" s="16" t="s">
        <v>46</v>
      </c>
      <c r="B36" s="23">
        <v>21820</v>
      </c>
      <c r="C36" s="17" t="s">
        <v>41</v>
      </c>
      <c r="M36" s="9"/>
    </row>
    <row r="37" spans="1:14" x14ac:dyDescent="0.25">
      <c r="A37" s="16" t="s">
        <v>47</v>
      </c>
      <c r="B37" s="23">
        <v>24023.25</v>
      </c>
      <c r="C37" s="17" t="s">
        <v>41</v>
      </c>
      <c r="M37" s="9"/>
    </row>
    <row r="38" spans="1:14" x14ac:dyDescent="0.25">
      <c r="A38" s="16" t="s">
        <v>48</v>
      </c>
      <c r="B38" s="23">
        <v>18017.439999999999</v>
      </c>
      <c r="C38" s="17" t="s">
        <v>41</v>
      </c>
    </row>
    <row r="39" spans="1:14" x14ac:dyDescent="0.25">
      <c r="A39" s="16"/>
      <c r="B39" s="23"/>
      <c r="C39" s="17"/>
      <c r="K39" s="5"/>
    </row>
    <row r="40" spans="1:14" x14ac:dyDescent="0.25">
      <c r="A40" s="18"/>
      <c r="B40" s="24">
        <f>+B35-B36-B37-B38-B39</f>
        <v>990.77999999997337</v>
      </c>
      <c r="C40" s="19"/>
    </row>
  </sheetData>
  <pageMargins left="0.25" right="0.25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68"/>
  <sheetViews>
    <sheetView topLeftCell="A4" workbookViewId="0">
      <selection activeCell="A42" sqref="A42"/>
    </sheetView>
  </sheetViews>
  <sheetFormatPr defaultRowHeight="15" x14ac:dyDescent="0.25"/>
  <cols>
    <col min="1" max="1" width="29.28515625" customWidth="1"/>
    <col min="2" max="13" width="12.7109375" customWidth="1"/>
  </cols>
  <sheetData>
    <row r="1" spans="1:14" ht="18.75" x14ac:dyDescent="0.3">
      <c r="A1" s="75" t="s">
        <v>74</v>
      </c>
      <c r="B1" s="49"/>
      <c r="C1" s="49"/>
      <c r="D1" s="49"/>
      <c r="E1" s="47"/>
      <c r="F1" s="48"/>
      <c r="G1" s="48"/>
      <c r="H1" s="48"/>
      <c r="I1" s="48"/>
    </row>
    <row r="2" spans="1:14" x14ac:dyDescent="0.25">
      <c r="B2" s="51">
        <v>2016</v>
      </c>
      <c r="C2" s="51">
        <v>2017</v>
      </c>
      <c r="D2" s="51">
        <v>2018</v>
      </c>
      <c r="E2" s="59">
        <v>2019</v>
      </c>
      <c r="F2" s="67">
        <v>2020</v>
      </c>
      <c r="G2" s="67">
        <v>2021</v>
      </c>
      <c r="H2" s="67">
        <v>2022</v>
      </c>
      <c r="I2" s="67">
        <v>2023</v>
      </c>
      <c r="J2" s="2"/>
    </row>
    <row r="3" spans="1:14" x14ac:dyDescent="0.25">
      <c r="A3" s="2" t="s">
        <v>67</v>
      </c>
      <c r="B3" s="52" t="s">
        <v>71</v>
      </c>
      <c r="C3" s="52" t="s">
        <v>71</v>
      </c>
      <c r="D3" s="52" t="s">
        <v>71</v>
      </c>
      <c r="E3" s="60" t="s">
        <v>72</v>
      </c>
      <c r="F3" s="68" t="s">
        <v>73</v>
      </c>
      <c r="G3" s="68" t="s">
        <v>73</v>
      </c>
      <c r="H3" s="68" t="s">
        <v>73</v>
      </c>
      <c r="I3" s="68" t="s">
        <v>73</v>
      </c>
      <c r="J3" s="43"/>
      <c r="K3" s="43"/>
      <c r="L3" s="43"/>
      <c r="M3" s="43"/>
      <c r="N3" s="43"/>
    </row>
    <row r="4" spans="1:14" x14ac:dyDescent="0.25">
      <c r="A4" t="s">
        <v>0</v>
      </c>
      <c r="B4" s="53">
        <v>908408.37</v>
      </c>
      <c r="C4" s="58">
        <f>+B24</f>
        <v>1286207.3499999996</v>
      </c>
      <c r="D4" s="53">
        <f>+C24</f>
        <v>1173463.1099999999</v>
      </c>
      <c r="E4" s="61">
        <f>+D24</f>
        <v>1148791.1000000001</v>
      </c>
      <c r="F4" s="69">
        <v>865048</v>
      </c>
      <c r="G4" s="71">
        <f>+F24</f>
        <v>913697</v>
      </c>
      <c r="H4" s="71">
        <f t="shared" ref="H4:I4" si="0">+G24</f>
        <v>882918.28659166675</v>
      </c>
      <c r="I4" s="71">
        <f t="shared" si="0"/>
        <v>869911.8589916667</v>
      </c>
    </row>
    <row r="5" spans="1:14" x14ac:dyDescent="0.25">
      <c r="B5" s="54"/>
      <c r="C5" s="54"/>
      <c r="D5" s="54"/>
      <c r="E5" s="62"/>
      <c r="F5" s="69"/>
      <c r="G5" s="69"/>
      <c r="H5" s="69"/>
      <c r="I5" s="69"/>
    </row>
    <row r="6" spans="1:14" x14ac:dyDescent="0.25">
      <c r="A6" s="2" t="s">
        <v>1</v>
      </c>
      <c r="B6" s="54"/>
      <c r="C6" s="54"/>
      <c r="D6" s="54"/>
      <c r="E6" s="62"/>
      <c r="F6" s="69"/>
      <c r="G6" s="69"/>
      <c r="H6" s="69"/>
      <c r="I6" s="69"/>
    </row>
    <row r="7" spans="1:14" x14ac:dyDescent="0.25">
      <c r="A7" t="s">
        <v>2</v>
      </c>
      <c r="B7" s="55">
        <v>230999</v>
      </c>
      <c r="C7" s="55">
        <v>228004</v>
      </c>
      <c r="D7" s="55">
        <v>2073.67</v>
      </c>
      <c r="E7" s="63">
        <v>0</v>
      </c>
      <c r="F7" s="69">
        <v>200000</v>
      </c>
      <c r="G7" s="69">
        <v>200000</v>
      </c>
      <c r="H7" s="69"/>
      <c r="I7" s="69"/>
    </row>
    <row r="8" spans="1:14" x14ac:dyDescent="0.25">
      <c r="A8" t="s">
        <v>20</v>
      </c>
      <c r="B8" s="55">
        <v>900547.63</v>
      </c>
      <c r="C8" s="55">
        <v>918588.40999999992</v>
      </c>
      <c r="D8" s="55">
        <v>945338.15</v>
      </c>
      <c r="E8" s="63">
        <f>126800+788093.11+42651.83</f>
        <v>957544.94</v>
      </c>
      <c r="F8" s="69">
        <f>19151+957454</f>
        <v>976605</v>
      </c>
      <c r="G8" s="69">
        <f>F8+19532</f>
        <v>996137</v>
      </c>
      <c r="H8" s="69">
        <f>G8+19923</f>
        <v>1016060</v>
      </c>
      <c r="I8" s="69">
        <f>H8+20321</f>
        <v>1036381</v>
      </c>
    </row>
    <row r="9" spans="1:14" x14ac:dyDescent="0.25">
      <c r="A9" t="s">
        <v>3</v>
      </c>
      <c r="B9" s="55">
        <v>301962.82</v>
      </c>
      <c r="C9" s="55">
        <v>288985.17</v>
      </c>
      <c r="D9" s="55">
        <v>294098.42000000004</v>
      </c>
      <c r="E9" s="62">
        <f>46000+226824+80000</f>
        <v>352824</v>
      </c>
      <c r="F9" s="70">
        <f>352824-20000-75000</f>
        <v>257824</v>
      </c>
      <c r="G9" s="69">
        <v>260000</v>
      </c>
      <c r="H9" s="69">
        <v>260000</v>
      </c>
      <c r="I9" s="69">
        <v>265000</v>
      </c>
    </row>
    <row r="10" spans="1:14" x14ac:dyDescent="0.25">
      <c r="A10" t="s">
        <v>4</v>
      </c>
      <c r="B10" s="55">
        <v>82715</v>
      </c>
      <c r="C10" s="55">
        <v>130733</v>
      </c>
      <c r="D10" s="55">
        <v>142258</v>
      </c>
      <c r="E10" s="63">
        <v>90000</v>
      </c>
      <c r="F10" s="70">
        <v>125000</v>
      </c>
      <c r="G10" s="69">
        <v>125000</v>
      </c>
      <c r="H10" s="69">
        <v>130000</v>
      </c>
      <c r="I10" s="69">
        <v>130000</v>
      </c>
    </row>
    <row r="11" spans="1:14" x14ac:dyDescent="0.25">
      <c r="A11" t="s">
        <v>5</v>
      </c>
      <c r="B11" s="55">
        <v>80183.55</v>
      </c>
      <c r="C11" s="55">
        <v>39466.989999999991</v>
      </c>
      <c r="D11" s="55">
        <v>29875.169999999995</v>
      </c>
      <c r="E11" s="62">
        <f>22000+1700+1300+1930</f>
        <v>26930</v>
      </c>
      <c r="F11" s="70">
        <v>30000</v>
      </c>
      <c r="G11" s="69">
        <v>32000</v>
      </c>
      <c r="H11" s="69">
        <v>34000</v>
      </c>
      <c r="I11" s="69">
        <v>36000</v>
      </c>
    </row>
    <row r="12" spans="1:14" x14ac:dyDescent="0.25">
      <c r="A12" t="s">
        <v>19</v>
      </c>
      <c r="B12" s="55">
        <v>43800</v>
      </c>
      <c r="C12" s="55">
        <v>190301</v>
      </c>
      <c r="D12" s="55">
        <v>61600</v>
      </c>
      <c r="E12" s="63">
        <v>20000</v>
      </c>
      <c r="F12" s="70">
        <v>40000</v>
      </c>
      <c r="G12" s="69"/>
      <c r="H12" s="69"/>
      <c r="I12" s="69">
        <v>0</v>
      </c>
    </row>
    <row r="13" spans="1:14" x14ac:dyDescent="0.25">
      <c r="A13" t="s">
        <v>6</v>
      </c>
      <c r="B13" s="55">
        <v>10890.8</v>
      </c>
      <c r="C13" s="55">
        <v>17229.16</v>
      </c>
      <c r="D13" s="55">
        <v>48126.080000000002</v>
      </c>
      <c r="E13" s="63">
        <v>100000</v>
      </c>
      <c r="F13" s="70">
        <v>0</v>
      </c>
      <c r="G13" s="69">
        <v>0</v>
      </c>
      <c r="H13" s="69">
        <v>0</v>
      </c>
      <c r="I13" s="69">
        <v>0</v>
      </c>
    </row>
    <row r="14" spans="1:14" x14ac:dyDescent="0.25">
      <c r="A14" t="s">
        <v>100</v>
      </c>
      <c r="B14" s="54"/>
      <c r="C14" s="55"/>
      <c r="D14" s="55"/>
      <c r="E14" s="63">
        <f>SUM(E7:E13)</f>
        <v>1547298.94</v>
      </c>
      <c r="F14" s="69">
        <f>SUM(F7:F13)</f>
        <v>1629429</v>
      </c>
      <c r="G14" s="69">
        <f>SUM(G7:G13)</f>
        <v>1613137</v>
      </c>
      <c r="H14" s="69">
        <f>SUM(H7:H13)</f>
        <v>1440060</v>
      </c>
      <c r="I14" s="69">
        <f>SUM(I7:I13)</f>
        <v>1467381</v>
      </c>
    </row>
    <row r="15" spans="1:14" x14ac:dyDescent="0.25">
      <c r="B15" s="54"/>
      <c r="C15" s="55"/>
      <c r="D15" s="55"/>
      <c r="E15" s="62"/>
      <c r="F15" s="69"/>
      <c r="G15" s="69"/>
      <c r="H15" s="69"/>
      <c r="I15" s="69"/>
    </row>
    <row r="16" spans="1:14" x14ac:dyDescent="0.25">
      <c r="A16" s="2" t="s">
        <v>7</v>
      </c>
      <c r="B16" s="54"/>
      <c r="C16" s="55"/>
      <c r="D16" s="55"/>
      <c r="E16" s="62"/>
      <c r="F16" s="69"/>
      <c r="G16" s="69"/>
      <c r="H16" s="69"/>
      <c r="I16" s="69"/>
    </row>
    <row r="17" spans="1:16" x14ac:dyDescent="0.25">
      <c r="A17" t="s">
        <v>8</v>
      </c>
      <c r="B17" s="55">
        <v>275294.8</v>
      </c>
      <c r="C17" s="55">
        <v>378918.12</v>
      </c>
      <c r="D17" s="55">
        <v>384895.24</v>
      </c>
      <c r="E17" s="62">
        <f>10740+20463+7500+3009+19263+44632+325+55653+824+1425+93636+20808+31212+6242+41616+36414</f>
        <v>393762</v>
      </c>
      <c r="F17" s="70">
        <f>7875+393762</f>
        <v>401637</v>
      </c>
      <c r="G17" s="70">
        <f t="shared" ref="G17:I18" si="1">F17*2%+F17</f>
        <v>409669.74</v>
      </c>
      <c r="H17" s="70">
        <f t="shared" si="1"/>
        <v>417863.1348</v>
      </c>
      <c r="I17" s="70">
        <f t="shared" si="1"/>
        <v>426220.39749599999</v>
      </c>
    </row>
    <row r="18" spans="1:16" x14ac:dyDescent="0.25">
      <c r="A18" t="s">
        <v>9</v>
      </c>
      <c r="B18" s="55">
        <v>178036.48000000001</v>
      </c>
      <c r="C18" s="55">
        <v>166596.23798429998</v>
      </c>
      <c r="D18" s="55">
        <v>170359.08000000002</v>
      </c>
      <c r="E18" s="62">
        <f>55400+128700</f>
        <v>184100</v>
      </c>
      <c r="F18" s="69">
        <f>3682+184100</f>
        <v>187782</v>
      </c>
      <c r="G18" s="70">
        <f t="shared" si="1"/>
        <v>191537.64</v>
      </c>
      <c r="H18" s="70">
        <f t="shared" si="1"/>
        <v>195368.3928</v>
      </c>
      <c r="I18" s="70">
        <f t="shared" si="1"/>
        <v>199275.760656</v>
      </c>
      <c r="J18" t="s">
        <v>80</v>
      </c>
      <c r="K18" t="s">
        <v>81</v>
      </c>
      <c r="L18" t="s">
        <v>82</v>
      </c>
      <c r="M18" t="s">
        <v>83</v>
      </c>
    </row>
    <row r="19" spans="1:16" x14ac:dyDescent="0.25">
      <c r="A19" t="s">
        <v>10</v>
      </c>
      <c r="B19" s="55">
        <v>188522</v>
      </c>
      <c r="C19" s="55">
        <v>275319.25</v>
      </c>
      <c r="D19" s="55">
        <v>29383.24</v>
      </c>
      <c r="E19" s="63">
        <v>40000</v>
      </c>
      <c r="F19" s="70">
        <v>250000</v>
      </c>
      <c r="G19" s="70">
        <v>250000</v>
      </c>
      <c r="H19" s="70"/>
      <c r="I19" s="70"/>
      <c r="J19" s="45">
        <v>250000</v>
      </c>
      <c r="K19" t="s">
        <v>79</v>
      </c>
    </row>
    <row r="20" spans="1:16" x14ac:dyDescent="0.25">
      <c r="A20" t="s">
        <v>11</v>
      </c>
      <c r="B20" s="55">
        <v>186529.8</v>
      </c>
      <c r="C20" s="55">
        <v>264455.54000000004</v>
      </c>
      <c r="D20" s="55">
        <v>217924.91000000003</v>
      </c>
      <c r="E20" s="63">
        <v>213241</v>
      </c>
      <c r="F20" s="70">
        <v>88958</v>
      </c>
      <c r="G20" s="70">
        <f>L21+K28</f>
        <v>142708.33340833333</v>
      </c>
      <c r="H20" s="70">
        <f>SUM(M21+L28)</f>
        <v>139834.9</v>
      </c>
      <c r="I20" s="70">
        <f>SUM(N28+K21)</f>
        <v>141208.33333333331</v>
      </c>
      <c r="J20" s="46">
        <f>250000/3</f>
        <v>83333.333333333328</v>
      </c>
      <c r="K20">
        <f>J19*2.25%</f>
        <v>5625</v>
      </c>
      <c r="L20" s="46">
        <f>J21*2.25%</f>
        <v>3750.0000749999995</v>
      </c>
      <c r="M20" s="46">
        <f>K21*2.25%</f>
        <v>2001.5624999999998</v>
      </c>
    </row>
    <row r="21" spans="1:16" x14ac:dyDescent="0.25">
      <c r="A21" t="s">
        <v>12</v>
      </c>
      <c r="B21" s="55">
        <v>411025.94</v>
      </c>
      <c r="C21" s="55">
        <v>515358.32</v>
      </c>
      <c r="D21" s="55">
        <v>597352.52999999991</v>
      </c>
      <c r="E21" s="63">
        <v>899983</v>
      </c>
      <c r="F21" s="70">
        <f>E21-247580</f>
        <v>652403</v>
      </c>
      <c r="G21" s="70">
        <v>650000</v>
      </c>
      <c r="H21" s="70">
        <v>700000</v>
      </c>
      <c r="I21" s="70">
        <v>710000</v>
      </c>
      <c r="J21">
        <f>250000-83333.33</f>
        <v>166666.66999999998</v>
      </c>
      <c r="K21" s="46">
        <f>SUM(J20:K20)</f>
        <v>88958.333333333328</v>
      </c>
      <c r="L21" s="46">
        <f>SUM(L20+J20)</f>
        <v>87083.333408333332</v>
      </c>
      <c r="M21" s="46">
        <f>2001.56+83333.34</f>
        <v>85334.9</v>
      </c>
    </row>
    <row r="22" spans="1:16" x14ac:dyDescent="0.25">
      <c r="A22" t="s">
        <v>13</v>
      </c>
      <c r="B22" s="55">
        <v>33890.800000000003</v>
      </c>
      <c r="C22" s="55">
        <v>225404.5</v>
      </c>
      <c r="D22" s="55">
        <v>282234.61</v>
      </c>
      <c r="E22" s="63">
        <v>100000</v>
      </c>
      <c r="F22" s="70">
        <v>0</v>
      </c>
      <c r="G22" s="70">
        <v>0</v>
      </c>
      <c r="H22" s="70">
        <v>0</v>
      </c>
      <c r="I22" s="70">
        <v>0</v>
      </c>
      <c r="J22" s="46">
        <f>250000/3</f>
        <v>83333.333333333328</v>
      </c>
    </row>
    <row r="23" spans="1:16" x14ac:dyDescent="0.25">
      <c r="A23" t="s">
        <v>101</v>
      </c>
      <c r="B23" s="55"/>
      <c r="C23" s="54"/>
      <c r="D23" s="54"/>
      <c r="E23" s="62">
        <f>SUM(E17:E22)</f>
        <v>1831086</v>
      </c>
      <c r="F23" s="70">
        <f>SUM(F17:F22)</f>
        <v>1580780</v>
      </c>
      <c r="G23" s="70">
        <f t="shared" ref="G23:I23" si="2">SUM(G17:G22)</f>
        <v>1643915.7134083332</v>
      </c>
      <c r="H23" s="70">
        <f t="shared" si="2"/>
        <v>1453066.4276000001</v>
      </c>
      <c r="I23" s="70">
        <f t="shared" si="2"/>
        <v>1476704.4914853333</v>
      </c>
      <c r="J23">
        <f>166666.67-83333.33</f>
        <v>83333.340000000011</v>
      </c>
    </row>
    <row r="24" spans="1:16" x14ac:dyDescent="0.25">
      <c r="A24" s="2" t="s">
        <v>14</v>
      </c>
      <c r="B24" s="53">
        <f t="shared" ref="B24" si="3">+B4+B5+B6+B7+B8+B9+B10+B11+B13-B16-B17-B18-B19-B20-B21-B22+B12</f>
        <v>1286207.3499999996</v>
      </c>
      <c r="C24" s="53">
        <v>1173463.1099999999</v>
      </c>
      <c r="D24" s="53">
        <v>1148791.1000000001</v>
      </c>
      <c r="E24" s="61">
        <f>E4+E14-E23</f>
        <v>865004.04</v>
      </c>
      <c r="F24" s="71">
        <f>F4+F14-F23</f>
        <v>913697</v>
      </c>
      <c r="G24" s="71">
        <f t="shared" ref="G24:I24" si="4">G4+G14-G23</f>
        <v>882918.28659166675</v>
      </c>
      <c r="H24" s="71">
        <f t="shared" si="4"/>
        <v>869911.8589916667</v>
      </c>
      <c r="I24" s="71">
        <f t="shared" si="4"/>
        <v>860588.36750633339</v>
      </c>
    </row>
    <row r="25" spans="1:16" x14ac:dyDescent="0.25">
      <c r="B25" s="55"/>
      <c r="C25" s="54"/>
      <c r="D25" s="54"/>
      <c r="E25" s="62"/>
      <c r="F25" s="69"/>
      <c r="G25" s="69"/>
      <c r="H25" s="69"/>
      <c r="I25" s="69"/>
      <c r="J25" t="s">
        <v>88</v>
      </c>
      <c r="K25" t="s">
        <v>81</v>
      </c>
      <c r="L25" t="s">
        <v>82</v>
      </c>
      <c r="M25" t="s">
        <v>83</v>
      </c>
      <c r="N25" t="s">
        <v>89</v>
      </c>
      <c r="O25" t="s">
        <v>90</v>
      </c>
    </row>
    <row r="26" spans="1:16" x14ac:dyDescent="0.25">
      <c r="A26" s="20" t="s">
        <v>77</v>
      </c>
      <c r="B26" s="53">
        <v>882054.83</v>
      </c>
      <c r="C26" s="53">
        <v>1023253.74</v>
      </c>
      <c r="D26" s="53">
        <v>1147735.18</v>
      </c>
      <c r="E26" s="64"/>
      <c r="F26" s="72"/>
      <c r="G26" s="72"/>
      <c r="H26" s="72"/>
      <c r="I26" s="72"/>
      <c r="J26" s="4">
        <v>250000</v>
      </c>
      <c r="K26" s="42" t="s">
        <v>79</v>
      </c>
    </row>
    <row r="27" spans="1:16" x14ac:dyDescent="0.25">
      <c r="A27" s="20" t="s">
        <v>78</v>
      </c>
      <c r="B27" s="53">
        <v>296752.52</v>
      </c>
      <c r="C27" s="53">
        <v>161309.37</v>
      </c>
      <c r="D27" s="53">
        <v>58529.79</v>
      </c>
      <c r="E27" s="64"/>
      <c r="F27" s="72"/>
      <c r="G27" s="72"/>
      <c r="H27" s="72"/>
      <c r="I27" s="72"/>
      <c r="J27" s="9">
        <v>50000</v>
      </c>
      <c r="K27" s="42">
        <v>5625</v>
      </c>
      <c r="L27">
        <v>4500</v>
      </c>
      <c r="M27">
        <v>3375</v>
      </c>
      <c r="N27">
        <v>2250</v>
      </c>
      <c r="O27">
        <v>1125</v>
      </c>
      <c r="P27" s="50">
        <f>SUM(K27:O27)</f>
        <v>16875</v>
      </c>
    </row>
    <row r="28" spans="1:16" x14ac:dyDescent="0.25">
      <c r="A28" s="21" t="s">
        <v>53</v>
      </c>
      <c r="B28" s="53">
        <f>SUM(B26:B27)</f>
        <v>1178807.3500000001</v>
      </c>
      <c r="C28" s="53">
        <v>1184563.1099999999</v>
      </c>
      <c r="D28" s="53">
        <f>SUM(D26:D27)</f>
        <v>1206264.97</v>
      </c>
      <c r="E28" s="64"/>
      <c r="F28" s="72"/>
      <c r="G28" s="72"/>
      <c r="H28" s="72"/>
      <c r="I28" s="72"/>
      <c r="J28" s="9">
        <v>200000</v>
      </c>
      <c r="K28" s="42">
        <f>SUM(J27:K27)</f>
        <v>55625</v>
      </c>
      <c r="L28">
        <f>4500+50000</f>
        <v>54500</v>
      </c>
      <c r="M28">
        <v>53375</v>
      </c>
      <c r="N28">
        <v>52250</v>
      </c>
      <c r="O28">
        <v>51125</v>
      </c>
    </row>
    <row r="29" spans="1:16" x14ac:dyDescent="0.25">
      <c r="A29" t="s">
        <v>68</v>
      </c>
      <c r="B29" s="53">
        <v>860428.14</v>
      </c>
      <c r="C29" s="53">
        <v>877636.6</v>
      </c>
      <c r="D29" s="53">
        <v>906523</v>
      </c>
      <c r="E29" s="64"/>
      <c r="F29" s="72"/>
      <c r="G29" s="72"/>
      <c r="H29" s="72"/>
      <c r="I29" s="72"/>
      <c r="J29" s="9">
        <v>50000</v>
      </c>
      <c r="K29" s="42"/>
    </row>
    <row r="30" spans="1:16" x14ac:dyDescent="0.25">
      <c r="A30" t="s">
        <v>69</v>
      </c>
      <c r="B30" s="53">
        <v>318379.21000000002</v>
      </c>
      <c r="C30" s="53">
        <v>306926.50999999989</v>
      </c>
      <c r="D30" s="53">
        <f>SUM(D28-D29)</f>
        <v>299741.96999999997</v>
      </c>
      <c r="E30" s="64"/>
      <c r="F30" s="72"/>
      <c r="G30" s="72"/>
      <c r="H30" s="72"/>
      <c r="I30" s="72"/>
      <c r="J30" s="9">
        <v>150000</v>
      </c>
      <c r="K30" s="42"/>
    </row>
    <row r="31" spans="1:16" x14ac:dyDescent="0.25">
      <c r="B31" s="54"/>
      <c r="C31" s="54"/>
      <c r="D31" s="54"/>
      <c r="E31" s="62"/>
      <c r="F31" s="69"/>
      <c r="G31" s="69"/>
      <c r="H31" s="69"/>
      <c r="I31" s="69"/>
      <c r="J31" s="9">
        <v>50000</v>
      </c>
    </row>
    <row r="32" spans="1:16" x14ac:dyDescent="0.25">
      <c r="A32" s="2" t="s">
        <v>70</v>
      </c>
      <c r="B32" s="56">
        <v>0.20899999999999999</v>
      </c>
      <c r="C32" s="56">
        <v>0.20599999999999999</v>
      </c>
      <c r="D32" s="56">
        <f>SUM('2018'!K37)</f>
        <v>0.16369628187862284</v>
      </c>
      <c r="E32" s="62"/>
      <c r="F32" s="69"/>
      <c r="G32" s="69"/>
      <c r="H32" s="69"/>
      <c r="I32" s="69"/>
      <c r="J32" s="9">
        <v>100000</v>
      </c>
    </row>
    <row r="33" spans="1:10" x14ac:dyDescent="0.25">
      <c r="B33" s="54"/>
      <c r="C33" s="54"/>
      <c r="D33" s="54"/>
      <c r="E33" s="62" t="s">
        <v>75</v>
      </c>
      <c r="F33" s="69" t="s">
        <v>84</v>
      </c>
      <c r="G33" s="69" t="s">
        <v>85</v>
      </c>
      <c r="H33" s="69"/>
      <c r="I33" s="69"/>
      <c r="J33" s="9">
        <v>50000</v>
      </c>
    </row>
    <row r="34" spans="1:10" x14ac:dyDescent="0.25">
      <c r="B34" s="54"/>
      <c r="C34" s="54"/>
      <c r="D34" s="54"/>
      <c r="E34" s="65">
        <v>247580</v>
      </c>
      <c r="F34" s="73">
        <v>250000</v>
      </c>
      <c r="G34" s="73">
        <v>250000</v>
      </c>
      <c r="H34" s="69"/>
      <c r="I34" s="73"/>
      <c r="J34" s="9">
        <v>50000</v>
      </c>
    </row>
    <row r="35" spans="1:10" x14ac:dyDescent="0.25">
      <c r="B35" s="54"/>
      <c r="C35" s="54"/>
      <c r="D35" s="54"/>
      <c r="E35" s="62" t="s">
        <v>76</v>
      </c>
      <c r="F35" s="69" t="s">
        <v>86</v>
      </c>
      <c r="G35" s="69" t="s">
        <v>87</v>
      </c>
      <c r="H35" s="69"/>
      <c r="I35" s="69"/>
    </row>
    <row r="36" spans="1:10" x14ac:dyDescent="0.25">
      <c r="B36" s="54"/>
      <c r="C36" s="54"/>
      <c r="D36" s="54"/>
      <c r="E36" s="64">
        <v>75000</v>
      </c>
      <c r="F36" s="69"/>
      <c r="G36" s="69"/>
      <c r="H36" s="69"/>
      <c r="I36" s="69"/>
    </row>
    <row r="37" spans="1:10" x14ac:dyDescent="0.25">
      <c r="B37" s="57"/>
      <c r="C37" s="57"/>
      <c r="D37" s="57"/>
      <c r="E37" s="66"/>
      <c r="F37" s="74"/>
      <c r="G37" s="74"/>
      <c r="H37" s="74"/>
      <c r="I37" s="74"/>
    </row>
    <row r="39" spans="1:10" ht="18.75" x14ac:dyDescent="0.3">
      <c r="A39" s="75" t="s">
        <v>91</v>
      </c>
      <c r="B39" s="49"/>
      <c r="C39" s="49"/>
      <c r="D39" s="49"/>
      <c r="E39" s="47"/>
      <c r="F39" s="48"/>
      <c r="G39" s="48"/>
      <c r="H39" s="48"/>
      <c r="I39" s="48"/>
    </row>
    <row r="40" spans="1:10" x14ac:dyDescent="0.25">
      <c r="B40" s="51">
        <v>2016</v>
      </c>
      <c r="C40" s="51">
        <v>2017</v>
      </c>
      <c r="D40" s="51">
        <v>2018</v>
      </c>
      <c r="E40" s="59">
        <v>2019</v>
      </c>
      <c r="F40" s="67">
        <v>2020</v>
      </c>
      <c r="G40" s="67">
        <v>2021</v>
      </c>
      <c r="H40" s="67">
        <v>2022</v>
      </c>
      <c r="I40" s="67">
        <v>2023</v>
      </c>
    </row>
    <row r="41" spans="1:10" x14ac:dyDescent="0.25">
      <c r="A41" s="2" t="s">
        <v>67</v>
      </c>
      <c r="B41" s="52" t="s">
        <v>71</v>
      </c>
      <c r="C41" s="52" t="s">
        <v>71</v>
      </c>
      <c r="D41" s="52" t="s">
        <v>71</v>
      </c>
      <c r="E41" s="60" t="s">
        <v>72</v>
      </c>
      <c r="F41" s="68" t="s">
        <v>73</v>
      </c>
      <c r="G41" s="68" t="s">
        <v>73</v>
      </c>
      <c r="H41" s="68" t="s">
        <v>73</v>
      </c>
      <c r="I41" s="68" t="s">
        <v>73</v>
      </c>
    </row>
    <row r="42" spans="1:10" x14ac:dyDescent="0.25">
      <c r="A42" t="s">
        <v>0</v>
      </c>
      <c r="B42" s="53">
        <v>1683.28</v>
      </c>
      <c r="C42" s="58">
        <v>31929</v>
      </c>
      <c r="D42" s="53">
        <v>48871.35</v>
      </c>
      <c r="E42" s="61">
        <f>+D65</f>
        <v>52409.75</v>
      </c>
      <c r="F42" s="71">
        <f>+E65</f>
        <v>77409.75</v>
      </c>
      <c r="G42" s="71">
        <f>+F65</f>
        <v>101714.75</v>
      </c>
      <c r="H42" s="71">
        <f t="shared" ref="H42" si="5">+G65</f>
        <v>125769.75</v>
      </c>
      <c r="I42" s="71">
        <f t="shared" ref="I42" si="6">+H65</f>
        <v>149574.75</v>
      </c>
    </row>
    <row r="43" spans="1:10" x14ac:dyDescent="0.25">
      <c r="B43" s="54"/>
      <c r="C43" s="54"/>
      <c r="D43" s="54"/>
      <c r="E43" s="62"/>
      <c r="F43" s="69"/>
      <c r="G43" s="69"/>
      <c r="H43" s="69"/>
      <c r="I43" s="69"/>
    </row>
    <row r="44" spans="1:10" x14ac:dyDescent="0.25">
      <c r="A44" s="2" t="s">
        <v>1</v>
      </c>
      <c r="B44" s="54"/>
      <c r="C44" s="54"/>
      <c r="D44" s="54"/>
      <c r="E44" s="62"/>
      <c r="F44" s="69"/>
      <c r="G44" s="69"/>
      <c r="H44" s="69"/>
      <c r="I44" s="69"/>
    </row>
    <row r="45" spans="1:10" x14ac:dyDescent="0.25">
      <c r="A45" t="s">
        <v>92</v>
      </c>
      <c r="B45" s="55">
        <f>70399.78-30600</f>
        <v>39799.78</v>
      </c>
      <c r="C45" s="55">
        <v>41226</v>
      </c>
      <c r="D45" s="55">
        <v>40554.74</v>
      </c>
      <c r="E45" s="63">
        <f>36985.24+1214.76</f>
        <v>38200</v>
      </c>
      <c r="F45" s="70">
        <f t="shared" ref="F45:I45" si="7">36985.24+1214.76</f>
        <v>38200</v>
      </c>
      <c r="G45" s="70">
        <f t="shared" si="7"/>
        <v>38200</v>
      </c>
      <c r="H45" s="70">
        <f t="shared" si="7"/>
        <v>38200</v>
      </c>
      <c r="I45" s="70">
        <f t="shared" si="7"/>
        <v>38200</v>
      </c>
    </row>
    <row r="46" spans="1:10" x14ac:dyDescent="0.25">
      <c r="A46" t="s">
        <v>93</v>
      </c>
      <c r="B46" s="55">
        <v>30600</v>
      </c>
      <c r="C46" s="55">
        <v>30600</v>
      </c>
      <c r="D46" s="55">
        <v>30452.02</v>
      </c>
      <c r="E46" s="63">
        <f>29300+1500</f>
        <v>30800</v>
      </c>
      <c r="F46" s="70">
        <f t="shared" ref="F46:I46" si="8">29300+1500</f>
        <v>30800</v>
      </c>
      <c r="G46" s="70">
        <f t="shared" si="8"/>
        <v>30800</v>
      </c>
      <c r="H46" s="70">
        <f t="shared" si="8"/>
        <v>30800</v>
      </c>
      <c r="I46" s="70">
        <f t="shared" si="8"/>
        <v>30800</v>
      </c>
    </row>
    <row r="47" spans="1:10" x14ac:dyDescent="0.25">
      <c r="A47" t="s">
        <v>95</v>
      </c>
      <c r="B47" s="55">
        <v>19205.759999999998</v>
      </c>
      <c r="C47" s="55">
        <v>8351</v>
      </c>
      <c r="D47" s="55">
        <v>7665.57</v>
      </c>
      <c r="E47" s="62">
        <v>8050</v>
      </c>
      <c r="F47" s="70">
        <v>8000</v>
      </c>
      <c r="G47" s="69">
        <v>8000</v>
      </c>
      <c r="H47" s="69">
        <v>8000</v>
      </c>
      <c r="I47" s="69">
        <v>8000</v>
      </c>
    </row>
    <row r="48" spans="1:10" x14ac:dyDescent="0.25">
      <c r="A48" t="s">
        <v>94</v>
      </c>
      <c r="B48" s="55"/>
      <c r="C48" s="55">
        <v>200</v>
      </c>
      <c r="D48" s="55">
        <v>200</v>
      </c>
      <c r="E48" s="63">
        <v>200</v>
      </c>
      <c r="F48" s="70">
        <v>200</v>
      </c>
      <c r="G48" s="69">
        <v>200</v>
      </c>
      <c r="H48" s="69">
        <v>200</v>
      </c>
      <c r="I48" s="69">
        <v>200</v>
      </c>
    </row>
    <row r="49" spans="1:9" x14ac:dyDescent="0.25">
      <c r="A49" t="s">
        <v>5</v>
      </c>
      <c r="B49" s="55">
        <v>38914.49</v>
      </c>
      <c r="C49" s="55"/>
      <c r="D49" s="55"/>
      <c r="E49" s="62"/>
      <c r="F49" s="70"/>
      <c r="G49" s="69"/>
      <c r="H49" s="69"/>
      <c r="I49" s="69"/>
    </row>
    <row r="50" spans="1:9" x14ac:dyDescent="0.25">
      <c r="A50" t="s">
        <v>19</v>
      </c>
      <c r="B50" s="55"/>
      <c r="C50" s="55"/>
      <c r="D50" s="55"/>
      <c r="E50" s="63"/>
      <c r="F50" s="70"/>
      <c r="G50" s="69"/>
      <c r="H50" s="69"/>
      <c r="I50" s="69"/>
    </row>
    <row r="51" spans="1:9" x14ac:dyDescent="0.25">
      <c r="A51" t="s">
        <v>6</v>
      </c>
      <c r="B51" s="55">
        <v>29435.16</v>
      </c>
      <c r="C51" s="55"/>
      <c r="D51" s="55"/>
      <c r="E51" s="63"/>
      <c r="F51" s="70"/>
      <c r="G51" s="69"/>
      <c r="H51" s="69"/>
      <c r="I51" s="69"/>
    </row>
    <row r="52" spans="1:9" x14ac:dyDescent="0.25">
      <c r="A52" t="s">
        <v>100</v>
      </c>
      <c r="B52" s="55">
        <f>SUM(B45:B51)</f>
        <v>157955.19</v>
      </c>
      <c r="C52" s="55">
        <f>SUM(C45:C51)</f>
        <v>80377</v>
      </c>
      <c r="D52" s="55">
        <f>SUM(D45:D51)</f>
        <v>78872.329999999987</v>
      </c>
      <c r="E52" s="63">
        <f>SUM(E45:E51)</f>
        <v>77250</v>
      </c>
      <c r="F52" s="70">
        <f t="shared" ref="F52:I52" si="9">SUM(F45:F51)</f>
        <v>77200</v>
      </c>
      <c r="G52" s="70">
        <f t="shared" si="9"/>
        <v>77200</v>
      </c>
      <c r="H52" s="70">
        <f t="shared" si="9"/>
        <v>77200</v>
      </c>
      <c r="I52" s="70">
        <f t="shared" si="9"/>
        <v>77200</v>
      </c>
    </row>
    <row r="53" spans="1:9" x14ac:dyDescent="0.25">
      <c r="B53" s="54"/>
      <c r="C53" s="55"/>
      <c r="D53" s="55"/>
      <c r="E53" s="62"/>
      <c r="F53" s="69"/>
      <c r="G53" s="69"/>
      <c r="H53" s="69"/>
      <c r="I53" s="69"/>
    </row>
    <row r="54" spans="1:9" x14ac:dyDescent="0.25">
      <c r="A54" s="2" t="s">
        <v>7</v>
      </c>
      <c r="B54" s="54"/>
      <c r="C54" s="55"/>
      <c r="D54" s="55"/>
      <c r="E54" s="62"/>
      <c r="F54" s="69"/>
      <c r="G54" s="69"/>
      <c r="H54" s="69"/>
      <c r="I54" s="69"/>
    </row>
    <row r="55" spans="1:9" x14ac:dyDescent="0.25">
      <c r="A55" t="s">
        <v>8</v>
      </c>
      <c r="B55" s="55">
        <v>1200</v>
      </c>
      <c r="C55" s="55">
        <v>1200</v>
      </c>
      <c r="D55" s="55">
        <f>1200+1638.75</f>
        <v>2838.75</v>
      </c>
      <c r="E55" s="62">
        <f>3045+1200</f>
        <v>4245</v>
      </c>
      <c r="F55" s="70">
        <v>4245</v>
      </c>
      <c r="G55" s="70">
        <v>4245</v>
      </c>
      <c r="H55" s="70">
        <v>4245</v>
      </c>
      <c r="I55" s="70">
        <v>4245</v>
      </c>
    </row>
    <row r="56" spans="1:9" x14ac:dyDescent="0.25">
      <c r="A56" t="s">
        <v>9</v>
      </c>
      <c r="B56" s="55">
        <v>91.79</v>
      </c>
      <c r="C56" s="55">
        <v>92</v>
      </c>
      <c r="D56" s="55">
        <v>217.18</v>
      </c>
      <c r="E56" s="62">
        <v>878</v>
      </c>
      <c r="F56" s="69">
        <v>900</v>
      </c>
      <c r="G56" s="70">
        <v>900</v>
      </c>
      <c r="H56" s="70">
        <v>900</v>
      </c>
      <c r="I56" s="70">
        <v>900</v>
      </c>
    </row>
    <row r="57" spans="1:9" x14ac:dyDescent="0.25">
      <c r="A57" t="s">
        <v>96</v>
      </c>
      <c r="B57" s="55"/>
      <c r="C57" s="55">
        <v>10500</v>
      </c>
      <c r="D57" s="55">
        <v>0</v>
      </c>
      <c r="E57" s="62">
        <v>0</v>
      </c>
      <c r="F57" s="69">
        <v>0</v>
      </c>
      <c r="G57" s="70">
        <v>0</v>
      </c>
      <c r="H57" s="70">
        <v>0</v>
      </c>
      <c r="I57" s="70">
        <v>0</v>
      </c>
    </row>
    <row r="58" spans="1:9" x14ac:dyDescent="0.25">
      <c r="A58" t="s">
        <v>97</v>
      </c>
      <c r="B58" s="55">
        <v>4519.0200000000004</v>
      </c>
      <c r="C58" s="55">
        <v>3131</v>
      </c>
      <c r="D58" s="55">
        <v>3671.34</v>
      </c>
      <c r="E58" s="63">
        <v>1100</v>
      </c>
      <c r="F58" s="70">
        <v>1500</v>
      </c>
      <c r="G58" s="70">
        <v>1500</v>
      </c>
      <c r="H58" s="70">
        <v>1500</v>
      </c>
      <c r="I58" s="70">
        <v>1500</v>
      </c>
    </row>
    <row r="59" spans="1:9" x14ac:dyDescent="0.25">
      <c r="A59" t="s">
        <v>98</v>
      </c>
      <c r="B59" s="55">
        <v>10165.89</v>
      </c>
      <c r="C59" s="55">
        <v>5072</v>
      </c>
      <c r="D59" s="55">
        <v>28119.66</v>
      </c>
      <c r="E59" s="63">
        <f>31027-25000</f>
        <v>6027</v>
      </c>
      <c r="F59" s="70">
        <v>6200</v>
      </c>
      <c r="G59" s="70">
        <v>6400</v>
      </c>
      <c r="H59" s="70">
        <v>6600</v>
      </c>
      <c r="I59" s="70">
        <v>6600</v>
      </c>
    </row>
    <row r="60" spans="1:9" x14ac:dyDescent="0.25">
      <c r="A60" t="s">
        <v>99</v>
      </c>
      <c r="B60" s="55">
        <v>1558</v>
      </c>
      <c r="C60" s="55">
        <v>1467</v>
      </c>
      <c r="D60" s="55">
        <v>1687</v>
      </c>
      <c r="E60" s="63">
        <v>1500</v>
      </c>
      <c r="F60" s="70">
        <v>1550</v>
      </c>
      <c r="G60" s="70">
        <v>1600</v>
      </c>
      <c r="H60" s="70">
        <v>1650</v>
      </c>
      <c r="I60" s="70">
        <v>1650</v>
      </c>
    </row>
    <row r="61" spans="1:9" x14ac:dyDescent="0.25">
      <c r="A61" t="s">
        <v>11</v>
      </c>
      <c r="B61" s="55">
        <v>85911.41</v>
      </c>
      <c r="C61" s="55">
        <v>39200</v>
      </c>
      <c r="D61" s="55">
        <v>38800</v>
      </c>
      <c r="E61" s="63">
        <v>38500</v>
      </c>
      <c r="F61" s="70">
        <v>38500</v>
      </c>
      <c r="G61" s="70">
        <v>38500</v>
      </c>
      <c r="H61" s="70">
        <v>38500</v>
      </c>
      <c r="I61" s="70">
        <v>38500</v>
      </c>
    </row>
    <row r="62" spans="1:9" x14ac:dyDescent="0.25">
      <c r="A62" t="s">
        <v>12</v>
      </c>
      <c r="B62" s="55">
        <f>506.61+23055</f>
        <v>23561.61</v>
      </c>
      <c r="C62" s="55"/>
      <c r="D62" s="55"/>
      <c r="E62" s="63"/>
      <c r="F62" s="70"/>
      <c r="G62" s="70"/>
      <c r="H62" s="70"/>
      <c r="I62" s="70"/>
    </row>
    <row r="63" spans="1:9" x14ac:dyDescent="0.25">
      <c r="A63" t="s">
        <v>13</v>
      </c>
      <c r="B63" s="55"/>
      <c r="C63" s="55"/>
      <c r="D63" s="55"/>
      <c r="E63" s="63"/>
      <c r="F63" s="70"/>
      <c r="G63" s="70"/>
      <c r="H63" s="70"/>
      <c r="I63" s="70"/>
    </row>
    <row r="64" spans="1:9" x14ac:dyDescent="0.25">
      <c r="A64" t="s">
        <v>100</v>
      </c>
      <c r="B64" s="55">
        <f>SUM(B55:B63)</f>
        <v>127007.72</v>
      </c>
      <c r="C64" s="55">
        <f>SUM(C55:C63)</f>
        <v>60662</v>
      </c>
      <c r="D64" s="55">
        <f>SUM(D55:D63)</f>
        <v>75333.929999999993</v>
      </c>
      <c r="E64" s="63">
        <f>SUM(E55:E63)</f>
        <v>52250</v>
      </c>
      <c r="F64" s="70">
        <f t="shared" ref="F64:I64" si="10">SUM(F55:F63)</f>
        <v>52895</v>
      </c>
      <c r="G64" s="70">
        <f t="shared" si="10"/>
        <v>53145</v>
      </c>
      <c r="H64" s="70">
        <f t="shared" si="10"/>
        <v>53395</v>
      </c>
      <c r="I64" s="70">
        <f t="shared" si="10"/>
        <v>53395</v>
      </c>
    </row>
    <row r="65" spans="1:9" x14ac:dyDescent="0.25">
      <c r="A65" s="2" t="s">
        <v>14</v>
      </c>
      <c r="B65" s="53">
        <f>B42+B52-B64</f>
        <v>32630.75</v>
      </c>
      <c r="C65" s="53">
        <f>C42+C52-C64</f>
        <v>51644</v>
      </c>
      <c r="D65" s="53">
        <f>D42+D52-D64</f>
        <v>52409.75</v>
      </c>
      <c r="E65" s="61">
        <f>E42+E52-E64</f>
        <v>77409.75</v>
      </c>
      <c r="F65" s="71">
        <f>F42+F52-F64</f>
        <v>101714.75</v>
      </c>
      <c r="G65" s="71">
        <f t="shared" ref="G65:I65" si="11">G42+G52-G64</f>
        <v>125769.75</v>
      </c>
      <c r="H65" s="71">
        <f t="shared" si="11"/>
        <v>149574.75</v>
      </c>
      <c r="I65" s="71">
        <f t="shared" si="11"/>
        <v>173379.75</v>
      </c>
    </row>
    <row r="66" spans="1:9" x14ac:dyDescent="0.25">
      <c r="B66" s="55"/>
      <c r="C66" s="54"/>
      <c r="D66" s="54"/>
      <c r="E66" s="62"/>
      <c r="F66" s="69"/>
      <c r="G66" s="69"/>
      <c r="H66" s="69"/>
      <c r="I66" s="69"/>
    </row>
    <row r="67" spans="1:9" x14ac:dyDescent="0.25">
      <c r="B67">
        <v>31928.62</v>
      </c>
      <c r="C67">
        <v>48871.35</v>
      </c>
      <c r="D67">
        <v>50086.16</v>
      </c>
    </row>
    <row r="68" spans="1:9" x14ac:dyDescent="0.25">
      <c r="B68" s="50">
        <f>SUM(B65-B67)</f>
        <v>702.13000000000102</v>
      </c>
      <c r="C68" s="50">
        <f>SUM(C65-C67)</f>
        <v>2772.6500000000015</v>
      </c>
      <c r="D68" s="50">
        <f>SUM(D65-D67)</f>
        <v>2323.5899999999965</v>
      </c>
    </row>
  </sheetData>
  <printOptions horizontalCentered="1" verticalCentered="1"/>
  <pageMargins left="0.25" right="0.25" top="0.5" bottom="0.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Five year plan</vt:lpstr>
      <vt:lpstr>VWD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'Five year plan'!Print_Area</vt:lpstr>
      <vt:lpstr>VWD!Print_Area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Chmura, Katherine (DFA)</dc:creator>
  <cp:lastModifiedBy>sheld</cp:lastModifiedBy>
  <cp:lastPrinted>2022-05-09T13:15:16Z</cp:lastPrinted>
  <dcterms:created xsi:type="dcterms:W3CDTF">2018-01-19T15:40:20Z</dcterms:created>
  <dcterms:modified xsi:type="dcterms:W3CDTF">2022-05-17T22:26:21Z</dcterms:modified>
</cp:coreProperties>
</file>