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İ ÖZER 10\Desktop\IPF\"/>
    </mc:Choice>
  </mc:AlternateContent>
  <xr:revisionPtr revIDLastSave="0" documentId="8_{7E45CA0C-3CF9-4C30-A8BC-D26A036A847F}" xr6:coauthVersionLast="46" xr6:coauthVersionMax="46" xr10:uidLastSave="{00000000-0000-0000-0000-000000000000}"/>
  <bookViews>
    <workbookView xWindow="-120" yWindow="-120" windowWidth="20730" windowHeight="11160" tabRatio="810" activeTab="3" xr2:uid="{00000000-000D-0000-FFFF-FFFF00000000}"/>
  </bookViews>
  <sheets>
    <sheet name="Setup" sheetId="9" r:id="rId1"/>
    <sheet name="Weigh-in" sheetId="6" r:id="rId2"/>
    <sheet name="Loading Chart" sheetId="14610" state="hidden" r:id="rId3"/>
    <sheet name="Lifting" sheetId="2" r:id="rId4"/>
    <sheet name="BarLoad" sheetId="14608" r:id="rId5"/>
    <sheet name="Upcoming Flights" sheetId="14609" r:id="rId6"/>
    <sheet name="3-Lift" sheetId="14601" r:id="rId7"/>
    <sheet name="Squat" sheetId="14603" r:id="rId8"/>
    <sheet name="Bench" sheetId="14604" r:id="rId9"/>
    <sheet name="Deadlift" sheetId="14605" r:id="rId10"/>
    <sheet name="DATA" sheetId="14584" state="hidden" r:id="rId11"/>
    <sheet name="Push-Pull" sheetId="14602" r:id="rId12"/>
    <sheet name="PrintSheet" sheetId="14607" r:id="rId13"/>
    <sheet name="Awards" sheetId="14600" r:id="rId14"/>
    <sheet name="Please read" sheetId="14585" r:id="rId15"/>
    <sheet name="Black &amp; White load sheet" sheetId="14606" r:id="rId16"/>
  </sheets>
  <externalReferences>
    <externalReference r:id="rId17"/>
  </externalReferences>
  <definedNames>
    <definedName name="_xlnm.Print_Area" localSheetId="6">'3-Lift'!$A$1:$AC$2</definedName>
    <definedName name="_xlnm.Print_Area" localSheetId="8">Bench!$A$1:$Q$2</definedName>
    <definedName name="_xlnm.Print_Area" localSheetId="9">Deadlift!$A$1:$Q$2</definedName>
    <definedName name="_xlnm.Print_Area" localSheetId="12">PrintSheet!$A$1:$AI$7</definedName>
    <definedName name="_xlnm.Print_Area" localSheetId="11">'Push-Pull'!$A$1:$W$2</definedName>
    <definedName name="_xlnm.Print_Area" localSheetId="7">Squat!$A$1:$Q$2</definedName>
    <definedName name="_xlnm.Print_Titles" localSheetId="15">'Black &amp; White load sheet'!$1:$2</definedName>
    <definedName name="_xlnm.Print_Titles" localSheetId="12">PrintSheet!$1:$2</definedName>
  </definedNames>
  <calcPr calcId="181029"/>
  <customWorkbookViews>
    <customWorkbookView name="  - Personal View" guid="{07CDF5D6-CF56-477A-AAD4-2986DB622B49}" mergeInterval="0" personalView="1" maximized="1" windowWidth="1436" windowHeight="723" activeSheetId="1"/>
    <customWorkbookView name="Tony Marksteiner - Personal View" guid="{2277625D-7ADF-41CA-830E-413FDD10097D}" mergeInterval="0" personalView="1" maximized="1" windowWidth="1596" windowHeight="1054" activeSheetId="1"/>
  </customWorkbookViews>
</workbook>
</file>

<file path=xl/calcChain.xml><?xml version="1.0" encoding="utf-8"?>
<calcChain xmlns="http://schemas.openxmlformats.org/spreadsheetml/2006/main"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10" i="2"/>
  <c r="AW43" i="2"/>
  <c r="AO43" i="2"/>
  <c r="AE43" i="2"/>
  <c r="AY43" i="2" s="1"/>
  <c r="AA43" i="2"/>
  <c r="U43" i="2"/>
  <c r="O43" i="2"/>
  <c r="H43" i="2"/>
  <c r="G43" i="2"/>
  <c r="AW42" i="2"/>
  <c r="AO42" i="2"/>
  <c r="AE42" i="2"/>
  <c r="AY42" i="2" s="1"/>
  <c r="AA42" i="2"/>
  <c r="U42" i="2"/>
  <c r="O42" i="2"/>
  <c r="H42" i="2"/>
  <c r="G42" i="2"/>
  <c r="AW41" i="2"/>
  <c r="AO41" i="2"/>
  <c r="AE41" i="2"/>
  <c r="AY41" i="2" s="1"/>
  <c r="AA41" i="2"/>
  <c r="U41" i="2"/>
  <c r="O41" i="2"/>
  <c r="H41" i="2"/>
  <c r="G41" i="2"/>
  <c r="AW40" i="2"/>
  <c r="AO40" i="2"/>
  <c r="AE40" i="2"/>
  <c r="AY40" i="2" s="1"/>
  <c r="AA40" i="2"/>
  <c r="U40" i="2"/>
  <c r="O40" i="2"/>
  <c r="H40" i="2"/>
  <c r="G40" i="2"/>
  <c r="AW39" i="2"/>
  <c r="AO39" i="2"/>
  <c r="AE39" i="2"/>
  <c r="AY39" i="2" s="1"/>
  <c r="AA39" i="2"/>
  <c r="U39" i="2"/>
  <c r="O39" i="2"/>
  <c r="H39" i="2"/>
  <c r="G39" i="2"/>
  <c r="AW38" i="2"/>
  <c r="AO38" i="2"/>
  <c r="AE38" i="2"/>
  <c r="AY38" i="2" s="1"/>
  <c r="AA38" i="2"/>
  <c r="U38" i="2"/>
  <c r="O38" i="2"/>
  <c r="H38" i="2"/>
  <c r="G38" i="2"/>
  <c r="AW37" i="2"/>
  <c r="AO37" i="2"/>
  <c r="AE37" i="2"/>
  <c r="AY37" i="2" s="1"/>
  <c r="AA37" i="2"/>
  <c r="U37" i="2"/>
  <c r="O37" i="2"/>
  <c r="H37" i="2"/>
  <c r="G37" i="2"/>
  <c r="AW36" i="2"/>
  <c r="AO36" i="2"/>
  <c r="AE36" i="2"/>
  <c r="AY36" i="2" s="1"/>
  <c r="AA36" i="2"/>
  <c r="U36" i="2"/>
  <c r="O36" i="2"/>
  <c r="H36" i="2"/>
  <c r="G36" i="2"/>
  <c r="AW35" i="2"/>
  <c r="AO35" i="2"/>
  <c r="AE35" i="2"/>
  <c r="AY35" i="2" s="1"/>
  <c r="AA35" i="2"/>
  <c r="U35" i="2"/>
  <c r="O35" i="2"/>
  <c r="H35" i="2"/>
  <c r="G35" i="2"/>
  <c r="AW34" i="2"/>
  <c r="AO34" i="2"/>
  <c r="AE34" i="2"/>
  <c r="AY34" i="2" s="1"/>
  <c r="AA34" i="2"/>
  <c r="U34" i="2"/>
  <c r="O34" i="2"/>
  <c r="H34" i="2"/>
  <c r="G34" i="2"/>
  <c r="AW33" i="2"/>
  <c r="AO33" i="2"/>
  <c r="AE33" i="2"/>
  <c r="AY33" i="2" s="1"/>
  <c r="AA33" i="2"/>
  <c r="U33" i="2"/>
  <c r="O33" i="2"/>
  <c r="H33" i="2"/>
  <c r="G33" i="2"/>
  <c r="AW32" i="2"/>
  <c r="AO32" i="2"/>
  <c r="AE32" i="2"/>
  <c r="AY32" i="2" s="1"/>
  <c r="AA32" i="2"/>
  <c r="U32" i="2"/>
  <c r="O32" i="2"/>
  <c r="H32" i="2"/>
  <c r="G32" i="2"/>
  <c r="AW31" i="2"/>
  <c r="AO31" i="2"/>
  <c r="AE31" i="2"/>
  <c r="AY31" i="2" s="1"/>
  <c r="AA31" i="2"/>
  <c r="U31" i="2"/>
  <c r="O31" i="2"/>
  <c r="H31" i="2"/>
  <c r="G31" i="2"/>
  <c r="AW30" i="2"/>
  <c r="AO30" i="2"/>
  <c r="AE30" i="2"/>
  <c r="AY30" i="2" s="1"/>
  <c r="AA30" i="2"/>
  <c r="U30" i="2"/>
  <c r="O30" i="2"/>
  <c r="H30" i="2"/>
  <c r="G30" i="2"/>
  <c r="AW29" i="2"/>
  <c r="AO29" i="2"/>
  <c r="AE29" i="2"/>
  <c r="AY29" i="2" s="1"/>
  <c r="AA29" i="2"/>
  <c r="U29" i="2"/>
  <c r="O29" i="2"/>
  <c r="H29" i="2"/>
  <c r="G29" i="2"/>
  <c r="AW28" i="2"/>
  <c r="AO28" i="2"/>
  <c r="AE28" i="2"/>
  <c r="AY28" i="2" s="1"/>
  <c r="AA28" i="2"/>
  <c r="U28" i="2"/>
  <c r="O28" i="2"/>
  <c r="H28" i="2"/>
  <c r="G28" i="2"/>
  <c r="AW27" i="2"/>
  <c r="AO27" i="2"/>
  <c r="AE27" i="2"/>
  <c r="AY27" i="2" s="1"/>
  <c r="AA27" i="2"/>
  <c r="U27" i="2"/>
  <c r="O27" i="2"/>
  <c r="H27" i="2"/>
  <c r="G27" i="2"/>
  <c r="AW26" i="2"/>
  <c r="AO26" i="2"/>
  <c r="AE26" i="2"/>
  <c r="AY26" i="2" s="1"/>
  <c r="AA26" i="2"/>
  <c r="U26" i="2"/>
  <c r="O26" i="2"/>
  <c r="H26" i="2"/>
  <c r="G26" i="2"/>
  <c r="AW25" i="2"/>
  <c r="AO25" i="2"/>
  <c r="AE25" i="2"/>
  <c r="AY25" i="2" s="1"/>
  <c r="AA25" i="2"/>
  <c r="U25" i="2"/>
  <c r="O25" i="2"/>
  <c r="H25" i="2"/>
  <c r="G25" i="2"/>
  <c r="AW24" i="2"/>
  <c r="AO24" i="2"/>
  <c r="AE24" i="2"/>
  <c r="AY24" i="2" s="1"/>
  <c r="AA24" i="2"/>
  <c r="U24" i="2"/>
  <c r="O24" i="2"/>
  <c r="H24" i="2"/>
  <c r="G24" i="2"/>
  <c r="AW23" i="2"/>
  <c r="AO23" i="2"/>
  <c r="AE23" i="2"/>
  <c r="AY23" i="2" s="1"/>
  <c r="AA23" i="2"/>
  <c r="U23" i="2"/>
  <c r="O23" i="2"/>
  <c r="H23" i="2"/>
  <c r="G23" i="2"/>
  <c r="AW11" i="2"/>
  <c r="AO11" i="2"/>
  <c r="AE11" i="2"/>
  <c r="AA11" i="2"/>
  <c r="U11" i="2"/>
  <c r="O11" i="2"/>
  <c r="G11" i="2"/>
  <c r="AW17" i="2"/>
  <c r="AO17" i="2"/>
  <c r="AE17" i="2"/>
  <c r="AA17" i="2"/>
  <c r="U17" i="2"/>
  <c r="O17" i="2"/>
  <c r="G17" i="2"/>
  <c r="AW20" i="2"/>
  <c r="AO20" i="2"/>
  <c r="AE20" i="2"/>
  <c r="AA20" i="2"/>
  <c r="U20" i="2"/>
  <c r="O20" i="2"/>
  <c r="G20" i="2"/>
  <c r="AW14" i="2"/>
  <c r="AO14" i="2"/>
  <c r="AE14" i="2"/>
  <c r="AA14" i="2"/>
  <c r="U14" i="2"/>
  <c r="O14" i="2"/>
  <c r="G14" i="2"/>
  <c r="AW12" i="2"/>
  <c r="AO12" i="2"/>
  <c r="AE12" i="2"/>
  <c r="AA12" i="2"/>
  <c r="U12" i="2"/>
  <c r="O12" i="2"/>
  <c r="G12" i="2"/>
  <c r="AW10" i="2"/>
  <c r="AO10" i="2"/>
  <c r="AE10" i="2"/>
  <c r="AA10" i="2"/>
  <c r="U10" i="2"/>
  <c r="O10" i="2"/>
  <c r="G10" i="2"/>
  <c r="AW18" i="2"/>
  <c r="AO18" i="2"/>
  <c r="AE18" i="2"/>
  <c r="AA18" i="2"/>
  <c r="U18" i="2"/>
  <c r="O18" i="2"/>
  <c r="G18" i="2"/>
  <c r="AW13" i="2"/>
  <c r="AO13" i="2"/>
  <c r="AE13" i="2"/>
  <c r="AA13" i="2"/>
  <c r="U13" i="2"/>
  <c r="O13" i="2"/>
  <c r="G13" i="2"/>
  <c r="AW15" i="2"/>
  <c r="AO15" i="2"/>
  <c r="AE15" i="2"/>
  <c r="AA15" i="2"/>
  <c r="U15" i="2"/>
  <c r="O15" i="2"/>
  <c r="G15" i="2"/>
  <c r="AW19" i="2"/>
  <c r="AO19" i="2"/>
  <c r="AE19" i="2"/>
  <c r="AA19" i="2"/>
  <c r="U19" i="2"/>
  <c r="O19" i="2"/>
  <c r="G19" i="2"/>
  <c r="AW16" i="2"/>
  <c r="AO16" i="2"/>
  <c r="AE16" i="2"/>
  <c r="AA16" i="2"/>
  <c r="U16" i="2"/>
  <c r="O16" i="2"/>
  <c r="G16" i="2"/>
  <c r="AW21" i="2"/>
  <c r="AO21" i="2"/>
  <c r="AE21" i="2"/>
  <c r="AA21" i="2"/>
  <c r="U21" i="2"/>
  <c r="O21" i="2"/>
  <c r="AW22" i="2"/>
  <c r="AO22" i="2"/>
  <c r="AE22" i="2"/>
  <c r="AA22" i="2"/>
  <c r="U22" i="2"/>
  <c r="O22" i="2"/>
  <c r="AN22" i="2" l="1"/>
  <c r="AN16" i="2"/>
  <c r="AN15" i="2"/>
  <c r="AN18" i="2"/>
  <c r="AN12" i="2"/>
  <c r="AN20" i="2"/>
  <c r="AN11" i="2"/>
  <c r="AN24" i="2"/>
  <c r="AN26" i="2"/>
  <c r="AN28" i="2"/>
  <c r="AN30" i="2"/>
  <c r="AN32" i="2"/>
  <c r="AN34" i="2"/>
  <c r="AN36" i="2"/>
  <c r="AN38" i="2"/>
  <c r="AN40" i="2"/>
  <c r="AN42" i="2"/>
  <c r="AM33" i="2"/>
  <c r="AM35" i="2"/>
  <c r="V37" i="2"/>
  <c r="V39" i="2"/>
  <c r="V41" i="2"/>
  <c r="AN21" i="2"/>
  <c r="AN19" i="2"/>
  <c r="AN13" i="2"/>
  <c r="AN10" i="2"/>
  <c r="AN14" i="2"/>
  <c r="AN17" i="2"/>
  <c r="AN23" i="2"/>
  <c r="AN25" i="2"/>
  <c r="AN27" i="2"/>
  <c r="AN29" i="2"/>
  <c r="AN31" i="2"/>
  <c r="AN43" i="2"/>
  <c r="AM32" i="2"/>
  <c r="AN33" i="2"/>
  <c r="AM34" i="2"/>
  <c r="AN35" i="2"/>
  <c r="V36" i="2"/>
  <c r="AN37" i="2"/>
  <c r="V38" i="2"/>
  <c r="AN39" i="2"/>
  <c r="V40" i="2"/>
  <c r="AN41" i="2"/>
  <c r="V42" i="2"/>
  <c r="V22" i="2"/>
  <c r="AM21" i="2"/>
  <c r="V16" i="2"/>
  <c r="V19" i="2"/>
  <c r="V15" i="2"/>
  <c r="V13" i="2"/>
  <c r="V18" i="2"/>
  <c r="V10" i="2"/>
  <c r="V12" i="2"/>
  <c r="V14" i="2"/>
  <c r="V20" i="2"/>
  <c r="V17" i="2"/>
  <c r="V11" i="2"/>
  <c r="V23" i="2"/>
  <c r="V24" i="2"/>
  <c r="AM25" i="2"/>
  <c r="AM26" i="2"/>
  <c r="AM27" i="2"/>
  <c r="AM28" i="2"/>
  <c r="AM29" i="2"/>
  <c r="AM30" i="2"/>
  <c r="AM31" i="2"/>
  <c r="V43" i="2"/>
  <c r="V21" i="2"/>
  <c r="AM22" i="2"/>
  <c r="AM16" i="2"/>
  <c r="AM19" i="2"/>
  <c r="AM15" i="2"/>
  <c r="AM13" i="2"/>
  <c r="AM18" i="2"/>
  <c r="AM10" i="2"/>
  <c r="AM12" i="2"/>
  <c r="AM14" i="2"/>
  <c r="AM20" i="2"/>
  <c r="AM17" i="2"/>
  <c r="AM11" i="2"/>
  <c r="AM23" i="2"/>
  <c r="AM24" i="2"/>
  <c r="V26" i="2"/>
  <c r="V25" i="2"/>
  <c r="V27" i="2"/>
  <c r="V28" i="2"/>
  <c r="V29" i="2"/>
  <c r="V30" i="2"/>
  <c r="V31" i="2"/>
  <c r="V33" i="2"/>
  <c r="V35" i="2"/>
  <c r="V32" i="2"/>
  <c r="V34" i="2"/>
  <c r="AM36" i="2"/>
  <c r="AM37" i="2"/>
  <c r="AM38" i="2"/>
  <c r="AM39" i="2"/>
  <c r="AM40" i="2"/>
  <c r="AM41" i="2"/>
  <c r="AM42" i="2"/>
  <c r="AM43" i="2"/>
  <c r="AW46" i="2" l="1"/>
  <c r="AO46" i="2"/>
  <c r="AE46" i="2"/>
  <c r="AY46" i="2" s="1"/>
  <c r="AA46" i="2"/>
  <c r="U46" i="2"/>
  <c r="O46" i="2"/>
  <c r="H46" i="2"/>
  <c r="G46" i="2"/>
  <c r="AW45" i="2"/>
  <c r="AO45" i="2"/>
  <c r="AE45" i="2"/>
  <c r="AY45" i="2" s="1"/>
  <c r="AA45" i="2"/>
  <c r="U45" i="2"/>
  <c r="O45" i="2"/>
  <c r="H45" i="2"/>
  <c r="G45" i="2"/>
  <c r="AW44" i="2"/>
  <c r="AO44" i="2"/>
  <c r="AE44" i="2"/>
  <c r="AY44" i="2" s="1"/>
  <c r="AA44" i="2"/>
  <c r="U44" i="2"/>
  <c r="O44" i="2"/>
  <c r="H44" i="2"/>
  <c r="G44" i="2"/>
  <c r="C2" i="14609"/>
  <c r="V46" i="2" l="1"/>
  <c r="AN45" i="2"/>
  <c r="V44" i="2"/>
  <c r="AN44" i="2"/>
  <c r="V45" i="2"/>
  <c r="AN46" i="2"/>
  <c r="AM44" i="2"/>
  <c r="AM45" i="2"/>
  <c r="AM46" i="2"/>
  <c r="A9" i="2"/>
  <c r="AF5" i="9" l="1"/>
  <c r="AF4" i="9"/>
  <c r="AF3" i="9"/>
  <c r="C7" i="9"/>
  <c r="AE5" i="9"/>
  <c r="AE4" i="9"/>
  <c r="AE3" i="9"/>
  <c r="AY1" i="6" l="1"/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  <c r="A1" i="14608" l="1"/>
  <c r="A4" i="14608" l="1"/>
  <c r="C4" i="14608" l="1"/>
  <c r="AI1" i="2" l="1"/>
  <c r="J10" i="9"/>
  <c r="J11" i="9"/>
  <c r="J12" i="9" s="1"/>
  <c r="J13" i="9" s="1"/>
  <c r="J14" i="9" s="1"/>
  <c r="J15" i="9" s="1"/>
  <c r="J16" i="9" s="1"/>
  <c r="AS7" i="2"/>
  <c r="AU7" i="2"/>
  <c r="F8" i="2"/>
  <c r="AJ7" i="2"/>
  <c r="L21" i="9"/>
  <c r="L22" i="9" s="1"/>
  <c r="L23" i="9" s="1"/>
  <c r="H8" i="2"/>
  <c r="G3" i="2"/>
  <c r="U9" i="2"/>
  <c r="O9" i="2"/>
  <c r="AA9" i="2"/>
  <c r="H9" i="2"/>
  <c r="AW9" i="2"/>
  <c r="AG1" i="2"/>
  <c r="AE9" i="2"/>
  <c r="AY9" i="2" s="1"/>
  <c r="K7" i="14600"/>
  <c r="B6" i="14600"/>
  <c r="J2" i="14600"/>
  <c r="B2" i="14606"/>
  <c r="C2" i="14606"/>
  <c r="D2" i="14606"/>
  <c r="E2" i="14606"/>
  <c r="F2" i="14606"/>
  <c r="G2" i="14606"/>
  <c r="H2" i="14606"/>
  <c r="I2" i="14606"/>
  <c r="J2" i="14606"/>
  <c r="M5" i="14606"/>
  <c r="M6" i="14606"/>
  <c r="M7" i="14606"/>
  <c r="M8" i="14606"/>
  <c r="M9" i="14606"/>
  <c r="M10" i="14606"/>
  <c r="M11" i="14606"/>
  <c r="M12" i="14606"/>
  <c r="L13" i="14606"/>
  <c r="M13" i="14606" s="1"/>
  <c r="L14" i="14606"/>
  <c r="O6" i="14606"/>
  <c r="O3" i="14606"/>
  <c r="O4" i="14606"/>
  <c r="O5" i="14606"/>
  <c r="O2" i="14606"/>
  <c r="G9" i="2"/>
  <c r="AK9" i="2"/>
  <c r="AO9" i="2"/>
  <c r="AG7" i="2"/>
  <c r="BA1" i="2"/>
  <c r="BM1" i="2"/>
  <c r="BL1" i="2"/>
  <c r="BK1" i="2"/>
  <c r="BJ1" i="2"/>
  <c r="BI1" i="2"/>
  <c r="BH1" i="2"/>
  <c r="BG1" i="2"/>
  <c r="BF1" i="2"/>
  <c r="BE1" i="2"/>
  <c r="BD1" i="2"/>
  <c r="BC1" i="2"/>
  <c r="BB1" i="2"/>
  <c r="A3" i="2"/>
  <c r="A6" i="2" s="1"/>
  <c r="L1" i="9"/>
  <c r="F2" i="6"/>
  <c r="A6" i="14600"/>
  <c r="A1" i="2"/>
  <c r="AX23" i="2" l="1"/>
  <c r="AR23" i="2" s="1"/>
  <c r="AT23" i="2" s="1"/>
  <c r="AX17" i="2"/>
  <c r="AX29" i="2"/>
  <c r="AR29" i="2" s="1"/>
  <c r="AT29" i="2" s="1"/>
  <c r="AX42" i="2"/>
  <c r="AR42" i="2" s="1"/>
  <c r="AT42" i="2" s="1"/>
  <c r="AX13" i="2"/>
  <c r="AX21" i="2"/>
  <c r="AX26" i="2"/>
  <c r="AR26" i="2" s="1"/>
  <c r="AT26" i="2" s="1"/>
  <c r="AX33" i="2"/>
  <c r="AR33" i="2" s="1"/>
  <c r="AT33" i="2" s="1"/>
  <c r="AX41" i="2"/>
  <c r="AR41" i="2" s="1"/>
  <c r="AT41" i="2" s="1"/>
  <c r="AX44" i="2"/>
  <c r="AR44" i="2" s="1"/>
  <c r="AT44" i="2" s="1"/>
  <c r="AX45" i="2"/>
  <c r="AR45" i="2" s="1"/>
  <c r="AT45" i="2" s="1"/>
  <c r="AX40" i="2"/>
  <c r="AR40" i="2" s="1"/>
  <c r="AT40" i="2" s="1"/>
  <c r="AX24" i="2"/>
  <c r="AR24" i="2" s="1"/>
  <c r="AT24" i="2" s="1"/>
  <c r="AX39" i="2"/>
  <c r="AR39" i="2" s="1"/>
  <c r="AT39" i="2" s="1"/>
  <c r="AX16" i="2"/>
  <c r="AX11" i="2"/>
  <c r="AX36" i="2"/>
  <c r="AR36" i="2" s="1"/>
  <c r="AT36" i="2" s="1"/>
  <c r="AX32" i="2"/>
  <c r="AR32" i="2" s="1"/>
  <c r="AT32" i="2" s="1"/>
  <c r="AX18" i="2"/>
  <c r="AX19" i="2"/>
  <c r="AX28" i="2"/>
  <c r="AR28" i="2" s="1"/>
  <c r="AT28" i="2" s="1"/>
  <c r="AX35" i="2"/>
  <c r="AR35" i="2" s="1"/>
  <c r="AT35" i="2" s="1"/>
  <c r="AX43" i="2"/>
  <c r="AR43" i="2" s="1"/>
  <c r="AT43" i="2" s="1"/>
  <c r="AX27" i="2"/>
  <c r="AR27" i="2" s="1"/>
  <c r="AT27" i="2" s="1"/>
  <c r="AX12" i="2"/>
  <c r="AX14" i="2"/>
  <c r="AX25" i="2"/>
  <c r="AR25" i="2" s="1"/>
  <c r="AT25" i="2" s="1"/>
  <c r="AX38" i="2"/>
  <c r="AR38" i="2" s="1"/>
  <c r="AT38" i="2" s="1"/>
  <c r="AX34" i="2"/>
  <c r="AR34" i="2" s="1"/>
  <c r="AT34" i="2" s="1"/>
  <c r="AX10" i="2"/>
  <c r="AX22" i="2"/>
  <c r="AX30" i="2"/>
  <c r="AR30" i="2" s="1"/>
  <c r="AT30" i="2" s="1"/>
  <c r="AX37" i="2"/>
  <c r="AR37" i="2" s="1"/>
  <c r="AT37" i="2" s="1"/>
  <c r="AX46" i="2"/>
  <c r="AR46" i="2" s="1"/>
  <c r="AT46" i="2" s="1"/>
  <c r="AX20" i="2"/>
  <c r="AX15" i="2"/>
  <c r="AX31" i="2"/>
  <c r="AR31" i="2" s="1"/>
  <c r="AT31" i="2" s="1"/>
  <c r="AJ41" i="2"/>
  <c r="AB41" i="2" s="1"/>
  <c r="AJ39" i="2"/>
  <c r="AB39" i="2" s="1"/>
  <c r="AJ37" i="2"/>
  <c r="AB37" i="2" s="1"/>
  <c r="AJ35" i="2"/>
  <c r="AB35" i="2" s="1"/>
  <c r="AJ17" i="2"/>
  <c r="AB17" i="2" s="1"/>
  <c r="AJ14" i="2"/>
  <c r="AB14" i="2" s="1"/>
  <c r="AJ10" i="2"/>
  <c r="AB10" i="2" s="1"/>
  <c r="AJ19" i="2"/>
  <c r="AB19" i="2" s="1"/>
  <c r="AJ42" i="2"/>
  <c r="AB42" i="2" s="1"/>
  <c r="AJ40" i="2"/>
  <c r="AB40" i="2" s="1"/>
  <c r="AJ38" i="2"/>
  <c r="AB38" i="2" s="1"/>
  <c r="AJ36" i="2"/>
  <c r="AB36" i="2" s="1"/>
  <c r="AJ34" i="2"/>
  <c r="AB34" i="2" s="1"/>
  <c r="AJ32" i="2"/>
  <c r="AB32" i="2" s="1"/>
  <c r="AJ30" i="2"/>
  <c r="AB30" i="2" s="1"/>
  <c r="AJ28" i="2"/>
  <c r="AB28" i="2" s="1"/>
  <c r="AJ26" i="2"/>
  <c r="AB26" i="2" s="1"/>
  <c r="AJ24" i="2"/>
  <c r="AB24" i="2" s="1"/>
  <c r="AJ11" i="2"/>
  <c r="AB11" i="2" s="1"/>
  <c r="AJ20" i="2"/>
  <c r="AB20" i="2" s="1"/>
  <c r="AJ12" i="2"/>
  <c r="AB12" i="2" s="1"/>
  <c r="AJ18" i="2"/>
  <c r="AB18" i="2" s="1"/>
  <c r="AJ15" i="2"/>
  <c r="AB15" i="2" s="1"/>
  <c r="AJ16" i="2"/>
  <c r="AB16" i="2" s="1"/>
  <c r="AJ22" i="2"/>
  <c r="AB22" i="2" s="1"/>
  <c r="AJ43" i="2"/>
  <c r="AB43" i="2" s="1"/>
  <c r="AJ33" i="2"/>
  <c r="AB33" i="2" s="1"/>
  <c r="AJ31" i="2"/>
  <c r="AB31" i="2" s="1"/>
  <c r="AJ29" i="2"/>
  <c r="AB29" i="2" s="1"/>
  <c r="AJ27" i="2"/>
  <c r="AB27" i="2" s="1"/>
  <c r="AJ25" i="2"/>
  <c r="AB25" i="2" s="1"/>
  <c r="AJ23" i="2"/>
  <c r="AB23" i="2" s="1"/>
  <c r="AJ13" i="2"/>
  <c r="AB13" i="2" s="1"/>
  <c r="AJ21" i="2"/>
  <c r="AB21" i="2" s="1"/>
  <c r="AJ44" i="2"/>
  <c r="AB44" i="2" s="1"/>
  <c r="AJ46" i="2"/>
  <c r="AB46" i="2" s="1"/>
  <c r="AJ45" i="2"/>
  <c r="AB45" i="2" s="1"/>
  <c r="G21" i="2"/>
  <c r="G22" i="2"/>
  <c r="AL42" i="2"/>
  <c r="AL40" i="2"/>
  <c r="AL38" i="2"/>
  <c r="AL36" i="2"/>
  <c r="AL34" i="2"/>
  <c r="AL32" i="2"/>
  <c r="AL30" i="2"/>
  <c r="AL28" i="2"/>
  <c r="AL26" i="2"/>
  <c r="AL24" i="2"/>
  <c r="AL11" i="2"/>
  <c r="H11" i="2" s="1"/>
  <c r="AL20" i="2"/>
  <c r="H20" i="2" s="1"/>
  <c r="AL12" i="2"/>
  <c r="H12" i="2" s="1"/>
  <c r="AL18" i="2"/>
  <c r="H18" i="2" s="1"/>
  <c r="AL15" i="2"/>
  <c r="H15" i="2" s="1"/>
  <c r="AL16" i="2"/>
  <c r="H16" i="2" s="1"/>
  <c r="AL22" i="2"/>
  <c r="H22" i="2" s="1"/>
  <c r="AL35" i="2"/>
  <c r="AL29" i="2"/>
  <c r="AL25" i="2"/>
  <c r="AL17" i="2"/>
  <c r="H17" i="2" s="1"/>
  <c r="AL14" i="2"/>
  <c r="H14" i="2" s="1"/>
  <c r="AL10" i="2"/>
  <c r="H10" i="2" s="1"/>
  <c r="AL13" i="2"/>
  <c r="H13" i="2" s="1"/>
  <c r="AL21" i="2"/>
  <c r="H21" i="2" s="1"/>
  <c r="AL43" i="2"/>
  <c r="AL41" i="2"/>
  <c r="AL39" i="2"/>
  <c r="AL37" i="2"/>
  <c r="AL33" i="2"/>
  <c r="AL31" i="2"/>
  <c r="AL27" i="2"/>
  <c r="AL23" i="2"/>
  <c r="AL19" i="2"/>
  <c r="H19" i="2" s="1"/>
  <c r="AL46" i="2"/>
  <c r="AL45" i="2"/>
  <c r="AL44" i="2"/>
  <c r="J17" i="9"/>
  <c r="J18" i="9" s="1"/>
  <c r="J19" i="9" s="1"/>
  <c r="J20" i="9" s="1"/>
  <c r="J21" i="9" s="1"/>
  <c r="J22" i="9" s="1"/>
  <c r="J23" i="9" s="1"/>
  <c r="G4" i="2"/>
  <c r="J16" i="14608" s="1"/>
  <c r="J6" i="14608"/>
  <c r="AN9" i="2"/>
  <c r="AX9" i="2"/>
  <c r="AR9" i="2" s="1"/>
  <c r="AT9" i="2" s="1"/>
  <c r="G8" i="2"/>
  <c r="AL9" i="2"/>
  <c r="L1" i="14606"/>
  <c r="A10" i="14606" s="1"/>
  <c r="B10" i="14606" s="1"/>
  <c r="AF6" i="2"/>
  <c r="A7" i="2"/>
  <c r="B7" i="14600"/>
  <c r="V9" i="2"/>
  <c r="AM9" i="2"/>
  <c r="M14" i="14606"/>
  <c r="L15" i="14606"/>
  <c r="AJ9" i="2"/>
  <c r="AY16" i="2"/>
  <c r="B9" i="14600"/>
  <c r="AR16" i="2" l="1"/>
  <c r="AG25" i="2"/>
  <c r="AD25" i="2"/>
  <c r="AC25" i="2"/>
  <c r="AQ25" i="2"/>
  <c r="AF25" i="2"/>
  <c r="AQ30" i="2"/>
  <c r="AC30" i="2"/>
  <c r="AG30" i="2"/>
  <c r="AD30" i="2"/>
  <c r="AF30" i="2"/>
  <c r="AQ37" i="2"/>
  <c r="AG37" i="2"/>
  <c r="AD37" i="2"/>
  <c r="AC37" i="2"/>
  <c r="AF37" i="2"/>
  <c r="AQ21" i="2"/>
  <c r="AC21" i="2"/>
  <c r="AD21" i="2"/>
  <c r="AQ27" i="2"/>
  <c r="AC27" i="2"/>
  <c r="AG27" i="2"/>
  <c r="AD27" i="2"/>
  <c r="AF27" i="2"/>
  <c r="AQ43" i="2"/>
  <c r="AC43" i="2"/>
  <c r="AG43" i="2"/>
  <c r="AD43" i="2"/>
  <c r="AF43" i="2"/>
  <c r="AD18" i="2"/>
  <c r="AQ18" i="2"/>
  <c r="AC18" i="2"/>
  <c r="AD24" i="2"/>
  <c r="AG24" i="2"/>
  <c r="AC24" i="2"/>
  <c r="AQ24" i="2"/>
  <c r="AF24" i="2"/>
  <c r="AG32" i="2"/>
  <c r="AC32" i="2"/>
  <c r="AD32" i="2"/>
  <c r="AQ32" i="2"/>
  <c r="AF32" i="2"/>
  <c r="AG40" i="2"/>
  <c r="AC40" i="2"/>
  <c r="AQ40" i="2"/>
  <c r="AD40" i="2"/>
  <c r="AF40" i="2"/>
  <c r="AC14" i="2"/>
  <c r="AD14" i="2"/>
  <c r="AQ14" i="2"/>
  <c r="AQ39" i="2"/>
  <c r="AD39" i="2"/>
  <c r="AG39" i="2"/>
  <c r="AC39" i="2"/>
  <c r="AF39" i="2"/>
  <c r="AQ22" i="2"/>
  <c r="AQ33" i="2"/>
  <c r="AD33" i="2"/>
  <c r="AC33" i="2"/>
  <c r="AG33" i="2"/>
  <c r="AF33" i="2"/>
  <c r="AQ11" i="2"/>
  <c r="AD11" i="2"/>
  <c r="AC11" i="2"/>
  <c r="AQ10" i="2"/>
  <c r="AD10" i="2"/>
  <c r="AC10" i="2"/>
  <c r="AQ45" i="2"/>
  <c r="AF45" i="2"/>
  <c r="AD45" i="2"/>
  <c r="AG45" i="2"/>
  <c r="AC45" i="2"/>
  <c r="AC13" i="2"/>
  <c r="AQ13" i="2"/>
  <c r="AD13" i="2"/>
  <c r="AQ29" i="2"/>
  <c r="AC29" i="2"/>
  <c r="AD29" i="2"/>
  <c r="AG29" i="2"/>
  <c r="AF29" i="2"/>
  <c r="AD22" i="2"/>
  <c r="AC22" i="2"/>
  <c r="AC12" i="2"/>
  <c r="AQ12" i="2"/>
  <c r="AD12" i="2"/>
  <c r="AG26" i="2"/>
  <c r="AC26" i="2"/>
  <c r="AD26" i="2"/>
  <c r="AQ26" i="2"/>
  <c r="AF26" i="2"/>
  <c r="AC34" i="2"/>
  <c r="AG34" i="2"/>
  <c r="AQ34" i="2"/>
  <c r="AD34" i="2"/>
  <c r="AF34" i="2"/>
  <c r="AD42" i="2"/>
  <c r="AQ42" i="2"/>
  <c r="AG42" i="2"/>
  <c r="AC42" i="2"/>
  <c r="AF42" i="2"/>
  <c r="AC17" i="2"/>
  <c r="AQ17" i="2"/>
  <c r="AD17" i="2"/>
  <c r="AQ41" i="2"/>
  <c r="AD41" i="2"/>
  <c r="AC41" i="2"/>
  <c r="AG41" i="2"/>
  <c r="AF41" i="2"/>
  <c r="AC44" i="2"/>
  <c r="AF44" i="2"/>
  <c r="AQ44" i="2"/>
  <c r="AD44" i="2"/>
  <c r="AG44" i="2"/>
  <c r="AC15" i="2"/>
  <c r="AQ15" i="2"/>
  <c r="AD15" i="2"/>
  <c r="AC38" i="2"/>
  <c r="AG38" i="2"/>
  <c r="AD38" i="2"/>
  <c r="AQ38" i="2"/>
  <c r="AF38" i="2"/>
  <c r="AD46" i="2"/>
  <c r="AQ46" i="2"/>
  <c r="AG46" i="2"/>
  <c r="AC46" i="2"/>
  <c r="AF46" i="2"/>
  <c r="AC23" i="2"/>
  <c r="AD23" i="2"/>
  <c r="AQ23" i="2"/>
  <c r="AG23" i="2"/>
  <c r="AF23" i="2"/>
  <c r="AQ31" i="2"/>
  <c r="AD31" i="2"/>
  <c r="AC31" i="2"/>
  <c r="AG31" i="2"/>
  <c r="AF31" i="2"/>
  <c r="AQ16" i="2"/>
  <c r="AD16" i="2"/>
  <c r="AC16" i="2"/>
  <c r="AG16" i="2"/>
  <c r="AC20" i="2"/>
  <c r="AD20" i="2"/>
  <c r="AQ20" i="2"/>
  <c r="AQ28" i="2"/>
  <c r="AG28" i="2"/>
  <c r="AD28" i="2"/>
  <c r="AC28" i="2"/>
  <c r="AF28" i="2"/>
  <c r="AD36" i="2"/>
  <c r="AC36" i="2"/>
  <c r="AG36" i="2"/>
  <c r="AQ36" i="2"/>
  <c r="AF36" i="2"/>
  <c r="AC19" i="2"/>
  <c r="AQ19" i="2"/>
  <c r="AD19" i="2"/>
  <c r="AQ35" i="2"/>
  <c r="AD35" i="2"/>
  <c r="AG35" i="2"/>
  <c r="AC35" i="2"/>
  <c r="AF35" i="2"/>
  <c r="AT16" i="2"/>
  <c r="AF16" i="2"/>
  <c r="A14" i="14606"/>
  <c r="B14" i="14606" s="1"/>
  <c r="C14" i="14606" s="1"/>
  <c r="A13" i="14606"/>
  <c r="B13" i="14606" s="1"/>
  <c r="C13" i="14606" s="1"/>
  <c r="D13" i="14606" s="1"/>
  <c r="A4" i="14606"/>
  <c r="B4" i="14606" s="1"/>
  <c r="C4" i="14606" s="1"/>
  <c r="B10" i="14600"/>
  <c r="B11" i="14600"/>
  <c r="B13" i="14600"/>
  <c r="P9" i="14600"/>
  <c r="B14" i="14600"/>
  <c r="B12" i="14600"/>
  <c r="A5" i="14606"/>
  <c r="B5" i="14606" s="1"/>
  <c r="C5" i="14606" s="1"/>
  <c r="A7" i="14606"/>
  <c r="B7" i="14606" s="1"/>
  <c r="C7" i="14606" s="1"/>
  <c r="A6" i="14606"/>
  <c r="B6" i="14606" s="1"/>
  <c r="C6" i="14606" s="1"/>
  <c r="A9" i="14606"/>
  <c r="B9" i="14606" s="1"/>
  <c r="C9" i="14606" s="1"/>
  <c r="A12" i="14606"/>
  <c r="B12" i="14606" s="1"/>
  <c r="C12" i="14606" s="1"/>
  <c r="AB9" i="2"/>
  <c r="A11" i="14606"/>
  <c r="B11" i="14606" s="1"/>
  <c r="C11" i="14606" s="1"/>
  <c r="A8" i="14606"/>
  <c r="B8" i="14606" s="1"/>
  <c r="C8" i="14606" s="1"/>
  <c r="M15" i="14606"/>
  <c r="A15" i="14606" s="1"/>
  <c r="L16" i="14606"/>
  <c r="C10" i="14606"/>
  <c r="D10" i="14606" s="1"/>
  <c r="AY21" i="2"/>
  <c r="AY18" i="2"/>
  <c r="AY14" i="2"/>
  <c r="AY22" i="2"/>
  <c r="AY11" i="2"/>
  <c r="AY10" i="2"/>
  <c r="AY13" i="2"/>
  <c r="AY12" i="2"/>
  <c r="AY17" i="2"/>
  <c r="AY15" i="2"/>
  <c r="AY20" i="2"/>
  <c r="AY19" i="2"/>
  <c r="A4" i="2"/>
  <c r="AR19" i="2" l="1"/>
  <c r="AR20" i="2"/>
  <c r="AR15" i="2"/>
  <c r="AR17" i="2"/>
  <c r="AR12" i="2"/>
  <c r="AR13" i="2"/>
  <c r="AR10" i="2"/>
  <c r="AR11" i="2"/>
  <c r="AR22" i="2"/>
  <c r="AR14" i="2"/>
  <c r="AR18" i="2"/>
  <c r="AR21" i="2"/>
  <c r="D11" i="14606"/>
  <c r="E11" i="14606" s="1"/>
  <c r="AD9" i="2"/>
  <c r="AG9" i="2"/>
  <c r="AQ9" i="2"/>
  <c r="AF9" i="2"/>
  <c r="AC9" i="2"/>
  <c r="B4" i="2"/>
  <c r="A2" i="2"/>
  <c r="AS45" i="2"/>
  <c r="AS46" i="2"/>
  <c r="AS38" i="2"/>
  <c r="AS40" i="2"/>
  <c r="AS42" i="2"/>
  <c r="AS27" i="2"/>
  <c r="AS33" i="2"/>
  <c r="AS30" i="2"/>
  <c r="AS16" i="2"/>
  <c r="AS26" i="2"/>
  <c r="AS43" i="2"/>
  <c r="AS28" i="2"/>
  <c r="AS25" i="2"/>
  <c r="AS31" i="2"/>
  <c r="AS41" i="2"/>
  <c r="AS37" i="2"/>
  <c r="AS24" i="2"/>
  <c r="AS35" i="2"/>
  <c r="AS39" i="2"/>
  <c r="AS29" i="2"/>
  <c r="AS23" i="2"/>
  <c r="AS32" i="2"/>
  <c r="AS34" i="2"/>
  <c r="AS36" i="2"/>
  <c r="AS44" i="2"/>
  <c r="F2" i="2"/>
  <c r="A3" i="14608"/>
  <c r="AT21" i="2" l="1"/>
  <c r="AT11" i="2"/>
  <c r="AT18" i="2"/>
  <c r="AT10" i="2"/>
  <c r="AT15" i="2"/>
  <c r="AT14" i="2"/>
  <c r="AT13" i="2"/>
  <c r="AT20" i="2"/>
  <c r="AT17" i="2"/>
  <c r="AT22" i="2"/>
  <c r="AT12" i="2"/>
  <c r="AT19" i="2"/>
  <c r="AF17" i="2"/>
  <c r="D6" i="14606"/>
  <c r="E6" i="14606" s="1"/>
  <c r="D14" i="14606"/>
  <c r="E14" i="14606" s="1"/>
  <c r="F14" i="14606" s="1"/>
  <c r="J1" i="2"/>
  <c r="A5" i="2"/>
  <c r="D7" i="14606"/>
  <c r="E7" i="14606" s="1"/>
  <c r="E13" i="14606"/>
  <c r="F13" i="14606" s="1"/>
  <c r="L17" i="14606"/>
  <c r="M16" i="14606"/>
  <c r="A16" i="14606" s="1"/>
  <c r="D9" i="14606"/>
  <c r="E9" i="14606" s="1"/>
  <c r="F9" i="14606" s="1"/>
  <c r="D4" i="14606"/>
  <c r="E4" i="14606" s="1"/>
  <c r="D5" i="14606"/>
  <c r="D12" i="14606"/>
  <c r="E12" i="14606" s="1"/>
  <c r="F12" i="14606" s="1"/>
  <c r="G12" i="14606" s="1"/>
  <c r="D8" i="14606"/>
  <c r="E10" i="14606"/>
  <c r="F10" i="14606" s="1"/>
  <c r="B15" i="14606"/>
  <c r="C15" i="14606" s="1"/>
  <c r="F11" i="14606"/>
  <c r="G11" i="14606" s="1"/>
  <c r="AS11" i="2"/>
  <c r="AU16" i="2"/>
  <c r="AU33" i="2"/>
  <c r="AU37" i="2"/>
  <c r="AU25" i="2"/>
  <c r="AU42" i="2"/>
  <c r="AU28" i="2"/>
  <c r="AU34" i="2"/>
  <c r="AU40" i="2"/>
  <c r="AU38" i="2"/>
  <c r="AU29" i="2"/>
  <c r="AU30" i="2"/>
  <c r="AU23" i="2"/>
  <c r="AU31" i="2"/>
  <c r="AU27" i="2"/>
  <c r="AU41" i="2"/>
  <c r="AU32" i="2"/>
  <c r="AU26" i="2"/>
  <c r="AU39" i="2"/>
  <c r="AU36" i="2"/>
  <c r="AU43" i="2"/>
  <c r="AU35" i="2"/>
  <c r="AU24" i="2"/>
  <c r="AU14" i="2"/>
  <c r="AU20" i="2"/>
  <c r="AS22" i="2"/>
  <c r="AU19" i="2"/>
  <c r="D3" i="2"/>
  <c r="AU11" i="2"/>
  <c r="AS10" i="2"/>
  <c r="AS14" i="2"/>
  <c r="AS20" i="2"/>
  <c r="AU22" i="2"/>
  <c r="AS19" i="2"/>
  <c r="AU45" i="2"/>
  <c r="AU46" i="2"/>
  <c r="AS21" i="2"/>
  <c r="AU18" i="2"/>
  <c r="AU15" i="2"/>
  <c r="AU13" i="2"/>
  <c r="AU17" i="2"/>
  <c r="AU12" i="2"/>
  <c r="AS9" i="2"/>
  <c r="AU21" i="2"/>
  <c r="AS18" i="2"/>
  <c r="AS15" i="2"/>
  <c r="AS13" i="2"/>
  <c r="AS17" i="2"/>
  <c r="AS12" i="2"/>
  <c r="H2" i="2"/>
  <c r="AU44" i="2"/>
  <c r="AV12" i="2" l="1"/>
  <c r="AV17" i="2"/>
  <c r="AG17" i="2" s="1"/>
  <c r="AV13" i="2"/>
  <c r="AV15" i="2"/>
  <c r="AV18" i="2"/>
  <c r="AV21" i="2"/>
  <c r="AV19" i="2"/>
  <c r="AV20" i="2"/>
  <c r="AV14" i="2"/>
  <c r="AV22" i="2"/>
  <c r="AV24" i="2"/>
  <c r="AV35" i="2"/>
  <c r="AV43" i="2"/>
  <c r="AV36" i="2"/>
  <c r="AV39" i="2"/>
  <c r="AV26" i="2"/>
  <c r="AV32" i="2"/>
  <c r="AV41" i="2"/>
  <c r="AV27" i="2"/>
  <c r="AV31" i="2"/>
  <c r="AV23" i="2"/>
  <c r="AV30" i="2"/>
  <c r="AV29" i="2"/>
  <c r="AV38" i="2"/>
  <c r="AV40" i="2"/>
  <c r="AV34" i="2"/>
  <c r="AV28" i="2"/>
  <c r="AV42" i="2"/>
  <c r="AV25" i="2"/>
  <c r="AV37" i="2"/>
  <c r="AV33" i="2"/>
  <c r="AV16" i="2"/>
  <c r="AV11" i="2"/>
  <c r="AV44" i="2"/>
  <c r="AV45" i="2"/>
  <c r="AV46" i="2"/>
  <c r="H4" i="14608"/>
  <c r="A6" i="14608"/>
  <c r="F7" i="14606"/>
  <c r="G7" i="14606" s="1"/>
  <c r="H7" i="14606" s="1"/>
  <c r="F4" i="14606"/>
  <c r="G4" i="14606" s="1"/>
  <c r="H4" i="14606" s="1"/>
  <c r="G13" i="14606"/>
  <c r="H13" i="14606" s="1"/>
  <c r="I2" i="2"/>
  <c r="G7" i="9"/>
  <c r="D4" i="2"/>
  <c r="H3" i="2"/>
  <c r="I3" i="2" s="1"/>
  <c r="D7" i="9"/>
  <c r="M17" i="14606"/>
  <c r="A17" i="14606" s="1"/>
  <c r="L18" i="14606"/>
  <c r="G9" i="14606"/>
  <c r="D15" i="14606"/>
  <c r="E15" i="14606" s="1"/>
  <c r="E5" i="14606"/>
  <c r="F6" i="14606"/>
  <c r="G6" i="14606" s="1"/>
  <c r="H6" i="14606" s="1"/>
  <c r="H12" i="14606"/>
  <c r="G14" i="14606"/>
  <c r="H14" i="14606" s="1"/>
  <c r="G10" i="14606"/>
  <c r="E8" i="14606"/>
  <c r="B16" i="14606"/>
  <c r="H9" i="14606"/>
  <c r="H11" i="14606"/>
  <c r="AU9" i="2"/>
  <c r="AU10" i="2"/>
  <c r="AV10" i="2" l="1"/>
  <c r="AG20" i="2"/>
  <c r="AF20" i="2"/>
  <c r="AG15" i="2"/>
  <c r="AF15" i="2"/>
  <c r="AF22" i="2"/>
  <c r="AG22" i="2"/>
  <c r="AG19" i="2"/>
  <c r="AF19" i="2"/>
  <c r="AG13" i="2"/>
  <c r="AF13" i="2"/>
  <c r="AF11" i="2"/>
  <c r="AG11" i="2"/>
  <c r="AF21" i="2"/>
  <c r="AG21" i="2"/>
  <c r="AG14" i="2"/>
  <c r="AF14" i="2"/>
  <c r="AG18" i="2"/>
  <c r="AF18" i="2"/>
  <c r="AG12" i="2"/>
  <c r="AF12" i="2"/>
  <c r="E20" i="9"/>
  <c r="E18" i="9"/>
  <c r="E19" i="9"/>
  <c r="E16" i="9"/>
  <c r="E17" i="9"/>
  <c r="E14" i="9"/>
  <c r="E15" i="9"/>
  <c r="E12" i="9"/>
  <c r="E13" i="9"/>
  <c r="E10" i="9"/>
  <c r="E11" i="9"/>
  <c r="H10" i="9"/>
  <c r="H11" i="9" s="1"/>
  <c r="A16" i="14608"/>
  <c r="I4" i="14606"/>
  <c r="J4" i="14606" s="1"/>
  <c r="N4" i="14606" s="1"/>
  <c r="AV9" i="2"/>
  <c r="H10" i="14606"/>
  <c r="I10" i="14606" s="1"/>
  <c r="F5" i="14606"/>
  <c r="M18" i="14606"/>
  <c r="A18" i="14606" s="1"/>
  <c r="L19" i="14606"/>
  <c r="I9" i="14606"/>
  <c r="J9" i="14606" s="1"/>
  <c r="I11" i="14606"/>
  <c r="J11" i="14606" s="1"/>
  <c r="C16" i="14606"/>
  <c r="F8" i="14606"/>
  <c r="G8" i="14606" s="1"/>
  <c r="I14" i="14606"/>
  <c r="J14" i="14606" s="1"/>
  <c r="I6" i="14606"/>
  <c r="J6" i="14606" s="1"/>
  <c r="I12" i="14606"/>
  <c r="J12" i="14606" s="1"/>
  <c r="I7" i="14606"/>
  <c r="J7" i="14606" s="1"/>
  <c r="B17" i="14606"/>
  <c r="C17" i="14606" s="1"/>
  <c r="I13" i="14606"/>
  <c r="J13" i="14606" s="1"/>
  <c r="F15" i="14606"/>
  <c r="AG10" i="2" l="1"/>
  <c r="AF10" i="2"/>
  <c r="H12" i="9"/>
  <c r="J10" i="14606"/>
  <c r="B18" i="14606"/>
  <c r="C18" i="14606" s="1"/>
  <c r="G15" i="14606"/>
  <c r="D17" i="14606"/>
  <c r="H8" i="14606"/>
  <c r="I8" i="14606" s="1"/>
  <c r="J8" i="14606" s="1"/>
  <c r="M19" i="14606"/>
  <c r="A19" i="14606" s="1"/>
  <c r="L20" i="14606"/>
  <c r="G5" i="14606"/>
  <c r="H5" i="14606" s="1"/>
  <c r="D16" i="14606"/>
  <c r="H13" i="9" l="1"/>
  <c r="H14" i="9" s="1"/>
  <c r="L5" i="14608"/>
  <c r="L4" i="14608"/>
  <c r="E16" i="14606"/>
  <c r="F16" i="14606" s="1"/>
  <c r="G16" i="14606" s="1"/>
  <c r="H16" i="14606" s="1"/>
  <c r="B19" i="14606"/>
  <c r="C19" i="14606" s="1"/>
  <c r="H15" i="14606"/>
  <c r="I5" i="14606"/>
  <c r="J5" i="14606" s="1"/>
  <c r="D18" i="14606"/>
  <c r="E17" i="14606"/>
  <c r="M20" i="14606"/>
  <c r="A20" i="14606" s="1"/>
  <c r="L21" i="14606"/>
  <c r="K10" i="14600"/>
  <c r="K13" i="14600"/>
  <c r="K11" i="14600"/>
  <c r="K14" i="14600"/>
  <c r="K12" i="14600"/>
  <c r="P12" i="14600" l="1"/>
  <c r="P14" i="14600"/>
  <c r="P11" i="14600"/>
  <c r="P13" i="14600"/>
  <c r="P10" i="14600"/>
  <c r="H15" i="9"/>
  <c r="H16" i="9" s="1"/>
  <c r="I16" i="14606"/>
  <c r="J16" i="14606" s="1"/>
  <c r="F17" i="14606"/>
  <c r="G17" i="14606" s="1"/>
  <c r="H17" i="14606" s="1"/>
  <c r="B20" i="14606"/>
  <c r="C20" i="14606" s="1"/>
  <c r="E18" i="14606"/>
  <c r="F18" i="14606" s="1"/>
  <c r="G18" i="14606" s="1"/>
  <c r="D19" i="14606"/>
  <c r="E19" i="14606" s="1"/>
  <c r="I15" i="14606"/>
  <c r="J15" i="14606" s="1"/>
  <c r="M21" i="14606"/>
  <c r="A21" i="14606" s="1"/>
  <c r="L22" i="14606"/>
  <c r="N12" i="14600"/>
  <c r="L12" i="14600"/>
  <c r="M11" i="14600"/>
  <c r="N13" i="14600"/>
  <c r="L10" i="14600"/>
  <c r="M13" i="14600"/>
  <c r="N10" i="14600"/>
  <c r="O12" i="14600"/>
  <c r="O10" i="14600"/>
  <c r="O14" i="14600"/>
  <c r="O13" i="14600"/>
  <c r="M10" i="14600"/>
  <c r="M12" i="14600"/>
  <c r="M14" i="14600"/>
  <c r="L14" i="14600"/>
  <c r="L11" i="14600"/>
  <c r="N14" i="14600"/>
  <c r="N11" i="14600"/>
  <c r="O11" i="14600"/>
  <c r="L13" i="14600"/>
  <c r="H17" i="9" l="1"/>
  <c r="H18" i="9" s="1"/>
  <c r="H18" i="14606"/>
  <c r="I18" i="14606" s="1"/>
  <c r="J18" i="14606" s="1"/>
  <c r="I17" i="14606"/>
  <c r="J17" i="14606" s="1"/>
  <c r="B21" i="14606"/>
  <c r="M22" i="14606"/>
  <c r="A22" i="14606" s="1"/>
  <c r="L23" i="14606"/>
  <c r="F19" i="14606"/>
  <c r="D20" i="14606"/>
  <c r="H19" i="9" l="1"/>
  <c r="H20" i="9" s="1"/>
  <c r="C21" i="14606"/>
  <c r="D21" i="14606" s="1"/>
  <c r="E21" i="14606" s="1"/>
  <c r="F21" i="14606" s="1"/>
  <c r="M23" i="14606"/>
  <c r="A23" i="14606" s="1"/>
  <c r="L24" i="14606"/>
  <c r="G19" i="14606"/>
  <c r="E20" i="14606"/>
  <c r="B22" i="14606"/>
  <c r="G21" i="14606" l="1"/>
  <c r="H21" i="14606" s="1"/>
  <c r="I21" i="14606" s="1"/>
  <c r="M24" i="14606"/>
  <c r="A24" i="14606" s="1"/>
  <c r="L25" i="14606"/>
  <c r="B23" i="14606"/>
  <c r="C23" i="14606" s="1"/>
  <c r="C22" i="14606"/>
  <c r="H19" i="14606"/>
  <c r="I19" i="14606" s="1"/>
  <c r="F20" i="14606"/>
  <c r="G20" i="14606" s="1"/>
  <c r="J21" i="14606" l="1"/>
  <c r="B24" i="14606"/>
  <c r="C24" i="14606" s="1"/>
  <c r="D24" i="14606" s="1"/>
  <c r="E24" i="14606" s="1"/>
  <c r="D22" i="14606"/>
  <c r="M25" i="14606"/>
  <c r="A25" i="14606" s="1"/>
  <c r="L26" i="14606"/>
  <c r="J19" i="14606"/>
  <c r="D23" i="14606"/>
  <c r="E23" i="14606" s="1"/>
  <c r="H20" i="14606"/>
  <c r="I20" i="14606" s="1"/>
  <c r="F23" i="14606" l="1"/>
  <c r="B25" i="14606"/>
  <c r="C25" i="14606" s="1"/>
  <c r="L27" i="14606"/>
  <c r="M26" i="14606"/>
  <c r="A26" i="14606" s="1"/>
  <c r="J20" i="14606"/>
  <c r="F24" i="14606"/>
  <c r="G24" i="14606" s="1"/>
  <c r="H24" i="14606" s="1"/>
  <c r="E22" i="14606"/>
  <c r="F22" i="14606" l="1"/>
  <c r="G22" i="14606" s="1"/>
  <c r="M27" i="14606"/>
  <c r="A27" i="14606" s="1"/>
  <c r="L28" i="14606"/>
  <c r="B26" i="14606"/>
  <c r="D25" i="14606"/>
  <c r="G23" i="14606"/>
  <c r="I24" i="14606"/>
  <c r="J24" i="14606" s="1"/>
  <c r="H22" i="14606" l="1"/>
  <c r="B27" i="14606"/>
  <c r="M28" i="14606"/>
  <c r="A28" i="14606" s="1"/>
  <c r="L29" i="14606"/>
  <c r="H23" i="14606"/>
  <c r="I23" i="14606" s="1"/>
  <c r="C26" i="14606"/>
  <c r="E25" i="14606"/>
  <c r="I22" i="14606" l="1"/>
  <c r="J22" i="14606" s="1"/>
  <c r="M29" i="14606"/>
  <c r="A29" i="14606" s="1"/>
  <c r="L30" i="14606"/>
  <c r="B28" i="14606"/>
  <c r="C28" i="14606" s="1"/>
  <c r="C27" i="14606"/>
  <c r="J23" i="14606"/>
  <c r="F25" i="14606"/>
  <c r="D26" i="14606"/>
  <c r="M30" i="14606" l="1"/>
  <c r="A30" i="14606" s="1"/>
  <c r="L31" i="14606"/>
  <c r="B29" i="14606"/>
  <c r="C29" i="14606" s="1"/>
  <c r="D29" i="14606" s="1"/>
  <c r="D27" i="14606"/>
  <c r="E27" i="14606" s="1"/>
  <c r="E26" i="14606"/>
  <c r="F26" i="14606" s="1"/>
  <c r="D28" i="14606"/>
  <c r="G25" i="14606"/>
  <c r="H25" i="14606" s="1"/>
  <c r="I25" i="14606" s="1"/>
  <c r="F27" i="14606" l="1"/>
  <c r="G27" i="14606" s="1"/>
  <c r="E28" i="14606"/>
  <c r="F28" i="14606" s="1"/>
  <c r="G26" i="14606"/>
  <c r="H26" i="14606" s="1"/>
  <c r="I26" i="14606" s="1"/>
  <c r="E29" i="14606"/>
  <c r="F29" i="14606" s="1"/>
  <c r="G29" i="14606" s="1"/>
  <c r="H29" i="14606" s="1"/>
  <c r="B30" i="14606"/>
  <c r="M31" i="14606"/>
  <c r="A31" i="14606" s="1"/>
  <c r="L32" i="14606"/>
  <c r="J25" i="14606"/>
  <c r="G28" i="14606" l="1"/>
  <c r="H28" i="14606" s="1"/>
  <c r="I28" i="14606" s="1"/>
  <c r="J28" i="14606" s="1"/>
  <c r="C30" i="14606"/>
  <c r="D30" i="14606" s="1"/>
  <c r="L33" i="14606"/>
  <c r="M32" i="14606"/>
  <c r="A32" i="14606" s="1"/>
  <c r="H27" i="14606"/>
  <c r="B31" i="14606"/>
  <c r="C31" i="14606" s="1"/>
  <c r="I29" i="14606"/>
  <c r="J29" i="14606" s="1"/>
  <c r="J26" i="14606"/>
  <c r="I27" i="14606" l="1"/>
  <c r="J27" i="14606" s="1"/>
  <c r="D31" i="14606"/>
  <c r="E31" i="14606" s="1"/>
  <c r="E30" i="14606"/>
  <c r="F30" i="14606" s="1"/>
  <c r="G30" i="14606" s="1"/>
  <c r="B32" i="14606"/>
  <c r="M33" i="14606"/>
  <c r="A33" i="14606" s="1"/>
  <c r="L34" i="14606"/>
  <c r="F31" i="14606" l="1"/>
  <c r="G31" i="14606" s="1"/>
  <c r="M34" i="14606"/>
  <c r="A34" i="14606" s="1"/>
  <c r="L35" i="14606"/>
  <c r="H30" i="14606"/>
  <c r="I30" i="14606" s="1"/>
  <c r="J30" i="14606" s="1"/>
  <c r="B33" i="14606"/>
  <c r="C32" i="14606"/>
  <c r="M35" i="14606" l="1"/>
  <c r="A35" i="14606" s="1"/>
  <c r="L36" i="14606"/>
  <c r="B34" i="14606"/>
  <c r="H31" i="14606"/>
  <c r="C33" i="14606"/>
  <c r="D32" i="14606"/>
  <c r="C34" i="14606" l="1"/>
  <c r="D34" i="14606" s="1"/>
  <c r="E34" i="14606" s="1"/>
  <c r="B35" i="14606"/>
  <c r="C35" i="14606" s="1"/>
  <c r="E32" i="14606"/>
  <c r="F32" i="14606" s="1"/>
  <c r="G32" i="14606" s="1"/>
  <c r="L37" i="14606"/>
  <c r="M36" i="14606"/>
  <c r="A36" i="14606" s="1"/>
  <c r="I31" i="14606"/>
  <c r="J31" i="14606" s="1"/>
  <c r="D33" i="14606"/>
  <c r="E33" i="14606" s="1"/>
  <c r="M37" i="14606" l="1"/>
  <c r="A37" i="14606" s="1"/>
  <c r="L38" i="14606"/>
  <c r="B36" i="14606"/>
  <c r="C36" i="14606" s="1"/>
  <c r="F33" i="14606"/>
  <c r="G33" i="14606" s="1"/>
  <c r="F34" i="14606"/>
  <c r="H32" i="14606"/>
  <c r="I32" i="14606" s="1"/>
  <c r="J32" i="14606" s="1"/>
  <c r="D35" i="14606"/>
  <c r="L39" i="14606" l="1"/>
  <c r="M38" i="14606"/>
  <c r="A38" i="14606" s="1"/>
  <c r="B37" i="14606"/>
  <c r="D36" i="14606"/>
  <c r="G34" i="14606"/>
  <c r="H34" i="14606" s="1"/>
  <c r="H33" i="14606"/>
  <c r="E35" i="14606"/>
  <c r="F35" i="14606" s="1"/>
  <c r="G35" i="14606" s="1"/>
  <c r="C37" i="14606" l="1"/>
  <c r="D37" i="14606" s="1"/>
  <c r="B38" i="14606"/>
  <c r="C38" i="14606" s="1"/>
  <c r="H35" i="14606"/>
  <c r="E36" i="14606"/>
  <c r="I34" i="14606"/>
  <c r="J34" i="14606" s="1"/>
  <c r="I33" i="14606"/>
  <c r="J33" i="14606" s="1"/>
  <c r="M39" i="14606"/>
  <c r="A39" i="14606" s="1"/>
  <c r="L40" i="14606"/>
  <c r="E37" i="14606" l="1"/>
  <c r="F37" i="14606" s="1"/>
  <c r="G37" i="14606" s="1"/>
  <c r="B39" i="14606"/>
  <c r="C39" i="14606" s="1"/>
  <c r="F36" i="14606"/>
  <c r="G36" i="14606" s="1"/>
  <c r="I35" i="14606"/>
  <c r="J35" i="14606" s="1"/>
  <c r="D38" i="14606"/>
  <c r="M40" i="14606"/>
  <c r="A40" i="14606" s="1"/>
  <c r="L41" i="14606"/>
  <c r="B40" i="14606" l="1"/>
  <c r="C40" i="14606" s="1"/>
  <c r="M41" i="14606"/>
  <c r="A41" i="14606" s="1"/>
  <c r="L42" i="14606"/>
  <c r="H37" i="14606"/>
  <c r="I37" i="14606" s="1"/>
  <c r="E38" i="14606"/>
  <c r="D39" i="14606"/>
  <c r="H36" i="14606"/>
  <c r="J37" i="14606" l="1"/>
  <c r="I36" i="14606"/>
  <c r="J36" i="14606" s="1"/>
  <c r="D40" i="14606"/>
  <c r="E40" i="14606" s="1"/>
  <c r="F40" i="14606" s="1"/>
  <c r="M42" i="14606"/>
  <c r="A42" i="14606" s="1"/>
  <c r="L43" i="14606"/>
  <c r="E39" i="14606"/>
  <c r="F38" i="14606"/>
  <c r="B41" i="14606"/>
  <c r="C41" i="14606" s="1"/>
  <c r="G38" i="14606" l="1"/>
  <c r="H38" i="14606" s="1"/>
  <c r="D41" i="14606"/>
  <c r="E41" i="14606" s="1"/>
  <c r="B42" i="14606"/>
  <c r="C42" i="14606" s="1"/>
  <c r="D42" i="14606" s="1"/>
  <c r="M43" i="14606"/>
  <c r="A43" i="14606" s="1"/>
  <c r="L44" i="14606"/>
  <c r="G40" i="14606"/>
  <c r="H40" i="14606" s="1"/>
  <c r="F39" i="14606"/>
  <c r="G39" i="14606" s="1"/>
  <c r="H39" i="14606" s="1"/>
  <c r="I38" i="14606" l="1"/>
  <c r="J38" i="14606" s="1"/>
  <c r="B43" i="14606"/>
  <c r="C43" i="14606" s="1"/>
  <c r="D43" i="14606" s="1"/>
  <c r="E43" i="14606" s="1"/>
  <c r="M44" i="14606"/>
  <c r="A44" i="14606" s="1"/>
  <c r="L45" i="14606"/>
  <c r="I39" i="14606"/>
  <c r="J39" i="14606" s="1"/>
  <c r="I40" i="14606"/>
  <c r="J40" i="14606" s="1"/>
  <c r="F41" i="14606"/>
  <c r="E42" i="14606"/>
  <c r="F42" i="14606" s="1"/>
  <c r="G42" i="14606" s="1"/>
  <c r="H42" i="14606" l="1"/>
  <c r="I42" i="14606" s="1"/>
  <c r="F43" i="14606"/>
  <c r="G43" i="14606" s="1"/>
  <c r="M45" i="14606"/>
  <c r="A45" i="14606" s="1"/>
  <c r="L46" i="14606"/>
  <c r="G41" i="14606"/>
  <c r="H41" i="14606" s="1"/>
  <c r="I41" i="14606" s="1"/>
  <c r="B44" i="14606"/>
  <c r="C44" i="14606" s="1"/>
  <c r="H43" i="14606" l="1"/>
  <c r="I43" i="14606" s="1"/>
  <c r="J43" i="14606" s="1"/>
  <c r="M46" i="14606"/>
  <c r="A46" i="14606" s="1"/>
  <c r="L47" i="14606"/>
  <c r="J41" i="14606"/>
  <c r="D44" i="14606"/>
  <c r="J42" i="14606"/>
  <c r="B45" i="14606"/>
  <c r="C45" i="14606" s="1"/>
  <c r="D45" i="14606" l="1"/>
  <c r="E45" i="14606" s="1"/>
  <c r="B46" i="14606"/>
  <c r="C46" i="14606" s="1"/>
  <c r="E44" i="14606"/>
  <c r="F44" i="14606" s="1"/>
  <c r="G44" i="14606" s="1"/>
  <c r="M47" i="14606"/>
  <c r="A47" i="14606" s="1"/>
  <c r="L48" i="14606"/>
  <c r="F45" i="14606" l="1"/>
  <c r="G45" i="14606" s="1"/>
  <c r="D46" i="14606"/>
  <c r="E46" i="14606" s="1"/>
  <c r="M48" i="14606"/>
  <c r="A48" i="14606" s="1"/>
  <c r="L49" i="14606"/>
  <c r="B47" i="14606"/>
  <c r="H44" i="14606"/>
  <c r="I44" i="14606" s="1"/>
  <c r="H45" i="14606" l="1"/>
  <c r="I45" i="14606" s="1"/>
  <c r="J45" i="14606" s="1"/>
  <c r="C47" i="14606"/>
  <c r="D47" i="14606" s="1"/>
  <c r="M49" i="14606"/>
  <c r="A49" i="14606" s="1"/>
  <c r="L50" i="14606"/>
  <c r="F46" i="14606"/>
  <c r="G46" i="14606" s="1"/>
  <c r="J44" i="14606"/>
  <c r="B48" i="14606"/>
  <c r="C48" i="14606" l="1"/>
  <c r="E47" i="14606"/>
  <c r="H46" i="14606"/>
  <c r="M50" i="14606"/>
  <c r="A50" i="14606" s="1"/>
  <c r="L51" i="14606"/>
  <c r="B49" i="14606"/>
  <c r="C49" i="14606" s="1"/>
  <c r="F47" i="14606"/>
  <c r="D48" i="14606" l="1"/>
  <c r="D49" i="14606"/>
  <c r="E49" i="14606" s="1"/>
  <c r="B50" i="14606"/>
  <c r="C50" i="14606" s="1"/>
  <c r="M51" i="14606"/>
  <c r="A51" i="14606" s="1"/>
  <c r="L52" i="14606"/>
  <c r="I46" i="14606"/>
  <c r="J46" i="14606" s="1"/>
  <c r="G47" i="14606"/>
  <c r="E48" i="14606" l="1"/>
  <c r="H47" i="14606"/>
  <c r="I47" i="14606" s="1"/>
  <c r="B51" i="14606"/>
  <c r="M52" i="14606"/>
  <c r="A52" i="14606" s="1"/>
  <c r="L53" i="14606"/>
  <c r="D50" i="14606"/>
  <c r="F49" i="14606"/>
  <c r="G49" i="14606" s="1"/>
  <c r="F48" i="14606" l="1"/>
  <c r="G48" i="14606" s="1"/>
  <c r="H48" i="14606" s="1"/>
  <c r="I48" i="14606" s="1"/>
  <c r="E50" i="14606"/>
  <c r="C51" i="14606"/>
  <c r="D51" i="14606" s="1"/>
  <c r="J47" i="14606"/>
  <c r="B52" i="14606"/>
  <c r="H49" i="14606"/>
  <c r="I49" i="14606" s="1"/>
  <c r="M53" i="14606"/>
  <c r="A53" i="14606" s="1"/>
  <c r="L54" i="14606"/>
  <c r="E51" i="14606" l="1"/>
  <c r="F51" i="14606" s="1"/>
  <c r="G51" i="14606" s="1"/>
  <c r="F50" i="14606"/>
  <c r="J48" i="14606"/>
  <c r="M54" i="14606"/>
  <c r="A54" i="14606" s="1"/>
  <c r="L55" i="14606"/>
  <c r="B53" i="14606"/>
  <c r="C52" i="14606"/>
  <c r="D52" i="14606" s="1"/>
  <c r="E52" i="14606" s="1"/>
  <c r="J49" i="14606"/>
  <c r="H51" i="14606" l="1"/>
  <c r="I51" i="14606" s="1"/>
  <c r="J51" i="14606" s="1"/>
  <c r="G50" i="14606"/>
  <c r="H50" i="14606" s="1"/>
  <c r="C53" i="14606"/>
  <c r="B54" i="14606"/>
  <c r="C54" i="14606" s="1"/>
  <c r="M55" i="14606"/>
  <c r="A55" i="14606" s="1"/>
  <c r="L56" i="14606"/>
  <c r="F52" i="14606"/>
  <c r="G52" i="14606" s="1"/>
  <c r="I50" i="14606" l="1"/>
  <c r="J50" i="14606" s="1"/>
  <c r="D53" i="14606"/>
  <c r="E53" i="14606" s="1"/>
  <c r="F53" i="14606" s="1"/>
  <c r="B55" i="14606"/>
  <c r="M56" i="14606"/>
  <c r="A56" i="14606" s="1"/>
  <c r="L57" i="14606"/>
  <c r="H52" i="14606"/>
  <c r="I52" i="14606" s="1"/>
  <c r="J52" i="14606" s="1"/>
  <c r="D54" i="14606"/>
  <c r="G53" i="14606" l="1"/>
  <c r="B56" i="14606"/>
  <c r="C56" i="14606" s="1"/>
  <c r="E54" i="14606"/>
  <c r="F54" i="14606" s="1"/>
  <c r="C55" i="14606"/>
  <c r="M57" i="14606"/>
  <c r="A57" i="14606" s="1"/>
  <c r="L58" i="14606"/>
  <c r="G54" i="14606" l="1"/>
  <c r="H54" i="14606" s="1"/>
  <c r="I54" i="14606" s="1"/>
  <c r="H53" i="14606"/>
  <c r="I53" i="14606" s="1"/>
  <c r="J53" i="14606" s="1"/>
  <c r="D56" i="14606"/>
  <c r="E56" i="14606" s="1"/>
  <c r="B57" i="14606"/>
  <c r="M58" i="14606"/>
  <c r="A58" i="14606" s="1"/>
  <c r="L59" i="14606"/>
  <c r="D55" i="14606"/>
  <c r="F56" i="14606" l="1"/>
  <c r="G56" i="14606" s="1"/>
  <c r="B58" i="14606"/>
  <c r="C58" i="14606" s="1"/>
  <c r="C57" i="14606"/>
  <c r="E55" i="14606"/>
  <c r="J54" i="14606"/>
  <c r="M59" i="14606"/>
  <c r="A59" i="14606" s="1"/>
  <c r="L60" i="14606"/>
  <c r="H56" i="14606" l="1"/>
  <c r="I56" i="14606" s="1"/>
  <c r="J56" i="14606" s="1"/>
  <c r="M60" i="14606"/>
  <c r="A60" i="14606" s="1"/>
  <c r="L61" i="14606"/>
  <c r="B59" i="14606"/>
  <c r="C59" i="14606" s="1"/>
  <c r="D58" i="14606"/>
  <c r="E58" i="14606" s="1"/>
  <c r="F55" i="14606"/>
  <c r="D57" i="14606"/>
  <c r="D59" i="14606" l="1"/>
  <c r="E59" i="14606" s="1"/>
  <c r="F59" i="14606" s="1"/>
  <c r="G55" i="14606"/>
  <c r="H55" i="14606" s="1"/>
  <c r="I55" i="14606" s="1"/>
  <c r="J55" i="14606" s="1"/>
  <c r="E57" i="14606"/>
  <c r="F57" i="14606" s="1"/>
  <c r="M61" i="14606"/>
  <c r="A61" i="14606" s="1"/>
  <c r="L62" i="14606"/>
  <c r="B60" i="14606"/>
  <c r="F58" i="14606"/>
  <c r="G57" i="14606" l="1"/>
  <c r="H57" i="14606" s="1"/>
  <c r="G58" i="14606"/>
  <c r="H58" i="14606" s="1"/>
  <c r="B61" i="14606"/>
  <c r="M62" i="14606"/>
  <c r="A62" i="14606" s="1"/>
  <c r="L63" i="14606"/>
  <c r="C60" i="14606"/>
  <c r="D60" i="14606" s="1"/>
  <c r="G59" i="14606"/>
  <c r="I58" i="14606" l="1"/>
  <c r="J58" i="14606" s="1"/>
  <c r="E60" i="14606"/>
  <c r="F60" i="14606" s="1"/>
  <c r="I57" i="14606"/>
  <c r="J57" i="14606" s="1"/>
  <c r="B62" i="14606"/>
  <c r="C62" i="14606" s="1"/>
  <c r="H59" i="14606"/>
  <c r="I59" i="14606" s="1"/>
  <c r="C61" i="14606"/>
  <c r="D61" i="14606" s="1"/>
  <c r="E61" i="14606" s="1"/>
  <c r="M63" i="14606"/>
  <c r="A63" i="14606" s="1"/>
  <c r="L64" i="14606"/>
  <c r="G60" i="14606" l="1"/>
  <c r="H60" i="14606" s="1"/>
  <c r="I60" i="14606" s="1"/>
  <c r="J60" i="14606" s="1"/>
  <c r="D62" i="14606"/>
  <c r="B63" i="14606"/>
  <c r="C63" i="14606" s="1"/>
  <c r="M64" i="14606"/>
  <c r="A64" i="14606" s="1"/>
  <c r="L65" i="14606"/>
  <c r="F61" i="14606"/>
  <c r="J59" i="14606"/>
  <c r="D63" i="14606" l="1"/>
  <c r="E63" i="14606" s="1"/>
  <c r="B64" i="14606"/>
  <c r="E62" i="14606"/>
  <c r="F62" i="14606" s="1"/>
  <c r="G61" i="14606"/>
  <c r="M65" i="14606"/>
  <c r="A65" i="14606" s="1"/>
  <c r="L66" i="14606"/>
  <c r="B65" i="14606" l="1"/>
  <c r="C65" i="14606" s="1"/>
  <c r="M66" i="14606"/>
  <c r="A66" i="14606" s="1"/>
  <c r="L67" i="14606"/>
  <c r="H61" i="14606"/>
  <c r="F63" i="14606"/>
  <c r="C64" i="14606"/>
  <c r="G62" i="14606"/>
  <c r="B66" i="14606" l="1"/>
  <c r="C66" i="14606" s="1"/>
  <c r="D66" i="14606" s="1"/>
  <c r="M67" i="14606"/>
  <c r="A67" i="14606" s="1"/>
  <c r="L68" i="14606"/>
  <c r="D64" i="14606"/>
  <c r="E64" i="14606" s="1"/>
  <c r="H62" i="14606"/>
  <c r="I61" i="14606"/>
  <c r="J61" i="14606" s="1"/>
  <c r="G63" i="14606"/>
  <c r="H63" i="14606" s="1"/>
  <c r="D65" i="14606"/>
  <c r="F64" i="14606" l="1"/>
  <c r="G64" i="14606" s="1"/>
  <c r="H64" i="14606" s="1"/>
  <c r="M68" i="14606"/>
  <c r="A68" i="14606" s="1"/>
  <c r="L69" i="14606"/>
  <c r="B67" i="14606"/>
  <c r="C67" i="14606" s="1"/>
  <c r="D67" i="14606" s="1"/>
  <c r="I63" i="14606"/>
  <c r="J63" i="14606" s="1"/>
  <c r="I62" i="14606"/>
  <c r="J62" i="14606" s="1"/>
  <c r="E65" i="14606"/>
  <c r="E66" i="14606"/>
  <c r="E67" i="14606" l="1"/>
  <c r="F67" i="14606" s="1"/>
  <c r="B68" i="14606"/>
  <c r="C68" i="14606" s="1"/>
  <c r="D68" i="14606" s="1"/>
  <c r="F65" i="14606"/>
  <c r="G65" i="14606" s="1"/>
  <c r="F66" i="14606"/>
  <c r="G66" i="14606" s="1"/>
  <c r="M69" i="14606"/>
  <c r="A69" i="14606" s="1"/>
  <c r="L70" i="14606"/>
  <c r="I64" i="14606"/>
  <c r="J64" i="14606" s="1"/>
  <c r="G67" i="14606" l="1"/>
  <c r="H67" i="14606" s="1"/>
  <c r="I67" i="14606" s="1"/>
  <c r="J67" i="14606" s="1"/>
  <c r="B69" i="14606"/>
  <c r="C69" i="14606" s="1"/>
  <c r="H65" i="14606"/>
  <c r="I65" i="14606" s="1"/>
  <c r="J65" i="14606" s="1"/>
  <c r="E68" i="14606"/>
  <c r="M70" i="14606"/>
  <c r="A70" i="14606" s="1"/>
  <c r="L71" i="14606"/>
  <c r="H66" i="14606"/>
  <c r="I66" i="14606" s="1"/>
  <c r="M71" i="14606" l="1"/>
  <c r="A71" i="14606" s="1"/>
  <c r="L72" i="14606"/>
  <c r="J66" i="14606"/>
  <c r="D69" i="14606"/>
  <c r="E69" i="14606" s="1"/>
  <c r="B70" i="14606"/>
  <c r="C70" i="14606" s="1"/>
  <c r="F68" i="14606"/>
  <c r="B71" i="14606" l="1"/>
  <c r="M72" i="14606"/>
  <c r="A72" i="14606" s="1"/>
  <c r="L73" i="14606"/>
  <c r="D70" i="14606"/>
  <c r="E70" i="14606" s="1"/>
  <c r="F70" i="14606" s="1"/>
  <c r="G68" i="14606"/>
  <c r="F69" i="14606"/>
  <c r="G69" i="14606" s="1"/>
  <c r="M73" i="14606" l="1"/>
  <c r="A73" i="14606" s="1"/>
  <c r="L74" i="14606"/>
  <c r="B72" i="14606"/>
  <c r="H69" i="14606"/>
  <c r="I69" i="14606" s="1"/>
  <c r="J69" i="14606" s="1"/>
  <c r="G70" i="14606"/>
  <c r="H70" i="14606" s="1"/>
  <c r="C71" i="14606"/>
  <c r="D71" i="14606" s="1"/>
  <c r="H68" i="14606"/>
  <c r="I68" i="14606" s="1"/>
  <c r="J68" i="14606" s="1"/>
  <c r="I70" i="14606" l="1"/>
  <c r="J70" i="14606" s="1"/>
  <c r="B73" i="14606"/>
  <c r="C73" i="14606" s="1"/>
  <c r="M74" i="14606"/>
  <c r="A74" i="14606" s="1"/>
  <c r="L75" i="14606"/>
  <c r="C72" i="14606"/>
  <c r="E71" i="14606"/>
  <c r="M75" i="14606" l="1"/>
  <c r="A75" i="14606" s="1"/>
  <c r="L76" i="14606"/>
  <c r="D73" i="14606"/>
  <c r="D72" i="14606"/>
  <c r="E72" i="14606" s="1"/>
  <c r="F71" i="14606"/>
  <c r="B74" i="14606"/>
  <c r="G71" i="14606" l="1"/>
  <c r="B75" i="14606"/>
  <c r="C75" i="14606" s="1"/>
  <c r="C74" i="14606"/>
  <c r="D74" i="14606" s="1"/>
  <c r="E73" i="14606"/>
  <c r="F72" i="14606"/>
  <c r="G72" i="14606" s="1"/>
  <c r="M76" i="14606"/>
  <c r="A76" i="14606" s="1"/>
  <c r="L77" i="14606"/>
  <c r="H71" i="14606" l="1"/>
  <c r="I71" i="14606" s="1"/>
  <c r="H72" i="14606"/>
  <c r="M77" i="14606"/>
  <c r="A77" i="14606" s="1"/>
  <c r="L78" i="14606"/>
  <c r="F73" i="14606"/>
  <c r="G73" i="14606" s="1"/>
  <c r="H73" i="14606" s="1"/>
  <c r="D75" i="14606"/>
  <c r="E74" i="14606"/>
  <c r="F74" i="14606" s="1"/>
  <c r="I72" i="14606"/>
  <c r="J72" i="14606" s="1"/>
  <c r="B76" i="14606"/>
  <c r="C76" i="14606" s="1"/>
  <c r="J71" i="14606" l="1"/>
  <c r="I73" i="14606"/>
  <c r="J73" i="14606" s="1"/>
  <c r="D76" i="14606"/>
  <c r="B77" i="14606"/>
  <c r="C77" i="14606" s="1"/>
  <c r="E75" i="14606"/>
  <c r="M78" i="14606"/>
  <c r="A78" i="14606" s="1"/>
  <c r="L79" i="14606"/>
  <c r="G74" i="14606"/>
  <c r="H74" i="14606" s="1"/>
  <c r="D77" i="14606" l="1"/>
  <c r="E77" i="14606" s="1"/>
  <c r="F77" i="14606" s="1"/>
  <c r="M79" i="14606"/>
  <c r="A79" i="14606" s="1"/>
  <c r="L80" i="14606"/>
  <c r="B78" i="14606"/>
  <c r="F75" i="14606"/>
  <c r="I74" i="14606"/>
  <c r="J74" i="14606" s="1"/>
  <c r="E76" i="14606"/>
  <c r="C78" i="14606" l="1"/>
  <c r="D78" i="14606" s="1"/>
  <c r="B79" i="14606"/>
  <c r="G75" i="14606"/>
  <c r="H75" i="14606" s="1"/>
  <c r="G77" i="14606"/>
  <c r="M80" i="14606"/>
  <c r="A80" i="14606" s="1"/>
  <c r="L81" i="14606"/>
  <c r="F76" i="14606"/>
  <c r="E78" i="14606" l="1"/>
  <c r="I75" i="14606"/>
  <c r="J75" i="14606" s="1"/>
  <c r="M81" i="14606"/>
  <c r="A81" i="14606" s="1"/>
  <c r="L82" i="14606"/>
  <c r="B80" i="14606"/>
  <c r="C80" i="14606" s="1"/>
  <c r="H77" i="14606"/>
  <c r="C79" i="14606"/>
  <c r="G76" i="14606"/>
  <c r="F78" i="14606" l="1"/>
  <c r="D80" i="14606"/>
  <c r="E80" i="14606" s="1"/>
  <c r="H76" i="14606"/>
  <c r="I76" i="14606" s="1"/>
  <c r="J76" i="14606" s="1"/>
  <c r="M82" i="14606"/>
  <c r="A82" i="14606" s="1"/>
  <c r="L83" i="14606"/>
  <c r="B81" i="14606"/>
  <c r="C81" i="14606" s="1"/>
  <c r="D79" i="14606"/>
  <c r="E79" i="14606" s="1"/>
  <c r="I77" i="14606"/>
  <c r="J77" i="14606" s="1"/>
  <c r="G78" i="14606" l="1"/>
  <c r="F80" i="14606"/>
  <c r="G80" i="14606" s="1"/>
  <c r="H80" i="14606" s="1"/>
  <c r="I80" i="14606" s="1"/>
  <c r="D81" i="14606"/>
  <c r="E81" i="14606" s="1"/>
  <c r="F81" i="14606" s="1"/>
  <c r="M83" i="14606"/>
  <c r="A83" i="14606" s="1"/>
  <c r="L84" i="14606"/>
  <c r="F79" i="14606"/>
  <c r="G79" i="14606" s="1"/>
  <c r="B82" i="14606"/>
  <c r="H78" i="14606" l="1"/>
  <c r="I78" i="14606" s="1"/>
  <c r="J78" i="14606" s="1"/>
  <c r="J80" i="14606"/>
  <c r="B83" i="14606"/>
  <c r="C83" i="14606" s="1"/>
  <c r="D83" i="14606" s="1"/>
  <c r="M84" i="14606"/>
  <c r="A84" i="14606" s="1"/>
  <c r="L85" i="14606"/>
  <c r="H79" i="14606"/>
  <c r="I79" i="14606" s="1"/>
  <c r="J79" i="14606" s="1"/>
  <c r="C82" i="14606"/>
  <c r="D82" i="14606" s="1"/>
  <c r="E82" i="14606" s="1"/>
  <c r="G81" i="14606"/>
  <c r="H81" i="14606" s="1"/>
  <c r="I81" i="14606" s="1"/>
  <c r="J81" i="14606" l="1"/>
  <c r="B84" i="14606"/>
  <c r="M85" i="14606"/>
  <c r="A85" i="14606" s="1"/>
  <c r="L86" i="14606"/>
  <c r="E83" i="14606"/>
  <c r="F83" i="14606" s="1"/>
  <c r="F82" i="14606"/>
  <c r="G83" i="14606" l="1"/>
  <c r="C84" i="14606"/>
  <c r="B85" i="14606"/>
  <c r="M86" i="14606"/>
  <c r="A86" i="14606" s="1"/>
  <c r="L87" i="14606"/>
  <c r="G82" i="14606"/>
  <c r="H83" i="14606" l="1"/>
  <c r="I83" i="14606" s="1"/>
  <c r="J83" i="14606" s="1"/>
  <c r="D84" i="14606"/>
  <c r="B86" i="14606"/>
  <c r="C86" i="14606" s="1"/>
  <c r="M87" i="14606"/>
  <c r="A87" i="14606" s="1"/>
  <c r="L88" i="14606"/>
  <c r="C85" i="14606"/>
  <c r="D85" i="14606" s="1"/>
  <c r="H82" i="14606"/>
  <c r="I82" i="14606" s="1"/>
  <c r="E84" i="14606" l="1"/>
  <c r="D86" i="14606"/>
  <c r="B87" i="14606"/>
  <c r="C87" i="14606" s="1"/>
  <c r="M88" i="14606"/>
  <c r="A88" i="14606" s="1"/>
  <c r="L89" i="14606"/>
  <c r="J82" i="14606"/>
  <c r="E85" i="14606"/>
  <c r="F84" i="14606" l="1"/>
  <c r="G84" i="14606" s="1"/>
  <c r="D87" i="14606"/>
  <c r="E87" i="14606" s="1"/>
  <c r="B88" i="14606"/>
  <c r="C88" i="14606" s="1"/>
  <c r="D88" i="14606" s="1"/>
  <c r="M89" i="14606"/>
  <c r="A89" i="14606" s="1"/>
  <c r="L90" i="14606"/>
  <c r="F85" i="14606"/>
  <c r="G85" i="14606" s="1"/>
  <c r="E86" i="14606"/>
  <c r="H85" i="14606" l="1"/>
  <c r="I85" i="14606" s="1"/>
  <c r="J85" i="14606" s="1"/>
  <c r="H84" i="14606"/>
  <c r="I84" i="14606" s="1"/>
  <c r="J84" i="14606" s="1"/>
  <c r="B89" i="14606"/>
  <c r="M90" i="14606"/>
  <c r="A90" i="14606" s="1"/>
  <c r="L91" i="14606"/>
  <c r="E88" i="14606"/>
  <c r="F87" i="14606"/>
  <c r="G87" i="14606" s="1"/>
  <c r="F86" i="14606"/>
  <c r="G86" i="14606" l="1"/>
  <c r="H86" i="14606" s="1"/>
  <c r="M91" i="14606"/>
  <c r="A91" i="14606" s="1"/>
  <c r="L92" i="14606"/>
  <c r="F88" i="14606"/>
  <c r="G88" i="14606" s="1"/>
  <c r="B90" i="14606"/>
  <c r="C90" i="14606" s="1"/>
  <c r="H87" i="14606"/>
  <c r="I87" i="14606" s="1"/>
  <c r="J87" i="14606" s="1"/>
  <c r="C89" i="14606"/>
  <c r="D89" i="14606" s="1"/>
  <c r="E89" i="14606" s="1"/>
  <c r="D90" i="14606" l="1"/>
  <c r="E90" i="14606" s="1"/>
  <c r="I86" i="14606"/>
  <c r="J86" i="14606" s="1"/>
  <c r="F89" i="14606"/>
  <c r="M92" i="14606"/>
  <c r="A92" i="14606" s="1"/>
  <c r="L93" i="14606"/>
  <c r="H88" i="14606"/>
  <c r="B91" i="14606"/>
  <c r="F90" i="14606" l="1"/>
  <c r="G90" i="14606" s="1"/>
  <c r="I88" i="14606"/>
  <c r="J88" i="14606" s="1"/>
  <c r="M93" i="14606"/>
  <c r="A93" i="14606" s="1"/>
  <c r="L94" i="14606"/>
  <c r="B92" i="14606"/>
  <c r="C91" i="14606"/>
  <c r="G89" i="14606"/>
  <c r="H89" i="14606" s="1"/>
  <c r="H90" i="14606" l="1"/>
  <c r="I90" i="14606" s="1"/>
  <c r="J90" i="14606" s="1"/>
  <c r="I89" i="14606"/>
  <c r="J89" i="14606" s="1"/>
  <c r="C92" i="14606"/>
  <c r="B93" i="14606"/>
  <c r="M94" i="14606"/>
  <c r="A94" i="14606" s="1"/>
  <c r="L95" i="14606"/>
  <c r="D91" i="14606"/>
  <c r="D92" i="14606" l="1"/>
  <c r="M95" i="14606"/>
  <c r="A95" i="14606" s="1"/>
  <c r="L96" i="14606"/>
  <c r="E91" i="14606"/>
  <c r="B94" i="14606"/>
  <c r="C94" i="14606" s="1"/>
  <c r="C93" i="14606"/>
  <c r="D93" i="14606" s="1"/>
  <c r="F91" i="14606" l="1"/>
  <c r="G91" i="14606" s="1"/>
  <c r="E92" i="14606"/>
  <c r="B95" i="14606"/>
  <c r="M96" i="14606"/>
  <c r="A96" i="14606" s="1"/>
  <c r="L97" i="14606"/>
  <c r="D94" i="14606"/>
  <c r="E93" i="14606"/>
  <c r="F93" i="14606" s="1"/>
  <c r="H91" i="14606" l="1"/>
  <c r="I91" i="14606" s="1"/>
  <c r="J91" i="14606" s="1"/>
  <c r="F92" i="14606"/>
  <c r="G92" i="14606" s="1"/>
  <c r="H92" i="14606" s="1"/>
  <c r="G93" i="14606"/>
  <c r="H93" i="14606" s="1"/>
  <c r="B96" i="14606"/>
  <c r="E94" i="14606"/>
  <c r="C95" i="14606"/>
  <c r="D95" i="14606" s="1"/>
  <c r="M97" i="14606"/>
  <c r="A97" i="14606" s="1"/>
  <c r="L98" i="14606"/>
  <c r="I93" i="14606" l="1"/>
  <c r="J93" i="14606" s="1"/>
  <c r="I92" i="14606"/>
  <c r="J92" i="14606" s="1"/>
  <c r="B97" i="14606"/>
  <c r="C97" i="14606" s="1"/>
  <c r="F94" i="14606"/>
  <c r="G94" i="14606" s="1"/>
  <c r="C96" i="14606"/>
  <c r="M98" i="14606"/>
  <c r="A98" i="14606" s="1"/>
  <c r="L99" i="14606"/>
  <c r="E95" i="14606"/>
  <c r="H94" i="14606" l="1"/>
  <c r="I94" i="14606" s="1"/>
  <c r="J94" i="14606" s="1"/>
  <c r="B98" i="14606"/>
  <c r="C98" i="14606" s="1"/>
  <c r="D97" i="14606"/>
  <c r="E97" i="14606" s="1"/>
  <c r="F95" i="14606"/>
  <c r="G95" i="14606" s="1"/>
  <c r="M99" i="14606"/>
  <c r="A99" i="14606" s="1"/>
  <c r="L100" i="14606"/>
  <c r="D96" i="14606"/>
  <c r="F97" i="14606" l="1"/>
  <c r="D98" i="14606"/>
  <c r="E98" i="14606" s="1"/>
  <c r="M100" i="14606"/>
  <c r="A100" i="14606" s="1"/>
  <c r="L101" i="14606"/>
  <c r="B99" i="14606"/>
  <c r="C99" i="14606" s="1"/>
  <c r="G97" i="14606"/>
  <c r="H95" i="14606"/>
  <c r="I95" i="14606" s="1"/>
  <c r="E96" i="14606"/>
  <c r="D99" i="14606" l="1"/>
  <c r="E99" i="14606" s="1"/>
  <c r="F99" i="14606" s="1"/>
  <c r="G99" i="14606" s="1"/>
  <c r="H99" i="14606" s="1"/>
  <c r="I99" i="14606" s="1"/>
  <c r="F98" i="14606"/>
  <c r="G98" i="14606" s="1"/>
  <c r="H98" i="14606" s="1"/>
  <c r="I98" i="14606" s="1"/>
  <c r="J98" i="14606" s="1"/>
  <c r="B100" i="14606"/>
  <c r="C100" i="14606" s="1"/>
  <c r="D100" i="14606" s="1"/>
  <c r="M101" i="14606"/>
  <c r="A101" i="14606" s="1"/>
  <c r="L102" i="14606"/>
  <c r="J95" i="14606"/>
  <c r="H97" i="14606"/>
  <c r="I97" i="14606" s="1"/>
  <c r="J97" i="14606" s="1"/>
  <c r="F96" i="14606"/>
  <c r="G96" i="14606" s="1"/>
  <c r="H96" i="14606" l="1"/>
  <c r="I96" i="14606" s="1"/>
  <c r="J96" i="14606" s="1"/>
  <c r="M102" i="14606"/>
  <c r="A102" i="14606" s="1"/>
  <c r="L103" i="14606"/>
  <c r="J99" i="14606"/>
  <c r="E100" i="14606"/>
  <c r="F100" i="14606" s="1"/>
  <c r="B101" i="14606"/>
  <c r="C101" i="14606" s="1"/>
  <c r="D101" i="14606" l="1"/>
  <c r="B102" i="14606"/>
  <c r="C102" i="14606" s="1"/>
  <c r="M103" i="14606"/>
  <c r="A103" i="14606" s="1"/>
  <c r="L104" i="14606"/>
  <c r="G100" i="14606"/>
  <c r="H100" i="14606" s="1"/>
  <c r="M104" i="14606" l="1"/>
  <c r="A104" i="14606" s="1"/>
  <c r="L105" i="14606"/>
  <c r="I100" i="14606"/>
  <c r="J100" i="14606" s="1"/>
  <c r="D102" i="14606"/>
  <c r="E101" i="14606"/>
  <c r="B103" i="14606"/>
  <c r="B104" i="14606" l="1"/>
  <c r="C104" i="14606" s="1"/>
  <c r="M105" i="14606"/>
  <c r="A105" i="14606" s="1"/>
  <c r="L106" i="14606"/>
  <c r="E102" i="14606"/>
  <c r="C103" i="14606"/>
  <c r="F101" i="14606"/>
  <c r="B105" i="14606" l="1"/>
  <c r="C105" i="14606" s="1"/>
  <c r="D105" i="14606" s="1"/>
  <c r="M106" i="14606"/>
  <c r="A106" i="14606" s="1"/>
  <c r="L107" i="14606"/>
  <c r="G101" i="14606"/>
  <c r="H101" i="14606" s="1"/>
  <c r="D104" i="14606"/>
  <c r="D103" i="14606"/>
  <c r="F102" i="14606"/>
  <c r="G102" i="14606" s="1"/>
  <c r="B106" i="14606" l="1"/>
  <c r="E103" i="14606"/>
  <c r="F103" i="14606" s="1"/>
  <c r="G103" i="14606" s="1"/>
  <c r="E105" i="14606"/>
  <c r="F105" i="14606" s="1"/>
  <c r="E104" i="14606"/>
  <c r="I101" i="14606"/>
  <c r="J101" i="14606" s="1"/>
  <c r="L108" i="14606"/>
  <c r="M107" i="14606"/>
  <c r="A107" i="14606" s="1"/>
  <c r="H102" i="14606"/>
  <c r="B107" i="14606" l="1"/>
  <c r="C107" i="14606" s="1"/>
  <c r="L109" i="14606"/>
  <c r="M108" i="14606"/>
  <c r="A108" i="14606" s="1"/>
  <c r="F104" i="14606"/>
  <c r="G104" i="14606" s="1"/>
  <c r="G105" i="14606"/>
  <c r="I102" i="14606"/>
  <c r="J102" i="14606" s="1"/>
  <c r="C106" i="14606"/>
  <c r="H103" i="14606"/>
  <c r="I103" i="14606" s="1"/>
  <c r="H104" i="14606" l="1"/>
  <c r="D107" i="14606"/>
  <c r="E107" i="14606" s="1"/>
  <c r="F107" i="14606" s="1"/>
  <c r="B108" i="14606"/>
  <c r="C108" i="14606" s="1"/>
  <c r="H105" i="14606"/>
  <c r="I105" i="14606" s="1"/>
  <c r="J103" i="14606"/>
  <c r="L110" i="14606"/>
  <c r="M109" i="14606"/>
  <c r="A109" i="14606" s="1"/>
  <c r="D106" i="14606"/>
  <c r="I104" i="14606" l="1"/>
  <c r="J104" i="14606" s="1"/>
  <c r="G107" i="14606"/>
  <c r="B109" i="14606"/>
  <c r="J105" i="14606"/>
  <c r="D108" i="14606"/>
  <c r="E106" i="14606"/>
  <c r="L111" i="14606"/>
  <c r="M110" i="14606"/>
  <c r="A110" i="14606" s="1"/>
  <c r="C109" i="14606" l="1"/>
  <c r="D109" i="14606" s="1"/>
  <c r="M111" i="14606"/>
  <c r="A111" i="14606" s="1"/>
  <c r="L112" i="14606"/>
  <c r="B110" i="14606"/>
  <c r="F106" i="14606"/>
  <c r="H107" i="14606"/>
  <c r="I107" i="14606" s="1"/>
  <c r="E108" i="14606"/>
  <c r="F108" i="14606" s="1"/>
  <c r="E109" i="14606" l="1"/>
  <c r="F109" i="14606" s="1"/>
  <c r="M112" i="14606"/>
  <c r="A112" i="14606" s="1"/>
  <c r="L113" i="14606"/>
  <c r="C110" i="14606"/>
  <c r="G108" i="14606"/>
  <c r="H108" i="14606" s="1"/>
  <c r="I108" i="14606" s="1"/>
  <c r="J107" i="14606"/>
  <c r="G106" i="14606"/>
  <c r="B111" i="14606"/>
  <c r="G109" i="14606" l="1"/>
  <c r="H109" i="14606" s="1"/>
  <c r="I109" i="14606" s="1"/>
  <c r="J109" i="14606" s="1"/>
  <c r="J108" i="14606"/>
  <c r="B112" i="14606"/>
  <c r="C112" i="14606" s="1"/>
  <c r="D112" i="14606" s="1"/>
  <c r="M113" i="14606"/>
  <c r="A113" i="14606" s="1"/>
  <c r="L114" i="14606"/>
  <c r="C111" i="14606"/>
  <c r="H106" i="14606"/>
  <c r="I106" i="14606" s="1"/>
  <c r="D110" i="14606"/>
  <c r="E110" i="14606" s="1"/>
  <c r="F110" i="14606" s="1"/>
  <c r="G110" i="14606" l="1"/>
  <c r="H110" i="14606" s="1"/>
  <c r="M114" i="14606"/>
  <c r="A114" i="14606" s="1"/>
  <c r="L115" i="14606"/>
  <c r="E112" i="14606"/>
  <c r="F112" i="14606" s="1"/>
  <c r="G112" i="14606" s="1"/>
  <c r="J106" i="14606"/>
  <c r="B113" i="14606"/>
  <c r="C113" i="14606" s="1"/>
  <c r="D111" i="14606"/>
  <c r="B114" i="14606" l="1"/>
  <c r="C114" i="14606" s="1"/>
  <c r="H112" i="14606"/>
  <c r="I112" i="14606" s="1"/>
  <c r="J112" i="14606" s="1"/>
  <c r="D113" i="14606"/>
  <c r="E113" i="14606" s="1"/>
  <c r="I110" i="14606"/>
  <c r="J110" i="14606" s="1"/>
  <c r="M115" i="14606"/>
  <c r="A115" i="14606" s="1"/>
  <c r="L116" i="14606"/>
  <c r="E111" i="14606"/>
  <c r="D114" i="14606" l="1"/>
  <c r="E114" i="14606" s="1"/>
  <c r="F114" i="14606" s="1"/>
  <c r="G114" i="14606" s="1"/>
  <c r="F111" i="14606"/>
  <c r="G111" i="14606" s="1"/>
  <c r="F113" i="14606"/>
  <c r="M116" i="14606"/>
  <c r="A116" i="14606" s="1"/>
  <c r="L117" i="14606"/>
  <c r="B115" i="14606"/>
  <c r="C115" i="14606" s="1"/>
  <c r="D115" i="14606" s="1"/>
  <c r="E115" i="14606" s="1"/>
  <c r="F115" i="14606" l="1"/>
  <c r="G115" i="14606" s="1"/>
  <c r="H111" i="14606"/>
  <c r="I111" i="14606" s="1"/>
  <c r="B116" i="14606"/>
  <c r="H114" i="14606"/>
  <c r="I114" i="14606" s="1"/>
  <c r="J114" i="14606" s="1"/>
  <c r="G113" i="14606"/>
  <c r="H113" i="14606" s="1"/>
  <c r="M117" i="14606"/>
  <c r="A117" i="14606" s="1"/>
  <c r="L118" i="14606"/>
  <c r="H115" i="14606" l="1"/>
  <c r="I115" i="14606" s="1"/>
  <c r="J115" i="14606" s="1"/>
  <c r="J111" i="14606"/>
  <c r="C116" i="14606"/>
  <c r="D116" i="14606" s="1"/>
  <c r="E116" i="14606" s="1"/>
  <c r="B117" i="14606"/>
  <c r="I113" i="14606"/>
  <c r="J113" i="14606" s="1"/>
  <c r="M118" i="14606"/>
  <c r="A118" i="14606" s="1"/>
  <c r="L119" i="14606"/>
  <c r="M119" i="14606" l="1"/>
  <c r="A119" i="14606" s="1"/>
  <c r="L120" i="14606"/>
  <c r="C117" i="14606"/>
  <c r="D117" i="14606" s="1"/>
  <c r="F116" i="14606"/>
  <c r="G116" i="14606" s="1"/>
  <c r="H116" i="14606" s="1"/>
  <c r="I116" i="14606" s="1"/>
  <c r="B118" i="14606"/>
  <c r="J116" i="14606" l="1"/>
  <c r="E117" i="14606"/>
  <c r="B119" i="14606"/>
  <c r="C119" i="14606" s="1"/>
  <c r="C118" i="14606"/>
  <c r="M120" i="14606"/>
  <c r="A120" i="14606" s="1"/>
  <c r="L121" i="14606"/>
  <c r="D118" i="14606" l="1"/>
  <c r="E118" i="14606" s="1"/>
  <c r="D119" i="14606"/>
  <c r="M121" i="14606"/>
  <c r="A121" i="14606" s="1"/>
  <c r="L122" i="14606"/>
  <c r="B120" i="14606"/>
  <c r="C120" i="14606" s="1"/>
  <c r="F117" i="14606"/>
  <c r="E119" i="14606" l="1"/>
  <c r="F119" i="14606" s="1"/>
  <c r="G119" i="14606" s="1"/>
  <c r="H119" i="14606" s="1"/>
  <c r="I119" i="14606" s="1"/>
  <c r="F118" i="14606"/>
  <c r="G118" i="14606" s="1"/>
  <c r="G117" i="14606"/>
  <c r="H117" i="14606" s="1"/>
  <c r="I117" i="14606" s="1"/>
  <c r="B121" i="14606"/>
  <c r="C121" i="14606" s="1"/>
  <c r="D120" i="14606"/>
  <c r="L123" i="14606"/>
  <c r="M122" i="14606"/>
  <c r="A122" i="14606" s="1"/>
  <c r="H118" i="14606" l="1"/>
  <c r="I118" i="14606" s="1"/>
  <c r="J118" i="14606" s="1"/>
  <c r="D121" i="14606"/>
  <c r="M123" i="14606"/>
  <c r="A123" i="14606" s="1"/>
  <c r="L124" i="14606"/>
  <c r="J117" i="14606"/>
  <c r="E120" i="14606"/>
  <c r="F120" i="14606" s="1"/>
  <c r="J119" i="14606"/>
  <c r="B122" i="14606"/>
  <c r="E121" i="14606" l="1"/>
  <c r="F121" i="14606" s="1"/>
  <c r="L125" i="14606"/>
  <c r="M124" i="14606"/>
  <c r="A124" i="14606" s="1"/>
  <c r="C122" i="14606"/>
  <c r="D122" i="14606" s="1"/>
  <c r="G120" i="14606"/>
  <c r="B123" i="14606"/>
  <c r="G121" i="14606" l="1"/>
  <c r="H121" i="14606" s="1"/>
  <c r="E122" i="14606"/>
  <c r="M125" i="14606"/>
  <c r="A125" i="14606" s="1"/>
  <c r="L126" i="14606"/>
  <c r="B124" i="14606"/>
  <c r="C124" i="14606" s="1"/>
  <c r="D124" i="14606" s="1"/>
  <c r="C123" i="14606"/>
  <c r="H120" i="14606"/>
  <c r="I120" i="14606" s="1"/>
  <c r="J120" i="14606" l="1"/>
  <c r="I121" i="14606"/>
  <c r="J121" i="14606" s="1"/>
  <c r="F122" i="14606"/>
  <c r="E124" i="14606"/>
  <c r="F124" i="14606" s="1"/>
  <c r="M126" i="14606"/>
  <c r="A126" i="14606" s="1"/>
  <c r="L127" i="14606"/>
  <c r="B125" i="14606"/>
  <c r="C125" i="14606" s="1"/>
  <c r="D123" i="14606"/>
  <c r="E123" i="14606" s="1"/>
  <c r="G122" i="14606" l="1"/>
  <c r="H122" i="14606" s="1"/>
  <c r="I122" i="14606" s="1"/>
  <c r="J122" i="14606" s="1"/>
  <c r="B126" i="14606"/>
  <c r="C126" i="14606" s="1"/>
  <c r="M127" i="14606"/>
  <c r="A127" i="14606" s="1"/>
  <c r="L128" i="14606"/>
  <c r="D125" i="14606"/>
  <c r="G124" i="14606"/>
  <c r="F123" i="14606"/>
  <c r="G123" i="14606" s="1"/>
  <c r="D126" i="14606" l="1"/>
  <c r="E126" i="14606" s="1"/>
  <c r="M128" i="14606"/>
  <c r="A128" i="14606" s="1"/>
  <c r="L129" i="14606"/>
  <c r="H123" i="14606"/>
  <c r="I123" i="14606" s="1"/>
  <c r="E125" i="14606"/>
  <c r="F125" i="14606" s="1"/>
  <c r="H124" i="14606"/>
  <c r="B127" i="14606"/>
  <c r="C127" i="14606" s="1"/>
  <c r="I124" i="14606" l="1"/>
  <c r="J124" i="14606" s="1"/>
  <c r="M129" i="14606"/>
  <c r="A129" i="14606" s="1"/>
  <c r="L130" i="14606"/>
  <c r="D127" i="14606"/>
  <c r="G125" i="14606"/>
  <c r="F126" i="14606"/>
  <c r="J123" i="14606"/>
  <c r="B128" i="14606"/>
  <c r="M130" i="14606" l="1"/>
  <c r="A130" i="14606" s="1"/>
  <c r="L131" i="14606"/>
  <c r="G126" i="14606"/>
  <c r="H126" i="14606" s="1"/>
  <c r="C128" i="14606"/>
  <c r="H125" i="14606"/>
  <c r="I125" i="14606" s="1"/>
  <c r="E127" i="14606"/>
  <c r="B129" i="14606"/>
  <c r="B130" i="14606" l="1"/>
  <c r="C130" i="14606" s="1"/>
  <c r="C129" i="14606"/>
  <c r="D129" i="14606" s="1"/>
  <c r="E129" i="14606" s="1"/>
  <c r="I126" i="14606"/>
  <c r="J126" i="14606" s="1"/>
  <c r="J125" i="14606"/>
  <c r="M131" i="14606"/>
  <c r="A131" i="14606" s="1"/>
  <c r="L132" i="14606"/>
  <c r="D128" i="14606"/>
  <c r="E128" i="14606" s="1"/>
  <c r="F127" i="14606"/>
  <c r="D130" i="14606" l="1"/>
  <c r="E130" i="14606" s="1"/>
  <c r="F130" i="14606" s="1"/>
  <c r="G130" i="14606" s="1"/>
  <c r="F128" i="14606"/>
  <c r="G128" i="14606" s="1"/>
  <c r="H128" i="14606" s="1"/>
  <c r="F129" i="14606"/>
  <c r="G129" i="14606" s="1"/>
  <c r="H129" i="14606" s="1"/>
  <c r="I129" i="14606" s="1"/>
  <c r="M132" i="14606"/>
  <c r="A132" i="14606" s="1"/>
  <c r="L133" i="14606"/>
  <c r="B131" i="14606"/>
  <c r="C131" i="14606" s="1"/>
  <c r="G127" i="14606"/>
  <c r="M133" i="14606" l="1"/>
  <c r="A133" i="14606" s="1"/>
  <c r="L134" i="14606"/>
  <c r="D131" i="14606"/>
  <c r="H130" i="14606"/>
  <c r="I130" i="14606" s="1"/>
  <c r="I128" i="14606"/>
  <c r="J128" i="14606" s="1"/>
  <c r="J129" i="14606"/>
  <c r="H127" i="14606"/>
  <c r="I127" i="14606" s="1"/>
  <c r="B132" i="14606"/>
  <c r="B133" i="14606" l="1"/>
  <c r="C132" i="14606"/>
  <c r="J130" i="14606"/>
  <c r="J127" i="14606"/>
  <c r="M134" i="14606"/>
  <c r="A134" i="14606" s="1"/>
  <c r="L135" i="14606"/>
  <c r="E131" i="14606"/>
  <c r="C133" i="14606" l="1"/>
  <c r="D133" i="14606" s="1"/>
  <c r="M135" i="14606"/>
  <c r="A135" i="14606" s="1"/>
  <c r="L136" i="14606"/>
  <c r="B134" i="14606"/>
  <c r="C134" i="14606" s="1"/>
  <c r="F131" i="14606"/>
  <c r="G131" i="14606" s="1"/>
  <c r="H131" i="14606" s="1"/>
  <c r="D132" i="14606"/>
  <c r="D134" i="14606" l="1"/>
  <c r="E134" i="14606" s="1"/>
  <c r="F134" i="14606" s="1"/>
  <c r="E133" i="14606"/>
  <c r="F133" i="14606" s="1"/>
  <c r="G133" i="14606" s="1"/>
  <c r="B135" i="14606"/>
  <c r="C135" i="14606" s="1"/>
  <c r="I131" i="14606"/>
  <c r="J131" i="14606" s="1"/>
  <c r="E132" i="14606"/>
  <c r="M136" i="14606"/>
  <c r="A136" i="14606" s="1"/>
  <c r="L137" i="14606"/>
  <c r="H133" i="14606" l="1"/>
  <c r="I133" i="14606" s="1"/>
  <c r="J133" i="14606" s="1"/>
  <c r="G134" i="14606"/>
  <c r="B136" i="14606"/>
  <c r="M137" i="14606"/>
  <c r="A137" i="14606" s="1"/>
  <c r="L138" i="14606"/>
  <c r="D135" i="14606"/>
  <c r="E135" i="14606" s="1"/>
  <c r="F132" i="14606"/>
  <c r="H134" i="14606" l="1"/>
  <c r="B137" i="14606"/>
  <c r="M138" i="14606"/>
  <c r="A138" i="14606" s="1"/>
  <c r="L139" i="14606"/>
  <c r="F135" i="14606"/>
  <c r="G135" i="14606" s="1"/>
  <c r="C136" i="14606"/>
  <c r="D136" i="14606" s="1"/>
  <c r="E136" i="14606" s="1"/>
  <c r="F136" i="14606" s="1"/>
  <c r="G132" i="14606"/>
  <c r="I134" i="14606" l="1"/>
  <c r="J134" i="14606" s="1"/>
  <c r="M139" i="14606"/>
  <c r="A139" i="14606" s="1"/>
  <c r="L140" i="14606"/>
  <c r="G136" i="14606"/>
  <c r="H136" i="14606" s="1"/>
  <c r="I136" i="14606" s="1"/>
  <c r="C137" i="14606"/>
  <c r="H135" i="14606"/>
  <c r="B138" i="14606"/>
  <c r="H132" i="14606"/>
  <c r="B139" i="14606" l="1"/>
  <c r="M140" i="14606"/>
  <c r="A140" i="14606" s="1"/>
  <c r="L141" i="14606"/>
  <c r="I132" i="14606"/>
  <c r="J132" i="14606" s="1"/>
  <c r="C138" i="14606"/>
  <c r="D138" i="14606" s="1"/>
  <c r="J136" i="14606"/>
  <c r="D137" i="14606"/>
  <c r="E137" i="14606" s="1"/>
  <c r="I135" i="14606"/>
  <c r="J135" i="14606" s="1"/>
  <c r="C139" i="14606" l="1"/>
  <c r="D139" i="14606" s="1"/>
  <c r="M141" i="14606"/>
  <c r="A141" i="14606" s="1"/>
  <c r="L142" i="14606"/>
  <c r="B140" i="14606"/>
  <c r="C140" i="14606" s="1"/>
  <c r="E138" i="14606"/>
  <c r="F138" i="14606" s="1"/>
  <c r="F137" i="14606"/>
  <c r="E139" i="14606" l="1"/>
  <c r="F139" i="14606" s="1"/>
  <c r="G138" i="14606"/>
  <c r="M142" i="14606"/>
  <c r="A142" i="14606" s="1"/>
  <c r="L143" i="14606"/>
  <c r="B141" i="14606"/>
  <c r="C141" i="14606" s="1"/>
  <c r="D140" i="14606"/>
  <c r="G137" i="14606"/>
  <c r="H137" i="14606" s="1"/>
  <c r="G139" i="14606" l="1"/>
  <c r="H139" i="14606" s="1"/>
  <c r="I137" i="14606"/>
  <c r="J137" i="14606" s="1"/>
  <c r="D141" i="14606"/>
  <c r="M143" i="14606"/>
  <c r="A143" i="14606" s="1"/>
  <c r="L144" i="14606"/>
  <c r="B142" i="14606"/>
  <c r="C142" i="14606" s="1"/>
  <c r="E140" i="14606"/>
  <c r="H138" i="14606"/>
  <c r="I138" i="14606" s="1"/>
  <c r="I139" i="14606" l="1"/>
  <c r="J139" i="14606" s="1"/>
  <c r="B143" i="14606"/>
  <c r="C143" i="14606" s="1"/>
  <c r="F140" i="14606"/>
  <c r="D142" i="14606"/>
  <c r="E141" i="14606"/>
  <c r="M144" i="14606"/>
  <c r="A144" i="14606" s="1"/>
  <c r="L145" i="14606"/>
  <c r="J138" i="14606"/>
  <c r="M145" i="14606" l="1"/>
  <c r="A145" i="14606" s="1"/>
  <c r="L146" i="14606"/>
  <c r="G140" i="14606"/>
  <c r="F141" i="14606"/>
  <c r="D143" i="14606"/>
  <c r="E142" i="14606"/>
  <c r="B144" i="14606"/>
  <c r="C144" i="14606" s="1"/>
  <c r="D144" i="14606" l="1"/>
  <c r="E144" i="14606" s="1"/>
  <c r="G141" i="14606"/>
  <c r="H141" i="14606" s="1"/>
  <c r="B145" i="14606"/>
  <c r="C145" i="14606" s="1"/>
  <c r="H140" i="14606"/>
  <c r="I140" i="14606" s="1"/>
  <c r="F142" i="14606"/>
  <c r="M146" i="14606"/>
  <c r="A146" i="14606" s="1"/>
  <c r="L147" i="14606"/>
  <c r="E143" i="14606"/>
  <c r="D145" i="14606" l="1"/>
  <c r="F144" i="14606"/>
  <c r="G144" i="14606" s="1"/>
  <c r="M147" i="14606"/>
  <c r="A147" i="14606" s="1"/>
  <c r="L148" i="14606"/>
  <c r="B146" i="14606"/>
  <c r="C146" i="14606" s="1"/>
  <c r="F143" i="14606"/>
  <c r="G142" i="14606"/>
  <c r="H142" i="14606" s="1"/>
  <c r="E145" i="14606"/>
  <c r="I141" i="14606"/>
  <c r="J141" i="14606" s="1"/>
  <c r="J140" i="14606"/>
  <c r="H144" i="14606" l="1"/>
  <c r="I144" i="14606" s="1"/>
  <c r="J144" i="14606" s="1"/>
  <c r="I142" i="14606"/>
  <c r="J142" i="14606" s="1"/>
  <c r="D146" i="14606"/>
  <c r="F145" i="14606"/>
  <c r="G143" i="14606"/>
  <c r="H143" i="14606" s="1"/>
  <c r="B147" i="14606"/>
  <c r="C147" i="14606" s="1"/>
  <c r="M148" i="14606"/>
  <c r="A148" i="14606" s="1"/>
  <c r="L149" i="14606"/>
  <c r="I143" i="14606" l="1"/>
  <c r="J143" i="14606" s="1"/>
  <c r="B148" i="14606"/>
  <c r="M149" i="14606"/>
  <c r="A149" i="14606" s="1"/>
  <c r="L150" i="14606"/>
  <c r="G145" i="14606"/>
  <c r="D147" i="14606"/>
  <c r="E147" i="14606" s="1"/>
  <c r="E146" i="14606"/>
  <c r="F146" i="14606" s="1"/>
  <c r="F147" i="14606" l="1"/>
  <c r="G147" i="14606" s="1"/>
  <c r="M150" i="14606"/>
  <c r="A150" i="14606" s="1"/>
  <c r="L151" i="14606"/>
  <c r="B149" i="14606"/>
  <c r="H145" i="14606"/>
  <c r="I145" i="14606" s="1"/>
  <c r="J145" i="14606" s="1"/>
  <c r="G146" i="14606"/>
  <c r="C148" i="14606"/>
  <c r="D148" i="14606" s="1"/>
  <c r="H147" i="14606" l="1"/>
  <c r="I147" i="14606" s="1"/>
  <c r="J147" i="14606" s="1"/>
  <c r="M151" i="14606"/>
  <c r="A151" i="14606" s="1"/>
  <c r="L152" i="14606"/>
  <c r="C149" i="14606"/>
  <c r="D149" i="14606" s="1"/>
  <c r="H146" i="14606"/>
  <c r="I146" i="14606" s="1"/>
  <c r="B150" i="14606"/>
  <c r="C150" i="14606" s="1"/>
  <c r="E148" i="14606"/>
  <c r="D150" i="14606" l="1"/>
  <c r="E150" i="14606" s="1"/>
  <c r="B151" i="14606"/>
  <c r="C151" i="14606" s="1"/>
  <c r="F148" i="14606"/>
  <c r="J146" i="14606"/>
  <c r="E149" i="14606"/>
  <c r="M152" i="14606"/>
  <c r="A152" i="14606" s="1"/>
  <c r="L153" i="14606"/>
  <c r="D151" i="14606" l="1"/>
  <c r="E151" i="14606" s="1"/>
  <c r="F151" i="14606" s="1"/>
  <c r="F150" i="14606"/>
  <c r="B152" i="14606"/>
  <c r="C152" i="14606" s="1"/>
  <c r="G148" i="14606"/>
  <c r="F149" i="14606"/>
  <c r="G149" i="14606" s="1"/>
  <c r="M153" i="14606"/>
  <c r="A153" i="14606" s="1"/>
  <c r="L154" i="14606"/>
  <c r="G150" i="14606" l="1"/>
  <c r="H150" i="14606" s="1"/>
  <c r="I150" i="14606" s="1"/>
  <c r="J150" i="14606" s="1"/>
  <c r="B153" i="14606"/>
  <c r="C153" i="14606" s="1"/>
  <c r="M154" i="14606"/>
  <c r="A154" i="14606" s="1"/>
  <c r="L155" i="14606"/>
  <c r="D152" i="14606"/>
  <c r="E152" i="14606" s="1"/>
  <c r="H148" i="14606"/>
  <c r="I148" i="14606" s="1"/>
  <c r="G151" i="14606"/>
  <c r="H149" i="14606"/>
  <c r="I149" i="14606" s="1"/>
  <c r="F152" i="14606" l="1"/>
  <c r="G152" i="14606" s="1"/>
  <c r="H152" i="14606" s="1"/>
  <c r="J149" i="14606"/>
  <c r="J148" i="14606"/>
  <c r="B154" i="14606"/>
  <c r="M155" i="14606"/>
  <c r="A155" i="14606" s="1"/>
  <c r="L156" i="14606"/>
  <c r="H151" i="14606"/>
  <c r="D153" i="14606"/>
  <c r="I151" i="14606" l="1"/>
  <c r="J151" i="14606" s="1"/>
  <c r="I152" i="14606"/>
  <c r="J152" i="14606" s="1"/>
  <c r="M156" i="14606"/>
  <c r="A156" i="14606" s="1"/>
  <c r="L157" i="14606"/>
  <c r="B155" i="14606"/>
  <c r="C155" i="14606" s="1"/>
  <c r="C154" i="14606"/>
  <c r="D154" i="14606" s="1"/>
  <c r="E153" i="14606"/>
  <c r="F153" i="14606" s="1"/>
  <c r="D155" i="14606" l="1"/>
  <c r="E155" i="14606" s="1"/>
  <c r="B156" i="14606"/>
  <c r="M157" i="14606"/>
  <c r="A157" i="14606" s="1"/>
  <c r="L158" i="14606"/>
  <c r="E154" i="14606"/>
  <c r="F154" i="14606" s="1"/>
  <c r="G153" i="14606"/>
  <c r="G154" i="14606" l="1"/>
  <c r="H154" i="14606" s="1"/>
  <c r="M158" i="14606"/>
  <c r="A158" i="14606" s="1"/>
  <c r="L159" i="14606"/>
  <c r="H153" i="14606"/>
  <c r="I153" i="14606" s="1"/>
  <c r="B157" i="14606"/>
  <c r="C157" i="14606" s="1"/>
  <c r="F155" i="14606"/>
  <c r="C156" i="14606"/>
  <c r="D156" i="14606" s="1"/>
  <c r="E156" i="14606" s="1"/>
  <c r="I154" i="14606" l="1"/>
  <c r="J154" i="14606" s="1"/>
  <c r="J153" i="14606"/>
  <c r="F156" i="14606"/>
  <c r="G156" i="14606" s="1"/>
  <c r="D157" i="14606"/>
  <c r="B158" i="14606"/>
  <c r="C158" i="14606" s="1"/>
  <c r="G155" i="14606"/>
  <c r="H155" i="14606" s="1"/>
  <c r="I155" i="14606" s="1"/>
  <c r="M159" i="14606"/>
  <c r="A159" i="14606" s="1"/>
  <c r="L160" i="14606"/>
  <c r="H156" i="14606" l="1"/>
  <c r="I156" i="14606" s="1"/>
  <c r="D158" i="14606"/>
  <c r="M160" i="14606"/>
  <c r="A160" i="14606" s="1"/>
  <c r="L161" i="14606"/>
  <c r="J155" i="14606"/>
  <c r="E157" i="14606"/>
  <c r="B159" i="14606"/>
  <c r="C159" i="14606" s="1"/>
  <c r="D159" i="14606" s="1"/>
  <c r="J156" i="14606" l="1"/>
  <c r="F157" i="14606"/>
  <c r="M161" i="14606"/>
  <c r="A161" i="14606" s="1"/>
  <c r="L162" i="14606"/>
  <c r="E159" i="14606"/>
  <c r="F159" i="14606" s="1"/>
  <c r="E158" i="14606"/>
  <c r="B160" i="14606"/>
  <c r="C160" i="14606" s="1"/>
  <c r="D160" i="14606" l="1"/>
  <c r="E160" i="14606" s="1"/>
  <c r="B161" i="14606"/>
  <c r="C161" i="14606" s="1"/>
  <c r="M162" i="14606"/>
  <c r="A162" i="14606" s="1"/>
  <c r="L163" i="14606"/>
  <c r="F158" i="14606"/>
  <c r="G158" i="14606" s="1"/>
  <c r="G157" i="14606"/>
  <c r="G159" i="14606"/>
  <c r="H159" i="14606" s="1"/>
  <c r="H158" i="14606" l="1"/>
  <c r="I158" i="14606" s="1"/>
  <c r="J158" i="14606" s="1"/>
  <c r="B162" i="14606"/>
  <c r="I159" i="14606"/>
  <c r="J159" i="14606" s="1"/>
  <c r="F160" i="14606"/>
  <c r="G160" i="14606" s="1"/>
  <c r="D161" i="14606"/>
  <c r="H157" i="14606"/>
  <c r="I157" i="14606" s="1"/>
  <c r="M163" i="14606"/>
  <c r="A163" i="14606" s="1"/>
  <c r="L164" i="14606"/>
  <c r="H160" i="14606" l="1"/>
  <c r="I160" i="14606" s="1"/>
  <c r="J160" i="14606" s="1"/>
  <c r="M164" i="14606"/>
  <c r="A164" i="14606" s="1"/>
  <c r="L165" i="14606"/>
  <c r="B163" i="14606"/>
  <c r="C163" i="14606" s="1"/>
  <c r="D163" i="14606" s="1"/>
  <c r="C162" i="14606"/>
  <c r="D162" i="14606" s="1"/>
  <c r="E162" i="14606" s="1"/>
  <c r="E161" i="14606"/>
  <c r="J157" i="14606"/>
  <c r="F162" i="14606" l="1"/>
  <c r="G162" i="14606" s="1"/>
  <c r="H162" i="14606" s="1"/>
  <c r="I162" i="14606" s="1"/>
  <c r="L166" i="14606"/>
  <c r="M165" i="14606"/>
  <c r="A165" i="14606" s="1"/>
  <c r="B164" i="14606"/>
  <c r="F161" i="14606"/>
  <c r="G161" i="14606" s="1"/>
  <c r="E163" i="14606"/>
  <c r="F163" i="14606" s="1"/>
  <c r="H161" i="14606" l="1"/>
  <c r="G163" i="14606"/>
  <c r="H163" i="14606" s="1"/>
  <c r="I163" i="14606" s="1"/>
  <c r="J163" i="14606" s="1"/>
  <c r="B165" i="14606"/>
  <c r="C165" i="14606" s="1"/>
  <c r="M166" i="14606"/>
  <c r="A166" i="14606" s="1"/>
  <c r="L167" i="14606"/>
  <c r="I161" i="14606"/>
  <c r="J161" i="14606" s="1"/>
  <c r="C164" i="14606"/>
  <c r="J162" i="14606"/>
  <c r="B166" i="14606" l="1"/>
  <c r="M167" i="14606"/>
  <c r="A167" i="14606" s="1"/>
  <c r="L168" i="14606"/>
  <c r="D165" i="14606"/>
  <c r="D164" i="14606"/>
  <c r="E164" i="14606" s="1"/>
  <c r="B167" i="14606" l="1"/>
  <c r="F164" i="14606"/>
  <c r="G164" i="14606" s="1"/>
  <c r="C166" i="14606"/>
  <c r="D166" i="14606" s="1"/>
  <c r="E166" i="14606" s="1"/>
  <c r="F166" i="14606" s="1"/>
  <c r="E165" i="14606"/>
  <c r="M168" i="14606"/>
  <c r="A168" i="14606" s="1"/>
  <c r="L169" i="14606"/>
  <c r="C167" i="14606" l="1"/>
  <c r="D167" i="14606" s="1"/>
  <c r="F165" i="14606"/>
  <c r="B168" i="14606"/>
  <c r="C168" i="14606" s="1"/>
  <c r="G166" i="14606"/>
  <c r="H166" i="14606" s="1"/>
  <c r="H164" i="14606"/>
  <c r="I164" i="14606" s="1"/>
  <c r="J164" i="14606" s="1"/>
  <c r="M169" i="14606"/>
  <c r="A169" i="14606" s="1"/>
  <c r="L170" i="14606"/>
  <c r="D168" i="14606" l="1"/>
  <c r="E167" i="14606"/>
  <c r="F167" i="14606" s="1"/>
  <c r="I166" i="14606"/>
  <c r="J166" i="14606" s="1"/>
  <c r="B169" i="14606"/>
  <c r="C169" i="14606" s="1"/>
  <c r="M170" i="14606"/>
  <c r="A170" i="14606" s="1"/>
  <c r="L171" i="14606"/>
  <c r="E168" i="14606"/>
  <c r="G165" i="14606"/>
  <c r="D169" i="14606" l="1"/>
  <c r="B170" i="14606"/>
  <c r="C170" i="14606" s="1"/>
  <c r="M171" i="14606"/>
  <c r="A171" i="14606" s="1"/>
  <c r="L172" i="14606"/>
  <c r="H165" i="14606"/>
  <c r="I165" i="14606" s="1"/>
  <c r="G167" i="14606"/>
  <c r="H167" i="14606" s="1"/>
  <c r="F168" i="14606"/>
  <c r="I167" i="14606" l="1"/>
  <c r="J167" i="14606" s="1"/>
  <c r="B171" i="14606"/>
  <c r="D170" i="14606"/>
  <c r="E170" i="14606" s="1"/>
  <c r="J165" i="14606"/>
  <c r="G168" i="14606"/>
  <c r="M172" i="14606"/>
  <c r="A172" i="14606" s="1"/>
  <c r="L173" i="14606"/>
  <c r="E169" i="14606"/>
  <c r="B172" i="14606" l="1"/>
  <c r="C172" i="14606" s="1"/>
  <c r="C171" i="14606"/>
  <c r="D171" i="14606" s="1"/>
  <c r="H168" i="14606"/>
  <c r="I168" i="14606" s="1"/>
  <c r="F169" i="14606"/>
  <c r="F170" i="14606"/>
  <c r="M173" i="14606"/>
  <c r="A173" i="14606" s="1"/>
  <c r="L174" i="14606"/>
  <c r="J168" i="14606" l="1"/>
  <c r="M174" i="14606"/>
  <c r="A174" i="14606" s="1"/>
  <c r="L175" i="14606"/>
  <c r="E171" i="14606"/>
  <c r="F171" i="14606" s="1"/>
  <c r="G171" i="14606" s="1"/>
  <c r="G169" i="14606"/>
  <c r="H169" i="14606" s="1"/>
  <c r="G170" i="14606"/>
  <c r="B173" i="14606"/>
  <c r="D172" i="14606"/>
  <c r="I169" i="14606" l="1"/>
  <c r="J169" i="14606" s="1"/>
  <c r="M175" i="14606"/>
  <c r="A175" i="14606" s="1"/>
  <c r="L176" i="14606"/>
  <c r="H170" i="14606"/>
  <c r="B174" i="14606"/>
  <c r="C174" i="14606" s="1"/>
  <c r="C173" i="14606"/>
  <c r="E172" i="14606"/>
  <c r="I170" i="14606"/>
  <c r="H171" i="14606"/>
  <c r="J170" i="14606" l="1"/>
  <c r="I171" i="14606"/>
  <c r="J171" i="14606" s="1"/>
  <c r="M176" i="14606"/>
  <c r="A176" i="14606" s="1"/>
  <c r="L177" i="14606"/>
  <c r="F172" i="14606"/>
  <c r="D174" i="14606"/>
  <c r="D173" i="14606"/>
  <c r="B175" i="14606"/>
  <c r="C175" i="14606" s="1"/>
  <c r="D175" i="14606" s="1"/>
  <c r="E175" i="14606" l="1"/>
  <c r="M177" i="14606"/>
  <c r="A177" i="14606" s="1"/>
  <c r="L178" i="14606"/>
  <c r="B176" i="14606"/>
  <c r="C176" i="14606" s="1"/>
  <c r="F175" i="14606"/>
  <c r="G175" i="14606" s="1"/>
  <c r="E174" i="14606"/>
  <c r="F174" i="14606" s="1"/>
  <c r="G172" i="14606"/>
  <c r="H172" i="14606" s="1"/>
  <c r="I172" i="14606" s="1"/>
  <c r="E173" i="14606"/>
  <c r="G174" i="14606" l="1"/>
  <c r="H174" i="14606" s="1"/>
  <c r="D176" i="14606"/>
  <c r="E176" i="14606" s="1"/>
  <c r="J172" i="14606"/>
  <c r="B177" i="14606"/>
  <c r="H175" i="14606"/>
  <c r="I175" i="14606" s="1"/>
  <c r="F173" i="14606"/>
  <c r="M178" i="14606"/>
  <c r="A178" i="14606" s="1"/>
  <c r="L179" i="14606"/>
  <c r="J175" i="14606" l="1"/>
  <c r="I174" i="14606"/>
  <c r="J174" i="14606" s="1"/>
  <c r="F176" i="14606"/>
  <c r="B178" i="14606"/>
  <c r="C178" i="14606" s="1"/>
  <c r="M179" i="14606"/>
  <c r="A179" i="14606" s="1"/>
  <c r="L180" i="14606"/>
  <c r="G173" i="14606"/>
  <c r="H173" i="14606" s="1"/>
  <c r="C177" i="14606"/>
  <c r="D178" i="14606" l="1"/>
  <c r="E178" i="14606" s="1"/>
  <c r="B179" i="14606"/>
  <c r="C179" i="14606" s="1"/>
  <c r="I173" i="14606"/>
  <c r="J173" i="14606" s="1"/>
  <c r="D177" i="14606"/>
  <c r="E177" i="14606" s="1"/>
  <c r="F177" i="14606" s="1"/>
  <c r="G176" i="14606"/>
  <c r="M180" i="14606"/>
  <c r="A180" i="14606" s="1"/>
  <c r="L181" i="14606"/>
  <c r="H176" i="14606" l="1"/>
  <c r="I176" i="14606" s="1"/>
  <c r="J176" i="14606" s="1"/>
  <c r="F178" i="14606"/>
  <c r="G178" i="14606" s="1"/>
  <c r="B180" i="14606"/>
  <c r="C180" i="14606" s="1"/>
  <c r="M181" i="14606"/>
  <c r="A181" i="14606" s="1"/>
  <c r="L182" i="14606"/>
  <c r="G177" i="14606"/>
  <c r="D179" i="14606"/>
  <c r="H178" i="14606" l="1"/>
  <c r="I178" i="14606" s="1"/>
  <c r="D180" i="14606"/>
  <c r="E180" i="14606" s="1"/>
  <c r="B181" i="14606"/>
  <c r="M182" i="14606"/>
  <c r="A182" i="14606" s="1"/>
  <c r="L183" i="14606"/>
  <c r="E179" i="14606"/>
  <c r="F179" i="14606" s="1"/>
  <c r="H177" i="14606"/>
  <c r="I177" i="14606" s="1"/>
  <c r="J178" i="14606" l="1"/>
  <c r="M183" i="14606"/>
  <c r="A183" i="14606" s="1"/>
  <c r="L184" i="14606"/>
  <c r="B182" i="14606"/>
  <c r="C182" i="14606" s="1"/>
  <c r="J177" i="14606"/>
  <c r="G179" i="14606"/>
  <c r="H179" i="14606" s="1"/>
  <c r="C181" i="14606"/>
  <c r="F180" i="14606"/>
  <c r="I179" i="14606" l="1"/>
  <c r="J179" i="14606" s="1"/>
  <c r="B183" i="14606"/>
  <c r="C183" i="14606" s="1"/>
  <c r="D181" i="14606"/>
  <c r="E181" i="14606" s="1"/>
  <c r="F181" i="14606" s="1"/>
  <c r="M184" i="14606"/>
  <c r="A184" i="14606" s="1"/>
  <c r="L185" i="14606"/>
  <c r="G180" i="14606"/>
  <c r="H180" i="14606" s="1"/>
  <c r="D182" i="14606"/>
  <c r="G181" i="14606" l="1"/>
  <c r="B184" i="14606"/>
  <c r="C184" i="14606" s="1"/>
  <c r="D183" i="14606"/>
  <c r="I180" i="14606"/>
  <c r="J180" i="14606" s="1"/>
  <c r="E182" i="14606"/>
  <c r="F182" i="14606" s="1"/>
  <c r="M185" i="14606"/>
  <c r="A185" i="14606" s="1"/>
  <c r="L186" i="14606"/>
  <c r="H181" i="14606"/>
  <c r="B185" i="14606" l="1"/>
  <c r="M186" i="14606"/>
  <c r="A186" i="14606" s="1"/>
  <c r="L187" i="14606"/>
  <c r="G182" i="14606"/>
  <c r="H182" i="14606" s="1"/>
  <c r="I182" i="14606" s="1"/>
  <c r="D184" i="14606"/>
  <c r="I181" i="14606"/>
  <c r="J181" i="14606" s="1"/>
  <c r="E183" i="14606"/>
  <c r="J182" i="14606" l="1"/>
  <c r="C185" i="14606"/>
  <c r="D185" i="14606" s="1"/>
  <c r="B186" i="14606"/>
  <c r="M187" i="14606"/>
  <c r="A187" i="14606" s="1"/>
  <c r="L188" i="14606"/>
  <c r="F183" i="14606"/>
  <c r="E184" i="14606"/>
  <c r="E185" i="14606" l="1"/>
  <c r="F185" i="14606" s="1"/>
  <c r="C186" i="14606"/>
  <c r="D186" i="14606" s="1"/>
  <c r="B187" i="14606"/>
  <c r="G183" i="14606"/>
  <c r="F184" i="14606"/>
  <c r="M188" i="14606"/>
  <c r="A188" i="14606" s="1"/>
  <c r="L189" i="14606"/>
  <c r="E186" i="14606" l="1"/>
  <c r="F186" i="14606" s="1"/>
  <c r="G186" i="14606" s="1"/>
  <c r="G185" i="14606"/>
  <c r="H185" i="14606" s="1"/>
  <c r="B188" i="14606"/>
  <c r="M189" i="14606"/>
  <c r="A189" i="14606" s="1"/>
  <c r="L190" i="14606"/>
  <c r="H183" i="14606"/>
  <c r="I183" i="14606" s="1"/>
  <c r="G184" i="14606"/>
  <c r="C187" i="14606"/>
  <c r="J183" i="14606" l="1"/>
  <c r="I185" i="14606"/>
  <c r="J185" i="14606" s="1"/>
  <c r="M190" i="14606"/>
  <c r="A190" i="14606" s="1"/>
  <c r="L191" i="14606"/>
  <c r="B189" i="14606"/>
  <c r="C189" i="14606" s="1"/>
  <c r="C188" i="14606"/>
  <c r="D188" i="14606" s="1"/>
  <c r="E188" i="14606" s="1"/>
  <c r="H184" i="14606"/>
  <c r="I184" i="14606" s="1"/>
  <c r="J184" i="14606" s="1"/>
  <c r="H186" i="14606"/>
  <c r="I186" i="14606" s="1"/>
  <c r="J186" i="14606" s="1"/>
  <c r="D187" i="14606"/>
  <c r="F188" i="14606" l="1"/>
  <c r="B190" i="14606"/>
  <c r="C190" i="14606" s="1"/>
  <c r="D189" i="14606"/>
  <c r="E187" i="14606"/>
  <c r="F187" i="14606" s="1"/>
  <c r="M191" i="14606"/>
  <c r="A191" i="14606" s="1"/>
  <c r="L192" i="14606"/>
  <c r="D190" i="14606" l="1"/>
  <c r="E190" i="14606" s="1"/>
  <c r="M192" i="14606"/>
  <c r="A192" i="14606" s="1"/>
  <c r="L193" i="14606"/>
  <c r="G187" i="14606"/>
  <c r="G188" i="14606"/>
  <c r="H188" i="14606" s="1"/>
  <c r="I188" i="14606" s="1"/>
  <c r="J188" i="14606" s="1"/>
  <c r="B191" i="14606"/>
  <c r="C191" i="14606" s="1"/>
  <c r="D191" i="14606" s="1"/>
  <c r="E189" i="14606"/>
  <c r="L194" i="14606" l="1"/>
  <c r="M193" i="14606"/>
  <c r="A193" i="14606" s="1"/>
  <c r="H187" i="14606"/>
  <c r="I187" i="14606" s="1"/>
  <c r="B192" i="14606"/>
  <c r="C192" i="14606" s="1"/>
  <c r="E191" i="14606"/>
  <c r="F190" i="14606"/>
  <c r="G190" i="14606" s="1"/>
  <c r="F189" i="14606"/>
  <c r="B193" i="14606" l="1"/>
  <c r="L195" i="14606"/>
  <c r="M194" i="14606"/>
  <c r="A194" i="14606" s="1"/>
  <c r="G189" i="14606"/>
  <c r="D192" i="14606"/>
  <c r="J187" i="14606"/>
  <c r="F191" i="14606"/>
  <c r="H190" i="14606"/>
  <c r="I190" i="14606" s="1"/>
  <c r="J190" i="14606" s="1"/>
  <c r="C193" i="14606" l="1"/>
  <c r="E192" i="14606"/>
  <c r="B194" i="14606"/>
  <c r="C194" i="14606" s="1"/>
  <c r="G191" i="14606"/>
  <c r="M195" i="14606"/>
  <c r="A195" i="14606" s="1"/>
  <c r="L196" i="14606"/>
  <c r="H189" i="14606"/>
  <c r="I189" i="14606" s="1"/>
  <c r="F192" i="14606" l="1"/>
  <c r="G192" i="14606" s="1"/>
  <c r="D193" i="14606"/>
  <c r="B195" i="14606"/>
  <c r="C195" i="14606" s="1"/>
  <c r="H191" i="14606"/>
  <c r="M196" i="14606"/>
  <c r="A196" i="14606" s="1"/>
  <c r="L197" i="14606"/>
  <c r="D194" i="14606"/>
  <c r="J189" i="14606"/>
  <c r="D195" i="14606" l="1"/>
  <c r="E195" i="14606" s="1"/>
  <c r="F195" i="14606" s="1"/>
  <c r="H192" i="14606"/>
  <c r="I192" i="14606" s="1"/>
  <c r="J192" i="14606" s="1"/>
  <c r="E193" i="14606"/>
  <c r="M197" i="14606"/>
  <c r="A197" i="14606" s="1"/>
  <c r="L198" i="14606"/>
  <c r="E194" i="14606"/>
  <c r="F194" i="14606" s="1"/>
  <c r="I191" i="14606"/>
  <c r="J191" i="14606" s="1"/>
  <c r="B196" i="14606"/>
  <c r="F193" i="14606" l="1"/>
  <c r="G193" i="14606" s="1"/>
  <c r="H193" i="14606" s="1"/>
  <c r="C196" i="14606"/>
  <c r="G195" i="14606"/>
  <c r="G194" i="14606"/>
  <c r="M198" i="14606"/>
  <c r="A198" i="14606" s="1"/>
  <c r="L199" i="14606"/>
  <c r="B197" i="14606"/>
  <c r="C197" i="14606" s="1"/>
  <c r="H194" i="14606" l="1"/>
  <c r="I194" i="14606" s="1"/>
  <c r="J194" i="14606" s="1"/>
  <c r="D196" i="14606"/>
  <c r="H195" i="14606"/>
  <c r="I193" i="14606"/>
  <c r="J193" i="14606" s="1"/>
  <c r="B198" i="14606"/>
  <c r="C198" i="14606" s="1"/>
  <c r="M199" i="14606"/>
  <c r="A199" i="14606" s="1"/>
  <c r="L200" i="14606"/>
  <c r="D197" i="14606"/>
  <c r="E197" i="14606" s="1"/>
  <c r="I195" i="14606" l="1"/>
  <c r="J195" i="14606" s="1"/>
  <c r="E196" i="14606"/>
  <c r="M200" i="14606"/>
  <c r="A200" i="14606" s="1"/>
  <c r="L201" i="14606"/>
  <c r="B199" i="14606"/>
  <c r="C199" i="14606" s="1"/>
  <c r="D198" i="14606"/>
  <c r="E198" i="14606" s="1"/>
  <c r="F197" i="14606"/>
  <c r="F196" i="14606" l="1"/>
  <c r="G197" i="14606"/>
  <c r="H197" i="14606" s="1"/>
  <c r="D199" i="14606"/>
  <c r="E199" i="14606" s="1"/>
  <c r="F199" i="14606" s="1"/>
  <c r="G199" i="14606" s="1"/>
  <c r="G196" i="14606"/>
  <c r="H196" i="14606" s="1"/>
  <c r="B200" i="14606"/>
  <c r="C200" i="14606" s="1"/>
  <c r="F198" i="14606"/>
  <c r="M201" i="14606"/>
  <c r="A201" i="14606" s="1"/>
  <c r="L202" i="14606"/>
  <c r="I196" i="14606" l="1"/>
  <c r="J196" i="14606" s="1"/>
  <c r="I197" i="14606"/>
  <c r="J197" i="14606" s="1"/>
  <c r="G198" i="14606"/>
  <c r="H198" i="14606" s="1"/>
  <c r="M202" i="14606"/>
  <c r="A202" i="14606" s="1"/>
  <c r="L203" i="14606"/>
  <c r="B201" i="14606"/>
  <c r="H199" i="14606"/>
  <c r="I199" i="14606" s="1"/>
  <c r="D200" i="14606"/>
  <c r="I198" i="14606" l="1"/>
  <c r="J198" i="14606" s="1"/>
  <c r="B202" i="14606"/>
  <c r="E200" i="14606"/>
  <c r="F200" i="14606" s="1"/>
  <c r="M203" i="14606"/>
  <c r="A203" i="14606" s="1"/>
  <c r="L204" i="14606"/>
  <c r="C201" i="14606"/>
  <c r="D201" i="14606" s="1"/>
  <c r="J199" i="14606"/>
  <c r="E201" i="14606" l="1"/>
  <c r="F201" i="14606" s="1"/>
  <c r="B203" i="14606"/>
  <c r="M204" i="14606"/>
  <c r="A204" i="14606" s="1"/>
  <c r="L205" i="14606"/>
  <c r="G200" i="14606"/>
  <c r="H200" i="14606" s="1"/>
  <c r="C202" i="14606"/>
  <c r="D202" i="14606" s="1"/>
  <c r="C203" i="14606" l="1"/>
  <c r="D203" i="14606" s="1"/>
  <c r="I200" i="14606"/>
  <c r="J200" i="14606" s="1"/>
  <c r="M205" i="14606"/>
  <c r="A205" i="14606" s="1"/>
  <c r="L206" i="14606"/>
  <c r="E202" i="14606"/>
  <c r="G201" i="14606"/>
  <c r="H201" i="14606" s="1"/>
  <c r="B204" i="14606"/>
  <c r="C204" i="14606" s="1"/>
  <c r="E203" i="14606" l="1"/>
  <c r="F203" i="14606" s="1"/>
  <c r="I201" i="14606"/>
  <c r="J201" i="14606" s="1"/>
  <c r="M206" i="14606"/>
  <c r="A206" i="14606" s="1"/>
  <c r="L207" i="14606"/>
  <c r="B205" i="14606"/>
  <c r="C205" i="14606" s="1"/>
  <c r="F202" i="14606"/>
  <c r="G202" i="14606" s="1"/>
  <c r="D204" i="14606"/>
  <c r="E204" i="14606" s="1"/>
  <c r="G203" i="14606" l="1"/>
  <c r="H203" i="14606" s="1"/>
  <c r="I203" i="14606" s="1"/>
  <c r="J203" i="14606" s="1"/>
  <c r="H202" i="14606"/>
  <c r="I202" i="14606" s="1"/>
  <c r="J202" i="14606" s="1"/>
  <c r="D205" i="14606"/>
  <c r="E205" i="14606" s="1"/>
  <c r="M207" i="14606"/>
  <c r="A207" i="14606" s="1"/>
  <c r="L208" i="14606"/>
  <c r="B206" i="14606"/>
  <c r="C206" i="14606" s="1"/>
  <c r="F204" i="14606"/>
  <c r="F205" i="14606" l="1"/>
  <c r="G205" i="14606" s="1"/>
  <c r="M208" i="14606"/>
  <c r="A208" i="14606" s="1"/>
  <c r="L209" i="14606"/>
  <c r="G204" i="14606"/>
  <c r="H204" i="14606" s="1"/>
  <c r="B207" i="14606"/>
  <c r="D206" i="14606"/>
  <c r="E206" i="14606" s="1"/>
  <c r="H205" i="14606" l="1"/>
  <c r="I205" i="14606" s="1"/>
  <c r="J205" i="14606" s="1"/>
  <c r="F206" i="14606"/>
  <c r="G206" i="14606" s="1"/>
  <c r="H206" i="14606" s="1"/>
  <c r="I206" i="14606" s="1"/>
  <c r="B208" i="14606"/>
  <c r="C208" i="14606" s="1"/>
  <c r="C207" i="14606"/>
  <c r="I204" i="14606"/>
  <c r="J204" i="14606" s="1"/>
  <c r="M209" i="14606"/>
  <c r="A209" i="14606" s="1"/>
  <c r="L210" i="14606"/>
  <c r="J206" i="14606" l="1"/>
  <c r="D208" i="14606"/>
  <c r="E208" i="14606" s="1"/>
  <c r="B209" i="14606"/>
  <c r="C209" i="14606" s="1"/>
  <c r="D207" i="14606"/>
  <c r="E207" i="14606" s="1"/>
  <c r="M210" i="14606"/>
  <c r="A210" i="14606" s="1"/>
  <c r="L211" i="14606"/>
  <c r="M211" i="14606" l="1"/>
  <c r="A211" i="14606" s="1"/>
  <c r="L212" i="14606"/>
  <c r="D209" i="14606"/>
  <c r="E209" i="14606" s="1"/>
  <c r="F208" i="14606"/>
  <c r="G208" i="14606" s="1"/>
  <c r="F207" i="14606"/>
  <c r="B210" i="14606"/>
  <c r="C210" i="14606" l="1"/>
  <c r="D210" i="14606" s="1"/>
  <c r="F209" i="14606"/>
  <c r="G209" i="14606" s="1"/>
  <c r="H209" i="14606" s="1"/>
  <c r="I209" i="14606" s="1"/>
  <c r="J209" i="14606" s="1"/>
  <c r="H208" i="14606"/>
  <c r="I208" i="14606" s="1"/>
  <c r="B211" i="14606"/>
  <c r="M212" i="14606"/>
  <c r="A212" i="14606" s="1"/>
  <c r="L213" i="14606"/>
  <c r="G207" i="14606"/>
  <c r="H207" i="14606" s="1"/>
  <c r="J208" i="14606" l="1"/>
  <c r="E210" i="14606"/>
  <c r="F210" i="14606" s="1"/>
  <c r="I207" i="14606"/>
  <c r="J207" i="14606" s="1"/>
  <c r="M213" i="14606"/>
  <c r="A213" i="14606" s="1"/>
  <c r="L214" i="14606"/>
  <c r="B212" i="14606"/>
  <c r="C212" i="14606" s="1"/>
  <c r="C211" i="14606"/>
  <c r="D211" i="14606" s="1"/>
  <c r="G210" i="14606" l="1"/>
  <c r="D212" i="14606"/>
  <c r="E212" i="14606" s="1"/>
  <c r="M214" i="14606"/>
  <c r="A214" i="14606" s="1"/>
  <c r="L215" i="14606"/>
  <c r="E211" i="14606"/>
  <c r="B213" i="14606"/>
  <c r="C213" i="14606" s="1"/>
  <c r="H210" i="14606" l="1"/>
  <c r="D213" i="14606"/>
  <c r="M215" i="14606"/>
  <c r="A215" i="14606" s="1"/>
  <c r="L216" i="14606"/>
  <c r="B214" i="14606"/>
  <c r="C214" i="14606" s="1"/>
  <c r="F212" i="14606"/>
  <c r="G212" i="14606" s="1"/>
  <c r="F211" i="14606"/>
  <c r="I210" i="14606" l="1"/>
  <c r="J210" i="14606" s="1"/>
  <c r="D214" i="14606"/>
  <c r="E214" i="14606" s="1"/>
  <c r="F214" i="14606" s="1"/>
  <c r="M216" i="14606"/>
  <c r="A216" i="14606" s="1"/>
  <c r="L217" i="14606"/>
  <c r="B215" i="14606"/>
  <c r="E213" i="14606"/>
  <c r="F213" i="14606" s="1"/>
  <c r="G213" i="14606" s="1"/>
  <c r="H212" i="14606"/>
  <c r="I212" i="14606" s="1"/>
  <c r="G211" i="14606"/>
  <c r="C215" i="14606" l="1"/>
  <c r="D215" i="14606" s="1"/>
  <c r="G214" i="14606"/>
  <c r="H214" i="14606" s="1"/>
  <c r="I214" i="14606" s="1"/>
  <c r="H213" i="14606"/>
  <c r="I213" i="14606" s="1"/>
  <c r="J213" i="14606" s="1"/>
  <c r="B216" i="14606"/>
  <c r="M217" i="14606"/>
  <c r="A217" i="14606" s="1"/>
  <c r="L218" i="14606"/>
  <c r="J212" i="14606"/>
  <c r="H211" i="14606"/>
  <c r="E215" i="14606" l="1"/>
  <c r="F215" i="14606" s="1"/>
  <c r="G215" i="14606" s="1"/>
  <c r="H215" i="14606" s="1"/>
  <c r="I215" i="14606" s="1"/>
  <c r="J215" i="14606" s="1"/>
  <c r="J214" i="14606"/>
  <c r="B217" i="14606"/>
  <c r="M218" i="14606"/>
  <c r="A218" i="14606" s="1"/>
  <c r="L219" i="14606"/>
  <c r="I211" i="14606"/>
  <c r="J211" i="14606" s="1"/>
  <c r="C216" i="14606"/>
  <c r="B218" i="14606" l="1"/>
  <c r="C218" i="14606" s="1"/>
  <c r="D216" i="14606"/>
  <c r="E216" i="14606" s="1"/>
  <c r="C217" i="14606"/>
  <c r="M219" i="14606"/>
  <c r="A219" i="14606" s="1"/>
  <c r="L220" i="14606"/>
  <c r="M220" i="14606" l="1"/>
  <c r="A220" i="14606" s="1"/>
  <c r="L221" i="14606"/>
  <c r="B219" i="14606"/>
  <c r="C219" i="14606" s="1"/>
  <c r="D217" i="14606"/>
  <c r="D218" i="14606"/>
  <c r="E218" i="14606" s="1"/>
  <c r="F216" i="14606"/>
  <c r="F218" i="14606" l="1"/>
  <c r="D219" i="14606"/>
  <c r="E219" i="14606" s="1"/>
  <c r="M221" i="14606"/>
  <c r="A221" i="14606" s="1"/>
  <c r="L222" i="14606"/>
  <c r="B220" i="14606"/>
  <c r="C220" i="14606" s="1"/>
  <c r="E217" i="14606"/>
  <c r="F217" i="14606" s="1"/>
  <c r="G217" i="14606" s="1"/>
  <c r="H217" i="14606" s="1"/>
  <c r="G216" i="14606"/>
  <c r="H216" i="14606" s="1"/>
  <c r="I217" i="14606" l="1"/>
  <c r="J217" i="14606" s="1"/>
  <c r="D220" i="14606"/>
  <c r="E220" i="14606" s="1"/>
  <c r="M222" i="14606"/>
  <c r="A222" i="14606" s="1"/>
  <c r="L223" i="14606"/>
  <c r="F219" i="14606"/>
  <c r="G218" i="14606"/>
  <c r="H218" i="14606" s="1"/>
  <c r="I216" i="14606"/>
  <c r="J216" i="14606" s="1"/>
  <c r="B221" i="14606"/>
  <c r="M223" i="14606" l="1"/>
  <c r="A223" i="14606" s="1"/>
  <c r="L224" i="14606"/>
  <c r="B222" i="14606"/>
  <c r="C221" i="14606"/>
  <c r="F220" i="14606"/>
  <c r="I218" i="14606"/>
  <c r="J218" i="14606" s="1"/>
  <c r="G219" i="14606"/>
  <c r="H219" i="14606" s="1"/>
  <c r="C222" i="14606" l="1"/>
  <c r="D222" i="14606" s="1"/>
  <c r="B223" i="14606"/>
  <c r="D221" i="14606"/>
  <c r="E221" i="14606" s="1"/>
  <c r="M224" i="14606"/>
  <c r="A224" i="14606" s="1"/>
  <c r="L225" i="14606"/>
  <c r="I219" i="14606"/>
  <c r="J219" i="14606" s="1"/>
  <c r="G220" i="14606"/>
  <c r="H220" i="14606" s="1"/>
  <c r="E222" i="14606" l="1"/>
  <c r="M225" i="14606"/>
  <c r="A225" i="14606" s="1"/>
  <c r="L226" i="14606"/>
  <c r="F221" i="14606"/>
  <c r="G221" i="14606" s="1"/>
  <c r="C223" i="14606"/>
  <c r="D223" i="14606" s="1"/>
  <c r="E223" i="14606" s="1"/>
  <c r="I220" i="14606"/>
  <c r="J220" i="14606" s="1"/>
  <c r="B224" i="14606"/>
  <c r="F222" i="14606" l="1"/>
  <c r="B225" i="14606"/>
  <c r="C225" i="14606" s="1"/>
  <c r="C224" i="14606"/>
  <c r="H221" i="14606"/>
  <c r="I221" i="14606" s="1"/>
  <c r="J221" i="14606" s="1"/>
  <c r="M226" i="14606"/>
  <c r="A226" i="14606" s="1"/>
  <c r="L227" i="14606"/>
  <c r="F223" i="14606"/>
  <c r="G222" i="14606" l="1"/>
  <c r="D225" i="14606"/>
  <c r="E225" i="14606" s="1"/>
  <c r="B226" i="14606"/>
  <c r="C226" i="14606" s="1"/>
  <c r="M227" i="14606"/>
  <c r="A227" i="14606" s="1"/>
  <c r="L228" i="14606"/>
  <c r="D224" i="14606"/>
  <c r="E224" i="14606" s="1"/>
  <c r="G223" i="14606"/>
  <c r="H223" i="14606" s="1"/>
  <c r="H222" i="14606" l="1"/>
  <c r="I222" i="14606" s="1"/>
  <c r="J222" i="14606" s="1"/>
  <c r="F225" i="14606"/>
  <c r="G225" i="14606" s="1"/>
  <c r="M228" i="14606"/>
  <c r="A228" i="14606" s="1"/>
  <c r="L229" i="14606"/>
  <c r="F224" i="14606"/>
  <c r="G224" i="14606" s="1"/>
  <c r="B227" i="14606"/>
  <c r="C227" i="14606" s="1"/>
  <c r="D226" i="14606"/>
  <c r="E226" i="14606" s="1"/>
  <c r="I223" i="14606"/>
  <c r="J223" i="14606" s="1"/>
  <c r="H225" i="14606" l="1"/>
  <c r="I225" i="14606" s="1"/>
  <c r="J225" i="14606" s="1"/>
  <c r="B228" i="14606"/>
  <c r="C228" i="14606" s="1"/>
  <c r="M229" i="14606"/>
  <c r="A229" i="14606" s="1"/>
  <c r="L230" i="14606"/>
  <c r="D227" i="14606"/>
  <c r="H224" i="14606"/>
  <c r="I224" i="14606" s="1"/>
  <c r="F226" i="14606"/>
  <c r="D228" i="14606" l="1"/>
  <c r="E228" i="14606" s="1"/>
  <c r="F228" i="14606" s="1"/>
  <c r="J224" i="14606"/>
  <c r="G226" i="14606"/>
  <c r="M230" i="14606"/>
  <c r="A230" i="14606" s="1"/>
  <c r="L231" i="14606"/>
  <c r="E227" i="14606"/>
  <c r="F227" i="14606" s="1"/>
  <c r="B229" i="14606"/>
  <c r="C229" i="14606" s="1"/>
  <c r="G227" i="14606" l="1"/>
  <c r="H227" i="14606" s="1"/>
  <c r="I227" i="14606" s="1"/>
  <c r="J227" i="14606" s="1"/>
  <c r="G228" i="14606"/>
  <c r="M231" i="14606"/>
  <c r="A231" i="14606" s="1"/>
  <c r="L232" i="14606"/>
  <c r="D229" i="14606"/>
  <c r="H226" i="14606"/>
  <c r="I226" i="14606" s="1"/>
  <c r="B230" i="14606"/>
  <c r="C230" i="14606" s="1"/>
  <c r="H228" i="14606" l="1"/>
  <c r="I228" i="14606" s="1"/>
  <c r="J228" i="14606" s="1"/>
  <c r="B231" i="14606"/>
  <c r="C231" i="14606" s="1"/>
  <c r="D231" i="14606" s="1"/>
  <c r="M232" i="14606"/>
  <c r="A232" i="14606" s="1"/>
  <c r="L233" i="14606"/>
  <c r="D230" i="14606"/>
  <c r="E229" i="14606"/>
  <c r="J226" i="14606"/>
  <c r="B232" i="14606" l="1"/>
  <c r="C232" i="14606" s="1"/>
  <c r="M233" i="14606"/>
  <c r="A233" i="14606" s="1"/>
  <c r="L234" i="14606"/>
  <c r="E230" i="14606"/>
  <c r="F230" i="14606" s="1"/>
  <c r="E231" i="14606"/>
  <c r="F231" i="14606" s="1"/>
  <c r="F229" i="14606"/>
  <c r="G230" i="14606" l="1"/>
  <c r="H230" i="14606" s="1"/>
  <c r="M234" i="14606"/>
  <c r="A234" i="14606" s="1"/>
  <c r="L235" i="14606"/>
  <c r="D232" i="14606"/>
  <c r="G231" i="14606"/>
  <c r="G229" i="14606"/>
  <c r="H229" i="14606" s="1"/>
  <c r="B233" i="14606"/>
  <c r="C233" i="14606" s="1"/>
  <c r="H231" i="14606" l="1"/>
  <c r="I231" i="14606" s="1"/>
  <c r="D233" i="14606"/>
  <c r="E233" i="14606" s="1"/>
  <c r="M235" i="14606"/>
  <c r="A235" i="14606" s="1"/>
  <c r="L236" i="14606"/>
  <c r="E232" i="14606"/>
  <c r="I229" i="14606"/>
  <c r="J229" i="14606" s="1"/>
  <c r="I230" i="14606"/>
  <c r="J230" i="14606" s="1"/>
  <c r="B234" i="14606"/>
  <c r="C234" i="14606" s="1"/>
  <c r="J231" i="14606" l="1"/>
  <c r="D234" i="14606"/>
  <c r="E234" i="14606" s="1"/>
  <c r="F234" i="14606" s="1"/>
  <c r="B235" i="14606"/>
  <c r="F232" i="14606"/>
  <c r="G232" i="14606" s="1"/>
  <c r="F233" i="14606"/>
  <c r="M236" i="14606"/>
  <c r="A236" i="14606" s="1"/>
  <c r="L237" i="14606"/>
  <c r="H232" i="14606" l="1"/>
  <c r="G234" i="14606"/>
  <c r="M237" i="14606"/>
  <c r="A237" i="14606" s="1"/>
  <c r="L238" i="14606"/>
  <c r="B236" i="14606"/>
  <c r="C236" i="14606" s="1"/>
  <c r="I232" i="14606"/>
  <c r="J232" i="14606" s="1"/>
  <c r="C235" i="14606"/>
  <c r="G233" i="14606"/>
  <c r="M238" i="14606" l="1"/>
  <c r="A238" i="14606" s="1"/>
  <c r="L239" i="14606"/>
  <c r="B237" i="14606"/>
  <c r="C237" i="14606" s="1"/>
  <c r="D235" i="14606"/>
  <c r="E235" i="14606" s="1"/>
  <c r="H233" i="14606"/>
  <c r="I233" i="14606" s="1"/>
  <c r="J233" i="14606" s="1"/>
  <c r="D236" i="14606"/>
  <c r="E236" i="14606" s="1"/>
  <c r="F236" i="14606" s="1"/>
  <c r="H234" i="14606"/>
  <c r="I234" i="14606" s="1"/>
  <c r="D237" i="14606" l="1"/>
  <c r="E237" i="14606" s="1"/>
  <c r="F237" i="14606" s="1"/>
  <c r="G237" i="14606" s="1"/>
  <c r="B238" i="14606"/>
  <c r="C238" i="14606" s="1"/>
  <c r="F235" i="14606"/>
  <c r="J234" i="14606"/>
  <c r="G236" i="14606"/>
  <c r="H236" i="14606" s="1"/>
  <c r="M239" i="14606"/>
  <c r="A239" i="14606" s="1"/>
  <c r="L240" i="14606"/>
  <c r="H237" i="14606" l="1"/>
  <c r="I237" i="14606" s="1"/>
  <c r="J237" i="14606" s="1"/>
  <c r="D238" i="14606"/>
  <c r="E238" i="14606" s="1"/>
  <c r="F238" i="14606" s="1"/>
  <c r="B239" i="14606"/>
  <c r="C239" i="14606" s="1"/>
  <c r="I236" i="14606"/>
  <c r="J236" i="14606" s="1"/>
  <c r="G235" i="14606"/>
  <c r="M240" i="14606"/>
  <c r="A240" i="14606" s="1"/>
  <c r="L241" i="14606"/>
  <c r="B240" i="14606" l="1"/>
  <c r="C240" i="14606" s="1"/>
  <c r="D239" i="14606"/>
  <c r="G238" i="14606"/>
  <c r="H235" i="14606"/>
  <c r="I235" i="14606" s="1"/>
  <c r="M241" i="14606"/>
  <c r="A241" i="14606" s="1"/>
  <c r="L242" i="14606"/>
  <c r="E239" i="14606" l="1"/>
  <c r="F239" i="14606" s="1"/>
  <c r="D240" i="14606"/>
  <c r="E240" i="14606" s="1"/>
  <c r="F240" i="14606" s="1"/>
  <c r="B241" i="14606"/>
  <c r="M242" i="14606"/>
  <c r="A242" i="14606" s="1"/>
  <c r="L243" i="14606"/>
  <c r="H238" i="14606"/>
  <c r="I238" i="14606" s="1"/>
  <c r="J238" i="14606" s="1"/>
  <c r="J235" i="14606"/>
  <c r="G239" i="14606" l="1"/>
  <c r="B242" i="14606"/>
  <c r="C242" i="14606" s="1"/>
  <c r="C241" i="14606"/>
  <c r="G240" i="14606"/>
  <c r="M243" i="14606"/>
  <c r="A243" i="14606" s="1"/>
  <c r="L244" i="14606"/>
  <c r="H239" i="14606" l="1"/>
  <c r="I239" i="14606" s="1"/>
  <c r="J239" i="14606" s="1"/>
  <c r="D242" i="14606"/>
  <c r="E242" i="14606" s="1"/>
  <c r="F242" i="14606" s="1"/>
  <c r="M244" i="14606"/>
  <c r="A244" i="14606" s="1"/>
  <c r="L245" i="14606"/>
  <c r="H240" i="14606"/>
  <c r="I240" i="14606" s="1"/>
  <c r="B243" i="14606"/>
  <c r="C243" i="14606" s="1"/>
  <c r="D241" i="14606"/>
  <c r="E241" i="14606" s="1"/>
  <c r="J240" i="14606" l="1"/>
  <c r="M245" i="14606"/>
  <c r="A245" i="14606" s="1"/>
  <c r="L246" i="14606"/>
  <c r="G244" i="14606"/>
  <c r="I244" i="14606"/>
  <c r="C244" i="14606"/>
  <c r="J244" i="14606"/>
  <c r="F244" i="14606"/>
  <c r="B244" i="14606"/>
  <c r="H244" i="14606"/>
  <c r="D244" i="14606"/>
  <c r="E244" i="14606"/>
  <c r="F241" i="14606"/>
  <c r="G241" i="14606" s="1"/>
  <c r="D243" i="14606"/>
  <c r="G242" i="14606"/>
  <c r="H242" i="14606" s="1"/>
  <c r="H241" i="14606" l="1"/>
  <c r="I241" i="14606" s="1"/>
  <c r="J241" i="14606" s="1"/>
  <c r="M246" i="14606"/>
  <c r="A246" i="14606" s="1"/>
  <c r="L247" i="14606"/>
  <c r="I245" i="14606"/>
  <c r="C245" i="14606"/>
  <c r="G245" i="14606"/>
  <c r="E245" i="14606"/>
  <c r="H245" i="14606"/>
  <c r="F245" i="14606"/>
  <c r="B245" i="14606"/>
  <c r="D245" i="14606"/>
  <c r="J245" i="14606"/>
  <c r="I242" i="14606"/>
  <c r="J242" i="14606" s="1"/>
  <c r="E243" i="14606"/>
  <c r="F243" i="14606" l="1"/>
  <c r="G243" i="14606" s="1"/>
  <c r="L248" i="14606"/>
  <c r="M247" i="14606"/>
  <c r="A247" i="14606" s="1"/>
  <c r="D246" i="14606"/>
  <c r="E246" i="14606"/>
  <c r="B246" i="14606"/>
  <c r="G246" i="14606"/>
  <c r="C246" i="14606"/>
  <c r="J246" i="14606"/>
  <c r="F246" i="14606"/>
  <c r="H246" i="14606"/>
  <c r="I246" i="14606"/>
  <c r="H243" i="14606" l="1"/>
  <c r="I243" i="14606" s="1"/>
  <c r="M248" i="14606"/>
  <c r="A248" i="14606" s="1"/>
  <c r="L249" i="14606"/>
  <c r="G247" i="14606"/>
  <c r="H247" i="14606"/>
  <c r="D247" i="14606"/>
  <c r="I247" i="14606"/>
  <c r="E247" i="14606"/>
  <c r="C247" i="14606"/>
  <c r="B247" i="14606"/>
  <c r="F247" i="14606"/>
  <c r="J247" i="14606"/>
  <c r="E248" i="14606" l="1"/>
  <c r="H248" i="14606"/>
  <c r="D248" i="14606"/>
  <c r="G248" i="14606"/>
  <c r="I248" i="14606"/>
  <c r="C248" i="14606"/>
  <c r="J248" i="14606"/>
  <c r="B248" i="14606"/>
  <c r="F248" i="14606"/>
  <c r="M249" i="14606"/>
  <c r="A249" i="14606" s="1"/>
  <c r="L250" i="14606"/>
  <c r="J243" i="14606"/>
  <c r="M250" i="14606" l="1"/>
  <c r="A250" i="14606" s="1"/>
  <c r="L251" i="14606"/>
  <c r="E249" i="14606"/>
  <c r="J249" i="14606"/>
  <c r="F249" i="14606"/>
  <c r="B249" i="14606"/>
  <c r="I249" i="14606"/>
  <c r="C249" i="14606"/>
  <c r="D249" i="14606"/>
  <c r="H249" i="14606"/>
  <c r="G249" i="14606"/>
  <c r="M251" i="14606" l="1"/>
  <c r="A251" i="14606" s="1"/>
  <c r="L252" i="14606"/>
  <c r="E250" i="14606"/>
  <c r="H250" i="14606"/>
  <c r="D250" i="14606"/>
  <c r="G250" i="14606"/>
  <c r="I250" i="14606"/>
  <c r="C250" i="14606"/>
  <c r="F250" i="14606"/>
  <c r="J250" i="14606"/>
  <c r="B250" i="14606"/>
  <c r="M252" i="14606" l="1"/>
  <c r="A252" i="14606" s="1"/>
  <c r="L253" i="14606"/>
  <c r="E251" i="14606"/>
  <c r="J251" i="14606"/>
  <c r="F251" i="14606"/>
  <c r="B251" i="14606"/>
  <c r="I251" i="14606"/>
  <c r="C251" i="14606"/>
  <c r="H251" i="14606"/>
  <c r="G251" i="14606"/>
  <c r="D251" i="14606"/>
  <c r="M253" i="14606" l="1"/>
  <c r="A253" i="14606" s="1"/>
  <c r="L254" i="14606"/>
  <c r="I252" i="14606"/>
  <c r="C252" i="14606"/>
  <c r="J252" i="14606"/>
  <c r="B252" i="14606"/>
  <c r="F252" i="14606"/>
  <c r="E252" i="14606"/>
  <c r="H252" i="14606"/>
  <c r="D252" i="14606"/>
  <c r="G252" i="14606"/>
  <c r="M254" i="14606" l="1"/>
  <c r="A254" i="14606" s="1"/>
  <c r="L255" i="14606"/>
  <c r="I253" i="14606"/>
  <c r="C253" i="14606"/>
  <c r="D253" i="14606"/>
  <c r="H253" i="14606"/>
  <c r="G253" i="14606"/>
  <c r="E253" i="14606"/>
  <c r="J253" i="14606"/>
  <c r="F253" i="14606"/>
  <c r="B253" i="14606"/>
  <c r="M255" i="14606" l="1"/>
  <c r="A255" i="14606" s="1"/>
  <c r="L256" i="14606"/>
  <c r="I254" i="14606"/>
  <c r="C254" i="14606"/>
  <c r="F254" i="14606"/>
  <c r="J254" i="14606"/>
  <c r="B254" i="14606"/>
  <c r="E254" i="14606"/>
  <c r="H254" i="14606"/>
  <c r="D254" i="14606"/>
  <c r="G254" i="14606"/>
  <c r="I255" i="14606" l="1"/>
  <c r="C255" i="14606"/>
  <c r="H255" i="14606"/>
  <c r="F255" i="14606"/>
  <c r="D255" i="14606"/>
  <c r="E255" i="14606"/>
  <c r="J255" i="14606"/>
  <c r="G255" i="14606"/>
  <c r="B255" i="14606"/>
  <c r="M256" i="14606"/>
  <c r="A256" i="14606" s="1"/>
  <c r="L257" i="14606"/>
  <c r="I256" i="14606" l="1"/>
  <c r="C256" i="14606"/>
  <c r="J256" i="14606"/>
  <c r="G256" i="14606"/>
  <c r="F256" i="14606"/>
  <c r="E256" i="14606"/>
  <c r="H256" i="14606"/>
  <c r="D256" i="14606"/>
  <c r="B256" i="14606"/>
  <c r="M257" i="14606"/>
  <c r="A257" i="14606" s="1"/>
  <c r="L258" i="14606"/>
  <c r="I257" i="14606" l="1"/>
  <c r="C257" i="14606"/>
  <c r="D257" i="14606"/>
  <c r="B257" i="14606"/>
  <c r="H257" i="14606"/>
  <c r="E257" i="14606"/>
  <c r="J257" i="14606"/>
  <c r="F257" i="14606"/>
  <c r="G257" i="14606"/>
  <c r="M258" i="14606"/>
  <c r="A258" i="14606" s="1"/>
  <c r="L259" i="14606"/>
  <c r="J258" i="14606" l="1"/>
  <c r="B258" i="14606"/>
  <c r="H258" i="14606"/>
  <c r="C258" i="14606"/>
  <c r="D258" i="14606"/>
  <c r="G258" i="14606"/>
  <c r="E258" i="14606"/>
  <c r="I258" i="14606"/>
  <c r="F258" i="14606"/>
  <c r="M259" i="14606"/>
  <c r="A259" i="14606" s="1"/>
  <c r="L260" i="14606"/>
  <c r="M260" i="14606" s="1"/>
  <c r="A260" i="14606" s="1"/>
  <c r="G259" i="14606" l="1"/>
  <c r="D259" i="14606"/>
  <c r="C259" i="14606"/>
  <c r="E259" i="14606"/>
  <c r="F259" i="14606"/>
  <c r="B259" i="14606"/>
  <c r="I259" i="14606"/>
  <c r="J259" i="14606"/>
  <c r="H259" i="14606"/>
  <c r="C260" i="14606"/>
  <c r="J260" i="14606"/>
  <c r="B260" i="14606"/>
  <c r="I260" i="14606"/>
  <c r="F260" i="14606"/>
  <c r="H260" i="14606"/>
  <c r="D260" i="14606"/>
  <c r="G260" i="14606"/>
  <c r="E260" i="14606"/>
  <c r="AB2" i="14607"/>
  <c r="H2" i="14607"/>
  <c r="G2" i="14607"/>
  <c r="F2" i="14607"/>
  <c r="D1" i="14607"/>
  <c r="C1" i="14607"/>
  <c r="BQ1" i="2"/>
  <c r="AK43" i="2" l="1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11" i="2"/>
  <c r="AK17" i="2"/>
  <c r="AK20" i="2"/>
  <c r="AK14" i="2"/>
  <c r="AK12" i="2"/>
  <c r="AK10" i="2"/>
  <c r="AK18" i="2"/>
  <c r="AK13" i="2"/>
  <c r="AK15" i="2"/>
  <c r="AK19" i="2"/>
  <c r="AK16" i="2"/>
  <c r="AK21" i="2"/>
  <c r="AK22" i="2"/>
  <c r="AK46" i="2"/>
  <c r="AK45" i="2"/>
  <c r="AK44" i="2"/>
  <c r="BQ2" i="2"/>
  <c r="BQ3" i="2" s="1"/>
  <c r="BQ4" i="2" s="1"/>
  <c r="BQ5" i="2" s="1"/>
  <c r="BQ6" i="2" s="1"/>
  <c r="BQ7" i="2" s="1"/>
  <c r="BQ8" i="2" s="1"/>
</calcChain>
</file>

<file path=xl/sharedStrings.xml><?xml version="1.0" encoding="utf-8"?>
<sst xmlns="http://schemas.openxmlformats.org/spreadsheetml/2006/main" count="670" uniqueCount="214">
  <si>
    <t>Name</t>
  </si>
  <si>
    <t>Age</t>
  </si>
  <si>
    <t>Lot #</t>
  </si>
  <si>
    <t>Coeff</t>
  </si>
  <si>
    <t>How</t>
  </si>
  <si>
    <t>LOAD</t>
  </si>
  <si>
    <t>Many?</t>
  </si>
  <si>
    <t>Plates</t>
  </si>
  <si>
    <t>on Bar</t>
  </si>
  <si>
    <t>Men</t>
  </si>
  <si>
    <t>Women</t>
  </si>
  <si>
    <t>Best Squat</t>
  </si>
  <si>
    <t>Bench 1</t>
  </si>
  <si>
    <t>Bench 2</t>
  </si>
  <si>
    <t>Bench 3</t>
  </si>
  <si>
    <t>Best Bench</t>
  </si>
  <si>
    <t>Sub Total</t>
  </si>
  <si>
    <t>Deadlift 1</t>
  </si>
  <si>
    <t>Deadlift 2</t>
  </si>
  <si>
    <t>Deadlift 3</t>
  </si>
  <si>
    <t>Deadlift 4</t>
  </si>
  <si>
    <t>Best Deadlift</t>
  </si>
  <si>
    <t xml:space="preserve"> Squat  1</t>
  </si>
  <si>
    <t xml:space="preserve"> Squat  2</t>
  </si>
  <si>
    <t xml:space="preserve"> Squat  3</t>
  </si>
  <si>
    <t xml:space="preserve"> Squat  4</t>
  </si>
  <si>
    <t>RH Sq</t>
  </si>
  <si>
    <t>RH BP</t>
  </si>
  <si>
    <t>Bench  4</t>
  </si>
  <si>
    <t>Div</t>
  </si>
  <si>
    <t>Pl-Div-WtCl</t>
  </si>
  <si>
    <t>Sort data</t>
  </si>
  <si>
    <t>A</t>
  </si>
  <si>
    <t>B</t>
  </si>
  <si>
    <t>C</t>
  </si>
  <si>
    <t>D</t>
  </si>
  <si>
    <t>sort #</t>
  </si>
  <si>
    <t>Team Pts</t>
  </si>
  <si>
    <t>lbs/kg</t>
  </si>
  <si>
    <t>Weight Classes (Kg)</t>
  </si>
  <si>
    <t>Copyright - Joe Marksteiner - 2005</t>
  </si>
  <si>
    <t>Wt Cls</t>
  </si>
  <si>
    <t>Pound</t>
  </si>
  <si>
    <t>Kilo</t>
  </si>
  <si>
    <t>Team</t>
  </si>
  <si>
    <t>It is copyrighted because I wouldn't want sombody else to sell it.</t>
  </si>
  <si>
    <t>In January 2002 we lost our 16 year old daughter - Liz Marksteiner - after a 16-month fight with cancer.</t>
  </si>
  <si>
    <t>When she was old enough she almost always found a way to help out - if she were here she'd be running this program.</t>
  </si>
  <si>
    <t>The ranch is a retreat for kids with cancer and it meant so much to her and us.</t>
  </si>
  <si>
    <t>Best of luck with the program.</t>
  </si>
  <si>
    <t>Sincerely</t>
  </si>
  <si>
    <t>Joe Marksteiner</t>
  </si>
  <si>
    <t>e-mail</t>
  </si>
  <si>
    <t>home</t>
  </si>
  <si>
    <t>steinmark@aol.com</t>
  </si>
  <si>
    <t>work</t>
  </si>
  <si>
    <t>joe.marksteiner@ae.ge.com</t>
  </si>
  <si>
    <t>phone</t>
  </si>
  <si>
    <t>513-755-6878</t>
  </si>
  <si>
    <t>513-552-2122</t>
  </si>
  <si>
    <t>cell</t>
  </si>
  <si>
    <t>Pounds</t>
  </si>
  <si>
    <t>Powerlifting (3 lift meet)</t>
  </si>
  <si>
    <t>Bench Press Only</t>
  </si>
  <si>
    <t>Squat Only</t>
  </si>
  <si>
    <t>Deadlift Only</t>
  </si>
  <si>
    <t>Push Pull (Bench &amp; Deadlift)</t>
  </si>
  <si>
    <t>Push Pull Total</t>
  </si>
  <si>
    <t>PL Total</t>
  </si>
  <si>
    <t>$BB$1:$BE$1</t>
  </si>
  <si>
    <t>$BB$1:$BM$1</t>
  </si>
  <si>
    <t>$BB$1:$BI$1</t>
  </si>
  <si>
    <t>Foster Age Multiples</t>
  </si>
  <si>
    <t>McCulloch Numbers</t>
  </si>
  <si>
    <t>513-477-0775</t>
  </si>
  <si>
    <t>Kilos</t>
  </si>
  <si>
    <t>Place</t>
  </si>
  <si>
    <t>Squat</t>
  </si>
  <si>
    <t>Bar plus Collars</t>
  </si>
  <si>
    <t>Platform Weight Set</t>
  </si>
  <si>
    <t>status</t>
  </si>
  <si>
    <t>SHW</t>
  </si>
  <si>
    <t>KG</t>
  </si>
  <si>
    <t>LB</t>
  </si>
  <si>
    <t>Weight Classes</t>
  </si>
  <si>
    <t>limit</t>
  </si>
  <si>
    <t>Divisions</t>
  </si>
  <si>
    <t>Abbrev</t>
  </si>
  <si>
    <t>Description</t>
  </si>
  <si>
    <t>Scoring</t>
  </si>
  <si>
    <t>Coeff Score</t>
  </si>
  <si>
    <t>Men-Wilks</t>
  </si>
  <si>
    <t>Women Wilks</t>
  </si>
  <si>
    <t>,5212</t>
  </si>
  <si>
    <t>Wilks Coeff</t>
  </si>
  <si>
    <t>Age  &amp; Coeff</t>
  </si>
  <si>
    <t>Division</t>
  </si>
  <si>
    <t>WtCls</t>
  </si>
  <si>
    <t>scoring value</t>
  </si>
  <si>
    <t>rank</t>
  </si>
  <si>
    <t>Place code</t>
  </si>
  <si>
    <t>Events</t>
  </si>
  <si>
    <t>Event check</t>
  </si>
  <si>
    <t>WtCls (Kg)</t>
  </si>
  <si>
    <t xml:space="preserve">  Bench 1</t>
  </si>
  <si>
    <t>Flt B</t>
  </si>
  <si>
    <t>Events Entered</t>
  </si>
  <si>
    <t>Flight</t>
  </si>
  <si>
    <t>Reset for New Contest</t>
  </si>
  <si>
    <t>Team Points</t>
  </si>
  <si>
    <t>Points</t>
  </si>
  <si>
    <t>valid score?</t>
  </si>
  <si>
    <t>M/F</t>
  </si>
  <si>
    <t>Bench 4</t>
  </si>
  <si>
    <t>Best Lifter Coeff</t>
  </si>
  <si>
    <t>Men's Coeff</t>
  </si>
  <si>
    <t>Women's Coeff</t>
  </si>
  <si>
    <t>Men G'brenner</t>
  </si>
  <si>
    <t>Women G'Brenner</t>
  </si>
  <si>
    <t>Women Malone</t>
  </si>
  <si>
    <t>Men Schwartz</t>
  </si>
  <si>
    <t>E</t>
  </si>
  <si>
    <t>F</t>
  </si>
  <si>
    <t>G</t>
  </si>
  <si>
    <t>H</t>
  </si>
  <si>
    <t>contest logo here</t>
  </si>
  <si>
    <t>This program is free.</t>
  </si>
  <si>
    <t>Anybody may use, copy or share it and it may be freely distributed.</t>
  </si>
  <si>
    <t>You can find them on the web at http://www.littlestar.org/</t>
  </si>
  <si>
    <t>All I ask, is if you use the program and you like it that you consider a contribution in my daughter's name to the Little Star Foundation.</t>
  </si>
  <si>
    <t>The summer before her death she spent a magical week at the foundation's Silver Lining Ranch in the Colorado mountains she loved.</t>
  </si>
  <si>
    <t>She grew up around powerlifting and though Liz never had any desire to lift, she was so proud of my wife and me when we were competing.</t>
  </si>
  <si>
    <t>Upper limit (lbs)</t>
  </si>
  <si>
    <t>------</t>
  </si>
  <si>
    <t>Pl code</t>
  </si>
  <si>
    <t>Tm Pts</t>
  </si>
  <si>
    <t>Div wt</t>
  </si>
  <si>
    <t>Div rank</t>
  </si>
  <si>
    <t>place</t>
  </si>
  <si>
    <t>Available</t>
  </si>
  <si>
    <t>Bar &amp; Collars</t>
  </si>
  <si>
    <t>Index</t>
  </si>
  <si>
    <t>Weight</t>
  </si>
  <si>
    <t>Wt w/o bar</t>
  </si>
  <si>
    <t>bwt</t>
  </si>
  <si>
    <t>bwt rank</t>
  </si>
  <si>
    <t>Results - Lbs &amp; Kgs?</t>
  </si>
  <si>
    <t>abs score</t>
  </si>
  <si>
    <t>Web Upload</t>
  </si>
  <si>
    <t>FTP site</t>
  </si>
  <si>
    <t>User Name</t>
  </si>
  <si>
    <t>Folder/File Name</t>
  </si>
  <si>
    <t>Website</t>
  </si>
  <si>
    <t>Men Reshel</t>
  </si>
  <si>
    <t>Women Reshel</t>
  </si>
  <si>
    <t>yes</t>
  </si>
  <si>
    <t>Glossbrenner</t>
  </si>
  <si>
    <t>Kg</t>
  </si>
  <si>
    <t>BWt (Kg)</t>
  </si>
  <si>
    <t>automatic</t>
  </si>
  <si>
    <t>Disable</t>
  </si>
  <si>
    <t>BarLoad Upload</t>
  </si>
  <si>
    <t>FTP Site</t>
  </si>
  <si>
    <t>Local Folder</t>
  </si>
  <si>
    <t>C:\wamp\www\BarLoad</t>
  </si>
  <si>
    <t>NextLifter_BarLoad</t>
  </si>
  <si>
    <t>C:\wamp\www\BarLoad\NextLifter_BarLoad.htm</t>
  </si>
  <si>
    <t>Sort-on</t>
  </si>
  <si>
    <t>Wt Cls:</t>
  </si>
  <si>
    <t>Flt A</t>
  </si>
  <si>
    <t>Contest Name</t>
  </si>
  <si>
    <t>Date</t>
  </si>
  <si>
    <t>BP</t>
  </si>
  <si>
    <t>DL</t>
  </si>
  <si>
    <t>S</t>
  </si>
  <si>
    <t>Enable</t>
  </si>
  <si>
    <t>pl</t>
  </si>
  <si>
    <t>EŞREF</t>
  </si>
  <si>
    <t>EREN</t>
  </si>
  <si>
    <t>NAMIK</t>
  </si>
  <si>
    <t>FALAA</t>
  </si>
  <si>
    <t>ASSSS</t>
  </si>
  <si>
    <t>M_OR_BUYUKLER</t>
  </si>
  <si>
    <t>M_OR_GENCLER</t>
  </si>
  <si>
    <t>M_OR_MASTERLAR</t>
  </si>
  <si>
    <t>Contest Name-Kg Results</t>
  </si>
  <si>
    <t>PL</t>
  </si>
  <si>
    <t>M_OR_JUN</t>
  </si>
  <si>
    <t>M_OR_OPEN</t>
  </si>
  <si>
    <t>M_OR_MAST1</t>
  </si>
  <si>
    <t>JUN</t>
  </si>
  <si>
    <t>OPEN</t>
  </si>
  <si>
    <t>M1</t>
  </si>
  <si>
    <t>M_WOM</t>
  </si>
  <si>
    <t>KADIN</t>
  </si>
  <si>
    <t>Flt</t>
  </si>
  <si>
    <t>Upcoming Flights</t>
  </si>
  <si>
    <t>ETA Next Flight:</t>
  </si>
  <si>
    <t>MERT AYKUT KAYMAK</t>
  </si>
  <si>
    <t>ALİ ALSHAVİ</t>
  </si>
  <si>
    <t>BEYZA DEMİR</t>
  </si>
  <si>
    <t>ESRA CAN</t>
  </si>
  <si>
    <t>KADER SOYDAN</t>
  </si>
  <si>
    <t>SELİN CULLU</t>
  </si>
  <si>
    <t>GOKSU SARICA</t>
  </si>
  <si>
    <t>ZEHRA KIYİL</t>
  </si>
  <si>
    <t>SELDA NİLAY YILDIZ</t>
  </si>
  <si>
    <t>OUMNİA BİYA</t>
  </si>
  <si>
    <t>AYSE DENIZ</t>
  </si>
  <si>
    <t>ASUDE DİLAGAH DAGLIOGLU</t>
  </si>
  <si>
    <t>HAZAL MOAZZENİ</t>
  </si>
  <si>
    <t>Y22</t>
  </si>
  <si>
    <t>F_WOM</t>
  </si>
  <si>
    <t>BAYAN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</si>
</sst>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"/>
    <numFmt numFmtId="167" formatCode="0.00000000000"/>
    <numFmt numFmtId="168" formatCode="0.000000000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8"/>
      <color indexed="9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7"/>
      <color indexed="9"/>
      <name val="Arial"/>
      <family val="2"/>
    </font>
    <font>
      <sz val="10"/>
      <color indexed="55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28"/>
      <color indexed="9"/>
      <name val="Arial"/>
      <family val="2"/>
    </font>
    <font>
      <b/>
      <sz val="10"/>
      <color indexed="9"/>
      <name val="Arial"/>
      <family val="2"/>
    </font>
    <font>
      <b/>
      <sz val="20"/>
      <color indexed="9"/>
      <name val="Arial"/>
      <family val="2"/>
    </font>
    <font>
      <sz val="14"/>
      <color indexed="9"/>
      <name val="Arial"/>
      <family val="2"/>
    </font>
    <font>
      <b/>
      <u/>
      <sz val="20"/>
      <color indexed="9"/>
      <name val="Arial"/>
      <family val="2"/>
    </font>
    <font>
      <sz val="16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4"/>
      <color indexed="55"/>
      <name val="Arial"/>
      <family val="2"/>
    </font>
    <font>
      <sz val="22"/>
      <name val="Arial"/>
      <family val="2"/>
    </font>
    <font>
      <sz val="28"/>
      <name val="Arial"/>
      <family val="2"/>
    </font>
    <font>
      <sz val="5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name val="Arial"/>
      <family val="2"/>
    </font>
    <font>
      <sz val="10"/>
      <color rgb="FFFF0000"/>
      <name val="Arial"/>
      <family val="2"/>
    </font>
    <font>
      <b/>
      <sz val="28"/>
      <name val="Arial"/>
      <family val="2"/>
    </font>
    <font>
      <b/>
      <sz val="72"/>
      <name val="Arial"/>
      <family val="2"/>
    </font>
    <font>
      <sz val="72"/>
      <name val="Arial"/>
      <family val="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8"/>
      <color rgb="FF000000"/>
      <name val="Arial"/>
      <family val="2"/>
      <charset val="162"/>
    </font>
    <font>
      <b/>
      <sz val="16"/>
      <color rgb="FFFF0000"/>
      <name val="Arial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auto="1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7" fillId="0" borderId="0"/>
    <xf numFmtId="0" fontId="47" fillId="0" borderId="0" applyNumberFormat="0" applyFill="0" applyBorder="0" applyAlignment="0" applyProtection="0"/>
    <xf numFmtId="0" fontId="48" fillId="0" borderId="62" applyNumberFormat="0" applyFill="0" applyAlignment="0" applyProtection="0"/>
    <xf numFmtId="0" fontId="49" fillId="0" borderId="63" applyNumberFormat="0" applyFill="0" applyAlignment="0" applyProtection="0"/>
    <xf numFmtId="0" fontId="50" fillId="0" borderId="64" applyNumberFormat="0" applyFill="0" applyAlignment="0" applyProtection="0"/>
    <xf numFmtId="0" fontId="50" fillId="0" borderId="0" applyNumberFormat="0" applyFill="0" applyBorder="0" applyAlignment="0" applyProtection="0"/>
    <xf numFmtId="0" fontId="51" fillId="11" borderId="0" applyNumberFormat="0" applyBorder="0" applyAlignment="0" applyProtection="0"/>
    <xf numFmtId="0" fontId="52" fillId="12" borderId="0" applyNumberFormat="0" applyBorder="0" applyAlignment="0" applyProtection="0"/>
    <xf numFmtId="0" fontId="53" fillId="13" borderId="0" applyNumberFormat="0" applyBorder="0" applyAlignment="0" applyProtection="0"/>
    <xf numFmtId="0" fontId="54" fillId="14" borderId="65" applyNumberFormat="0" applyAlignment="0" applyProtection="0"/>
    <xf numFmtId="0" fontId="55" fillId="15" borderId="66" applyNumberFormat="0" applyAlignment="0" applyProtection="0"/>
    <xf numFmtId="0" fontId="56" fillId="15" borderId="65" applyNumberFormat="0" applyAlignment="0" applyProtection="0"/>
    <xf numFmtId="0" fontId="57" fillId="0" borderId="67" applyNumberFormat="0" applyFill="0" applyAlignment="0" applyProtection="0"/>
    <xf numFmtId="0" fontId="58" fillId="16" borderId="68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70" applyNumberFormat="0" applyFill="0" applyAlignment="0" applyProtection="0"/>
    <xf numFmtId="0" fontId="6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2" fillId="21" borderId="0" applyNumberFormat="0" applyBorder="0" applyAlignment="0" applyProtection="0"/>
    <xf numFmtId="0" fontId="6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2" fillId="25" borderId="0" applyNumberFormat="0" applyBorder="0" applyAlignment="0" applyProtection="0"/>
    <xf numFmtId="0" fontId="6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2" fillId="29" borderId="0" applyNumberFormat="0" applyBorder="0" applyAlignment="0" applyProtection="0"/>
    <xf numFmtId="0" fontId="6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2" fillId="41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7" borderId="69" applyNumberFormat="0" applyFont="0" applyAlignment="0" applyProtection="0"/>
    <xf numFmtId="0" fontId="6" fillId="0" borderId="0"/>
    <xf numFmtId="0" fontId="6" fillId="17" borderId="69" applyNumberFormat="0" applyFont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5" fillId="0" borderId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0" borderId="0"/>
    <xf numFmtId="0" fontId="5" fillId="17" borderId="69" applyNumberFormat="0" applyFont="0" applyAlignment="0" applyProtection="0"/>
    <xf numFmtId="0" fontId="5" fillId="0" borderId="0"/>
    <xf numFmtId="0" fontId="5" fillId="17" borderId="69" applyNumberFormat="0" applyFont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7" borderId="69" applyNumberFormat="0" applyFont="0" applyAlignment="0" applyProtection="0"/>
    <xf numFmtId="0" fontId="4" fillId="0" borderId="0"/>
    <xf numFmtId="0" fontId="4" fillId="17" borderId="69" applyNumberFormat="0" applyFont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" fillId="17" borderId="69" applyNumberFormat="0" applyFont="0" applyAlignment="0" applyProtection="0"/>
    <xf numFmtId="0" fontId="4" fillId="0" borderId="0"/>
    <xf numFmtId="0" fontId="4" fillId="17" borderId="69" applyNumberFormat="0" applyFont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</cellStyleXfs>
  <cellXfs count="4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167" fontId="8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right"/>
    </xf>
    <xf numFmtId="0" fontId="0" fillId="0" borderId="0" xfId="0" applyAlignment="1">
      <alignment horizontal="left"/>
    </xf>
    <xf numFmtId="0" fontId="10" fillId="0" borderId="0" xfId="1" applyAlignment="1" applyProtection="1"/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1" fillId="2" borderId="0" xfId="0" applyFont="1" applyFill="1" applyBorder="1" applyProtection="1"/>
    <xf numFmtId="0" fontId="9" fillId="2" borderId="7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0" xfId="0" applyBorder="1" applyProtection="1"/>
    <xf numFmtId="0" fontId="0" fillId="0" borderId="6" xfId="0" applyBorder="1" applyProtection="1"/>
    <xf numFmtId="0" fontId="0" fillId="2" borderId="1" xfId="0" applyFill="1" applyBorder="1" applyProtection="1"/>
    <xf numFmtId="0" fontId="0" fillId="0" borderId="9" xfId="0" applyBorder="1" applyProtection="1"/>
    <xf numFmtId="0" fontId="9" fillId="2" borderId="10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9" fillId="2" borderId="11" xfId="0" applyFont="1" applyFill="1" applyBorder="1" applyAlignment="1" applyProtection="1">
      <alignment horizontal="center"/>
    </xf>
    <xf numFmtId="0" fontId="0" fillId="0" borderId="12" xfId="0" applyBorder="1" applyProtection="1"/>
    <xf numFmtId="0" fontId="0" fillId="2" borderId="10" xfId="0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3" xfId="0" applyBorder="1" applyProtection="1"/>
    <xf numFmtId="0" fontId="23" fillId="2" borderId="0" xfId="0" applyFont="1" applyFill="1" applyBorder="1" applyAlignment="1" applyProtection="1">
      <alignment horizontal="center"/>
    </xf>
    <xf numFmtId="0" fontId="9" fillId="2" borderId="14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5" borderId="15" xfId="0" applyFont="1" applyFill="1" applyBorder="1" applyAlignment="1">
      <alignment horizontal="center" wrapText="1"/>
    </xf>
    <xf numFmtId="0" fontId="11" fillId="5" borderId="16" xfId="0" applyFont="1" applyFill="1" applyBorder="1" applyAlignment="1">
      <alignment horizontal="center"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165" fontId="18" fillId="0" borderId="6" xfId="0" applyNumberFormat="1" applyFont="1" applyBorder="1" applyAlignment="1" applyProtection="1">
      <alignment horizontal="center"/>
      <protection locked="0"/>
    </xf>
    <xf numFmtId="166" fontId="18" fillId="0" borderId="6" xfId="0" applyNumberFormat="1" applyFont="1" applyBorder="1" applyAlignment="1" applyProtection="1">
      <alignment horizontal="center"/>
      <protection locked="0"/>
    </xf>
    <xf numFmtId="165" fontId="18" fillId="0" borderId="0" xfId="0" applyNumberFormat="1" applyFont="1" applyBorder="1" applyAlignment="1" applyProtection="1">
      <alignment horizontal="center"/>
      <protection locked="0"/>
    </xf>
    <xf numFmtId="164" fontId="18" fillId="0" borderId="0" xfId="0" applyNumberFormat="1" applyFont="1" applyBorder="1" applyAlignment="1" applyProtection="1">
      <alignment horizontal="center"/>
      <protection locked="0"/>
    </xf>
    <xf numFmtId="166" fontId="18" fillId="0" borderId="0" xfId="0" applyNumberFormat="1" applyFont="1" applyBorder="1" applyAlignment="1" applyProtection="1">
      <alignment horizontal="center"/>
      <protection locked="0"/>
    </xf>
    <xf numFmtId="164" fontId="18" fillId="0" borderId="6" xfId="0" applyNumberFormat="1" applyFont="1" applyBorder="1" applyAlignment="1" applyProtection="1">
      <alignment horizontal="center"/>
      <protection locked="0"/>
    </xf>
    <xf numFmtId="2" fontId="18" fillId="0" borderId="0" xfId="0" applyNumberFormat="1" applyFont="1" applyBorder="1" applyAlignment="1" applyProtection="1">
      <alignment horizontal="center"/>
      <protection locked="0"/>
    </xf>
    <xf numFmtId="2" fontId="18" fillId="0" borderId="6" xfId="0" applyNumberFormat="1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shrinkToFit="1"/>
      <protection locked="0"/>
    </xf>
    <xf numFmtId="0" fontId="18" fillId="0" borderId="6" xfId="0" applyFont="1" applyBorder="1" applyAlignment="1" applyProtection="1">
      <alignment horizontal="center" shrinkToFit="1"/>
      <protection locked="0"/>
    </xf>
    <xf numFmtId="0" fontId="0" fillId="0" borderId="1" xfId="0" applyFill="1" applyBorder="1" applyAlignment="1">
      <alignment horizontal="center"/>
    </xf>
    <xf numFmtId="0" fontId="11" fillId="0" borderId="0" xfId="0" applyFont="1" applyBorder="1"/>
    <xf numFmtId="0" fontId="0" fillId="0" borderId="0" xfId="0" applyBorder="1"/>
    <xf numFmtId="0" fontId="0" fillId="0" borderId="10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9" fillId="0" borderId="0" xfId="0" applyFont="1" applyFill="1"/>
    <xf numFmtId="0" fontId="9" fillId="0" borderId="17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16" fillId="0" borderId="19" xfId="0" applyFont="1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/>
    </xf>
    <xf numFmtId="164" fontId="24" fillId="0" borderId="18" xfId="0" applyNumberFormat="1" applyFont="1" applyFill="1" applyBorder="1" applyAlignment="1" applyProtection="1">
      <alignment vertical="center" shrinkToFit="1"/>
    </xf>
    <xf numFmtId="0" fontId="0" fillId="2" borderId="6" xfId="0" applyFill="1" applyBorder="1" applyProtection="1"/>
    <xf numFmtId="0" fontId="9" fillId="2" borderId="21" xfId="0" applyFont="1" applyFill="1" applyBorder="1" applyAlignment="1" applyProtection="1">
      <alignment horizontal="center" vertical="center" wrapText="1"/>
    </xf>
    <xf numFmtId="0" fontId="21" fillId="7" borderId="2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</xf>
    <xf numFmtId="0" fontId="15" fillId="2" borderId="25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6" fillId="8" borderId="25" xfId="0" applyFont="1" applyFill="1" applyBorder="1" applyAlignment="1" applyProtection="1">
      <alignment horizontal="center" vertical="center" wrapText="1"/>
    </xf>
    <xf numFmtId="0" fontId="25" fillId="2" borderId="19" xfId="0" applyFont="1" applyFill="1" applyBorder="1" applyAlignment="1" applyProtection="1">
      <alignment horizontal="center" vertical="center" shrinkToFit="1"/>
      <protection locked="0"/>
    </xf>
    <xf numFmtId="1" fontId="0" fillId="0" borderId="6" xfId="0" applyNumberFormat="1" applyFill="1" applyBorder="1" applyAlignment="1" applyProtection="1">
      <alignment horizontal="center"/>
    </xf>
    <xf numFmtId="0" fontId="27" fillId="2" borderId="0" xfId="0" applyFont="1" applyFill="1" applyBorder="1" applyProtection="1"/>
    <xf numFmtId="0" fontId="27" fillId="2" borderId="0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left"/>
    </xf>
    <xf numFmtId="0" fontId="21" fillId="8" borderId="25" xfId="0" applyFont="1" applyFill="1" applyBorder="1" applyAlignment="1" applyProtection="1">
      <alignment horizontal="center" vertical="center" wrapText="1"/>
      <protection locked="0"/>
    </xf>
    <xf numFmtId="2" fontId="18" fillId="0" borderId="6" xfId="0" applyNumberFormat="1" applyFont="1" applyBorder="1" applyAlignment="1" applyProtection="1">
      <alignment horizontal="center" shrinkToFit="1"/>
      <protection locked="0"/>
    </xf>
    <xf numFmtId="2" fontId="18" fillId="0" borderId="0" xfId="0" applyNumberFormat="1" applyFont="1" applyBorder="1" applyAlignment="1" applyProtection="1">
      <alignment horizontal="center" shrinkToFit="1"/>
      <protection locked="0"/>
    </xf>
    <xf numFmtId="0" fontId="0" fillId="2" borderId="0" xfId="0" applyFill="1" applyBorder="1" applyProtection="1"/>
    <xf numFmtId="0" fontId="9" fillId="2" borderId="22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</xf>
    <xf numFmtId="0" fontId="11" fillId="2" borderId="12" xfId="0" applyFont="1" applyFill="1" applyBorder="1" applyProtection="1"/>
    <xf numFmtId="0" fontId="18" fillId="2" borderId="12" xfId="0" applyFont="1" applyFill="1" applyBorder="1" applyAlignment="1" applyProtection="1">
      <alignment wrapText="1"/>
    </xf>
    <xf numFmtId="0" fontId="0" fillId="2" borderId="18" xfId="0" applyFill="1" applyBorder="1" applyProtection="1"/>
    <xf numFmtId="0" fontId="18" fillId="2" borderId="18" xfId="0" applyFont="1" applyFill="1" applyBorder="1" applyProtection="1"/>
    <xf numFmtId="0" fontId="18" fillId="2" borderId="0" xfId="0" applyFont="1" applyFill="1" applyBorder="1" applyAlignment="1" applyProtection="1">
      <alignment wrapText="1"/>
    </xf>
    <xf numFmtId="0" fontId="0" fillId="2" borderId="0" xfId="0" quotePrefix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shrinkToFit="1"/>
      <protection locked="0"/>
    </xf>
    <xf numFmtId="0" fontId="11" fillId="0" borderId="6" xfId="0" applyFont="1" applyFill="1" applyBorder="1" applyAlignment="1" applyProtection="1">
      <alignment horizontal="center" shrinkToFit="1"/>
      <protection locked="0"/>
    </xf>
    <xf numFmtId="0" fontId="0" fillId="0" borderId="6" xfId="0" applyFill="1" applyBorder="1" applyAlignment="1" applyProtection="1">
      <alignment horizontal="center" shrinkToFit="1"/>
    </xf>
    <xf numFmtId="0" fontId="0" fillId="2" borderId="6" xfId="0" applyFill="1" applyBorder="1" applyAlignment="1" applyProtection="1">
      <alignment horizontal="center" shrinkToFit="1"/>
    </xf>
    <xf numFmtId="166" fontId="0" fillId="2" borderId="6" xfId="0" applyNumberFormat="1" applyFill="1" applyBorder="1" applyAlignment="1" applyProtection="1">
      <alignment horizontal="center" shrinkToFit="1"/>
    </xf>
    <xf numFmtId="0" fontId="0" fillId="0" borderId="27" xfId="0" applyBorder="1" applyAlignment="1" applyProtection="1">
      <alignment horizontal="center" shrinkToFit="1"/>
    </xf>
    <xf numFmtId="0" fontId="19" fillId="2" borderId="22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21" fillId="7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Protection="1"/>
    <xf numFmtId="0" fontId="23" fillId="0" borderId="1" xfId="0" applyFont="1" applyBorder="1" applyAlignment="1">
      <alignment horizontal="center"/>
    </xf>
    <xf numFmtId="0" fontId="30" fillId="8" borderId="0" xfId="0" applyFont="1" applyFill="1" applyBorder="1" applyProtection="1">
      <protection locked="0"/>
    </xf>
    <xf numFmtId="0" fontId="30" fillId="8" borderId="0" xfId="0" applyFont="1" applyFill="1" applyBorder="1" applyAlignment="1" applyProtection="1">
      <alignment horizontal="center"/>
      <protection locked="0"/>
    </xf>
    <xf numFmtId="0" fontId="30" fillId="8" borderId="0" xfId="0" applyFont="1" applyFill="1" applyProtection="1">
      <protection locked="0"/>
    </xf>
    <xf numFmtId="0" fontId="30" fillId="8" borderId="0" xfId="0" applyFont="1" applyFill="1" applyAlignment="1" applyProtection="1">
      <alignment horizontal="center"/>
      <protection locked="0"/>
    </xf>
    <xf numFmtId="0" fontId="32" fillId="8" borderId="0" xfId="0" applyFont="1" applyFill="1" applyBorder="1" applyAlignment="1" applyProtection="1">
      <alignment horizontal="center" wrapText="1"/>
      <protection locked="0"/>
    </xf>
    <xf numFmtId="0" fontId="30" fillId="8" borderId="0" xfId="0" applyFont="1" applyFill="1" applyAlignment="1" applyProtection="1">
      <alignment horizontal="center" vertical="center" wrapText="1"/>
      <protection locked="0"/>
    </xf>
    <xf numFmtId="2" fontId="34" fillId="8" borderId="0" xfId="0" applyNumberFormat="1" applyFont="1" applyFill="1" applyAlignment="1" applyProtection="1">
      <alignment horizontal="center" vertical="center" wrapText="1"/>
    </xf>
    <xf numFmtId="0" fontId="34" fillId="8" borderId="0" xfId="0" applyFont="1" applyFill="1" applyAlignment="1" applyProtection="1">
      <alignment horizontal="center" vertical="center" wrapText="1"/>
      <protection locked="0"/>
    </xf>
    <xf numFmtId="2" fontId="30" fillId="8" borderId="0" xfId="0" applyNumberFormat="1" applyFont="1" applyFill="1" applyAlignment="1" applyProtection="1">
      <alignment horizontal="center"/>
      <protection locked="0"/>
    </xf>
    <xf numFmtId="0" fontId="33" fillId="8" borderId="0" xfId="0" applyFont="1" applyFill="1" applyAlignment="1" applyProtection="1">
      <alignment horizontal="left" vertical="center" wrapText="1"/>
    </xf>
    <xf numFmtId="0" fontId="30" fillId="8" borderId="0" xfId="0" applyFont="1" applyFill="1" applyAlignment="1" applyProtection="1">
      <alignment horizontal="center"/>
    </xf>
    <xf numFmtId="0" fontId="30" fillId="8" borderId="0" xfId="0" applyFont="1" applyFill="1" applyProtection="1"/>
    <xf numFmtId="0" fontId="34" fillId="8" borderId="0" xfId="0" applyFont="1" applyFill="1" applyBorder="1" applyAlignment="1" applyProtection="1">
      <alignment horizontal="center" vertical="center" wrapText="1"/>
      <protection locked="0"/>
    </xf>
    <xf numFmtId="0" fontId="36" fillId="8" borderId="0" xfId="0" applyFont="1" applyFill="1" applyAlignment="1" applyProtection="1">
      <alignment horizontal="center" vertical="center" wrapText="1"/>
    </xf>
    <xf numFmtId="0" fontId="36" fillId="8" borderId="0" xfId="0" applyFont="1" applyFill="1" applyAlignment="1" applyProtection="1">
      <alignment horizontal="left" vertical="center" wrapText="1"/>
    </xf>
    <xf numFmtId="0" fontId="34" fillId="8" borderId="0" xfId="0" applyFont="1" applyFill="1" applyAlignment="1" applyProtection="1">
      <alignment horizontal="center" vertical="center" wrapText="1"/>
    </xf>
    <xf numFmtId="0" fontId="30" fillId="8" borderId="0" xfId="0" applyFont="1" applyFill="1" applyAlignment="1" applyProtection="1">
      <alignment horizontal="left" vertical="center"/>
      <protection locked="0"/>
    </xf>
    <xf numFmtId="0" fontId="36" fillId="8" borderId="0" xfId="0" applyFont="1" applyFill="1" applyAlignment="1" applyProtection="1">
      <alignment horizontal="center" vertical="center" wrapText="1"/>
      <protection locked="0"/>
    </xf>
    <xf numFmtId="0" fontId="36" fillId="8" borderId="0" xfId="0" applyFont="1" applyFill="1" applyAlignment="1" applyProtection="1">
      <alignment horizontal="left" vertical="center" wrapText="1"/>
      <protection locked="0"/>
    </xf>
    <xf numFmtId="2" fontId="34" fillId="8" borderId="0" xfId="0" applyNumberFormat="1" applyFont="1" applyFill="1" applyAlignment="1" applyProtection="1">
      <alignment horizontal="center" vertical="center" wrapText="1"/>
      <protection locked="0"/>
    </xf>
    <xf numFmtId="0" fontId="30" fillId="8" borderId="0" xfId="0" applyFont="1" applyFill="1" applyBorder="1" applyAlignment="1" applyProtection="1">
      <alignment horizontal="center" vertical="center" wrapText="1"/>
      <protection locked="0"/>
    </xf>
    <xf numFmtId="15" fontId="13" fillId="0" borderId="23" xfId="0" applyNumberFormat="1" applyFont="1" applyBorder="1" applyAlignment="1" applyProtection="1">
      <alignment horizontal="center" shrinkToFit="1"/>
      <protection locked="0"/>
    </xf>
    <xf numFmtId="0" fontId="19" fillId="0" borderId="0" xfId="0" applyFont="1" applyFill="1" applyBorder="1" applyAlignment="1" applyProtection="1">
      <alignment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center" vertical="center" shrinkToFit="1"/>
    </xf>
    <xf numFmtId="0" fontId="19" fillId="0" borderId="28" xfId="0" applyFont="1" applyFill="1" applyBorder="1" applyAlignment="1" applyProtection="1">
      <alignment horizontal="center" vertical="center" wrapText="1"/>
    </xf>
    <xf numFmtId="165" fontId="19" fillId="0" borderId="28" xfId="0" applyNumberFormat="1" applyFont="1" applyFill="1" applyBorder="1" applyAlignment="1" applyProtection="1">
      <alignment horizontal="center" vertical="center" wrapText="1"/>
    </xf>
    <xf numFmtId="164" fontId="19" fillId="0" borderId="28" xfId="0" applyNumberFormat="1" applyFont="1" applyFill="1" applyBorder="1" applyAlignment="1" applyProtection="1">
      <alignment horizontal="center" vertical="center" wrapText="1"/>
    </xf>
    <xf numFmtId="2" fontId="19" fillId="0" borderId="28" xfId="0" applyNumberFormat="1" applyFont="1" applyFill="1" applyBorder="1" applyAlignment="1" applyProtection="1">
      <alignment horizontal="center" vertical="center" wrapText="1"/>
    </xf>
    <xf numFmtId="166" fontId="19" fillId="0" borderId="28" xfId="0" applyNumberFormat="1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/>
    </xf>
    <xf numFmtId="0" fontId="37" fillId="2" borderId="0" xfId="0" applyFont="1" applyFill="1" applyBorder="1" applyProtection="1"/>
    <xf numFmtId="0" fontId="37" fillId="0" borderId="0" xfId="0" applyFont="1" applyBorder="1" applyProtection="1"/>
    <xf numFmtId="0" fontId="38" fillId="2" borderId="22" xfId="0" applyFont="1" applyFill="1" applyBorder="1" applyAlignment="1" applyProtection="1">
      <alignment horizontal="center" vertical="center" wrapText="1"/>
    </xf>
    <xf numFmtId="0" fontId="37" fillId="0" borderId="6" xfId="0" applyFont="1" applyBorder="1" applyAlignment="1" applyProtection="1">
      <alignment horizontal="center"/>
    </xf>
    <xf numFmtId="0" fontId="37" fillId="0" borderId="1" xfId="0" applyFont="1" applyBorder="1" applyProtection="1"/>
    <xf numFmtId="168" fontId="14" fillId="2" borderId="0" xfId="0" applyNumberFormat="1" applyFont="1" applyFill="1" applyBorder="1" applyAlignment="1" applyProtection="1">
      <alignment horizontal="center"/>
    </xf>
    <xf numFmtId="168" fontId="0" fillId="0" borderId="0" xfId="0" applyNumberFormat="1" applyBorder="1" applyAlignment="1" applyProtection="1">
      <alignment horizontal="center"/>
    </xf>
    <xf numFmtId="168" fontId="9" fillId="2" borderId="22" xfId="0" applyNumberFormat="1" applyFont="1" applyFill="1" applyBorder="1" applyAlignment="1" applyProtection="1">
      <alignment horizontal="center" vertical="center" wrapText="1"/>
    </xf>
    <xf numFmtId="168" fontId="0" fillId="0" borderId="1" xfId="0" applyNumberFormat="1" applyBorder="1" applyAlignment="1" applyProtection="1">
      <alignment horizontal="center"/>
    </xf>
    <xf numFmtId="166" fontId="9" fillId="2" borderId="2" xfId="0" applyNumberFormat="1" applyFont="1" applyFill="1" applyBorder="1" applyAlignment="1">
      <alignment horizontal="center" vertical="center"/>
    </xf>
    <xf numFmtId="166" fontId="0" fillId="0" borderId="0" xfId="0" applyNumberFormat="1" applyFill="1"/>
    <xf numFmtId="166" fontId="9" fillId="2" borderId="3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wrapText="1"/>
    </xf>
    <xf numFmtId="165" fontId="39" fillId="0" borderId="0" xfId="0" applyNumberFormat="1" applyFont="1" applyFill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35" fillId="8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shrinkToFit="1"/>
    </xf>
    <xf numFmtId="1" fontId="0" fillId="0" borderId="6" xfId="0" applyNumberFormat="1" applyBorder="1" applyAlignment="1" applyProtection="1">
      <alignment horizontal="center"/>
    </xf>
    <xf numFmtId="164" fontId="42" fillId="0" borderId="1" xfId="2" applyNumberFormat="1" applyFont="1" applyBorder="1" applyAlignment="1">
      <alignment horizontal="center" wrapText="1"/>
    </xf>
    <xf numFmtId="0" fontId="40" fillId="2" borderId="1" xfId="2" applyFont="1" applyFill="1" applyBorder="1" applyAlignment="1" applyProtection="1">
      <alignment horizontal="center" wrapText="1"/>
      <protection locked="0"/>
    </xf>
    <xf numFmtId="0" fontId="40" fillId="0" borderId="1" xfId="2" applyFont="1" applyFill="1" applyBorder="1" applyAlignment="1" applyProtection="1">
      <alignment horizontal="center" wrapText="1"/>
      <protection locked="0"/>
    </xf>
    <xf numFmtId="0" fontId="41" fillId="0" borderId="0" xfId="2" applyAlignment="1">
      <alignment horizontal="center" wrapText="1"/>
    </xf>
    <xf numFmtId="0" fontId="41" fillId="0" borderId="0" xfId="2" applyAlignment="1">
      <alignment wrapText="1"/>
    </xf>
    <xf numFmtId="164" fontId="42" fillId="0" borderId="1" xfId="2" applyNumberFormat="1" applyFont="1" applyBorder="1" applyAlignment="1" applyProtection="1">
      <alignment horizontal="center"/>
      <protection locked="0"/>
    </xf>
    <xf numFmtId="0" fontId="40" fillId="2" borderId="1" xfId="2" applyFont="1" applyFill="1" applyBorder="1" applyAlignment="1">
      <alignment horizontal="center"/>
    </xf>
    <xf numFmtId="0" fontId="40" fillId="0" borderId="1" xfId="2" applyFont="1" applyFill="1" applyBorder="1" applyAlignment="1">
      <alignment horizontal="center"/>
    </xf>
    <xf numFmtId="0" fontId="40" fillId="0" borderId="1" xfId="2" applyFont="1" applyFill="1" applyBorder="1" applyAlignment="1" applyProtection="1">
      <alignment horizontal="center"/>
      <protection locked="0"/>
    </xf>
    <xf numFmtId="0" fontId="41" fillId="0" borderId="0" xfId="2" applyAlignment="1">
      <alignment horizontal="center"/>
    </xf>
    <xf numFmtId="0" fontId="41" fillId="0" borderId="0" xfId="2"/>
    <xf numFmtId="164" fontId="42" fillId="0" borderId="1" xfId="2" applyNumberFormat="1" applyFont="1" applyBorder="1" applyAlignment="1">
      <alignment horizontal="center"/>
    </xf>
    <xf numFmtId="0" fontId="23" fillId="0" borderId="0" xfId="2" applyFont="1" applyAlignment="1">
      <alignment horizontal="center"/>
    </xf>
    <xf numFmtId="0" fontId="8" fillId="2" borderId="0" xfId="2" applyFont="1" applyFill="1"/>
    <xf numFmtId="0" fontId="8" fillId="0" borderId="0" xfId="2" applyFont="1" applyFill="1"/>
    <xf numFmtId="0" fontId="9" fillId="2" borderId="1" xfId="0" applyFont="1" applyFill="1" applyBorder="1" applyAlignment="1" applyProtection="1">
      <alignment wrapText="1"/>
    </xf>
    <xf numFmtId="0" fontId="9" fillId="2" borderId="29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166" fontId="0" fillId="0" borderId="6" xfId="0" applyNumberFormat="1" applyFill="1" applyBorder="1" applyAlignment="1" applyProtection="1">
      <alignment horizontal="center"/>
    </xf>
    <xf numFmtId="0" fontId="43" fillId="8" borderId="0" xfId="0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49" fontId="14" fillId="2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Border="1" applyAlignment="1" applyProtection="1">
      <alignment horizontal="center"/>
    </xf>
    <xf numFmtId="49" fontId="9" fillId="2" borderId="25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ill="1" applyBorder="1" applyAlignment="1" applyProtection="1">
      <alignment horizontal="center" shrinkToFit="1"/>
      <protection locked="0"/>
    </xf>
    <xf numFmtId="49" fontId="0" fillId="0" borderId="1" xfId="0" applyNumberFormat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ill="1" applyAlignment="1"/>
    <xf numFmtId="0" fontId="10" fillId="0" borderId="0" xfId="1" applyFill="1" applyBorder="1" applyAlignment="1" applyProtection="1"/>
    <xf numFmtId="0" fontId="0" fillId="0" borderId="0" xfId="0" applyFill="1" applyBorder="1" applyAlignment="1">
      <alignment horizontal="center"/>
    </xf>
    <xf numFmtId="0" fontId="25" fillId="2" borderId="33" xfId="0" applyFont="1" applyFill="1" applyBorder="1" applyAlignment="1" applyProtection="1">
      <alignment horizontal="center" vertical="center" shrinkToFit="1"/>
    </xf>
    <xf numFmtId="0" fontId="0" fillId="0" borderId="60" xfId="0" applyBorder="1" applyAlignment="1" applyProtection="1">
      <alignment horizontal="center"/>
    </xf>
    <xf numFmtId="164" fontId="24" fillId="0" borderId="0" xfId="0" applyNumberFormat="1" applyFont="1" applyFill="1" applyBorder="1" applyAlignment="1" applyProtection="1">
      <alignment vertical="center" shrinkToFit="1"/>
    </xf>
    <xf numFmtId="0" fontId="0" fillId="0" borderId="38" xfId="0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16" fillId="0" borderId="23" xfId="0" applyFont="1" applyBorder="1" applyAlignment="1" applyProtection="1">
      <alignment horizontal="center" vertical="center" shrinkToFit="1"/>
    </xf>
    <xf numFmtId="164" fontId="24" fillId="0" borderId="8" xfId="0" applyNumberFormat="1" applyFont="1" applyFill="1" applyBorder="1" applyAlignment="1" applyProtection="1">
      <alignment vertical="center" shrinkToFit="1"/>
    </xf>
    <xf numFmtId="164" fontId="24" fillId="0" borderId="39" xfId="0" applyNumberFormat="1" applyFont="1" applyFill="1" applyBorder="1" applyAlignment="1" applyProtection="1">
      <alignment vertical="center" shrinkToFit="1"/>
    </xf>
    <xf numFmtId="164" fontId="24" fillId="0" borderId="19" xfId="0" applyNumberFormat="1" applyFont="1" applyFill="1" applyBorder="1" applyAlignment="1" applyProtection="1">
      <alignment vertical="center" shrinkToFit="1"/>
    </xf>
    <xf numFmtId="0" fontId="0" fillId="0" borderId="58" xfId="0" applyBorder="1"/>
    <xf numFmtId="165" fontId="18" fillId="0" borderId="0" xfId="0" applyNumberFormat="1" applyFont="1" applyFill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0" fontId="46" fillId="0" borderId="0" xfId="0" applyFont="1" applyBorder="1" applyAlignment="1">
      <alignment vertical="center"/>
    </xf>
    <xf numFmtId="0" fontId="46" fillId="0" borderId="7" xfId="0" applyFont="1" applyBorder="1" applyAlignment="1">
      <alignment vertical="center"/>
    </xf>
    <xf numFmtId="2" fontId="0" fillId="0" borderId="0" xfId="0" applyNumberFormat="1" applyBorder="1" applyAlignment="1" applyProtection="1">
      <alignment horizontal="left"/>
    </xf>
    <xf numFmtId="21" fontId="0" fillId="0" borderId="0" xfId="0" applyNumberFormat="1" applyBorder="1" applyAlignment="1" applyProtection="1">
      <alignment horizontal="left"/>
    </xf>
    <xf numFmtId="21" fontId="0" fillId="0" borderId="0" xfId="0" applyNumberFormat="1" applyBorder="1" applyAlignment="1" applyProtection="1">
      <alignment horizontal="left"/>
    </xf>
    <xf numFmtId="0" fontId="0" fillId="0" borderId="0" xfId="0" applyFill="1" applyAlignment="1">
      <alignment horizontal="center"/>
    </xf>
    <xf numFmtId="0" fontId="9" fillId="2" borderId="1" xfId="46" applyFont="1" applyFill="1" applyBorder="1" applyAlignment="1">
      <alignment horizontal="center"/>
    </xf>
    <xf numFmtId="0" fontId="9" fillId="2" borderId="2" xfId="46" applyFont="1" applyFill="1" applyBorder="1" applyAlignment="1">
      <alignment horizontal="center"/>
    </xf>
    <xf numFmtId="0" fontId="9" fillId="2" borderId="3" xfId="46" applyFont="1" applyFill="1" applyBorder="1" applyAlignment="1">
      <alignment horizontal="center"/>
    </xf>
    <xf numFmtId="0" fontId="8" fillId="2" borderId="1" xfId="46" applyFill="1" applyBorder="1" applyAlignment="1">
      <alignment horizontal="center"/>
    </xf>
    <xf numFmtId="0" fontId="8" fillId="0" borderId="1" xfId="46" applyFill="1" applyBorder="1" applyAlignment="1" applyProtection="1">
      <alignment horizontal="center"/>
      <protection locked="0"/>
    </xf>
    <xf numFmtId="0" fontId="8" fillId="0" borderId="1" xfId="46" applyFont="1" applyFill="1" applyBorder="1" applyAlignment="1" applyProtection="1">
      <alignment horizontal="center"/>
      <protection locked="0"/>
    </xf>
    <xf numFmtId="0" fontId="8" fillId="0" borderId="0" xfId="46" applyFont="1" applyProtection="1">
      <protection locked="0"/>
    </xf>
    <xf numFmtId="0" fontId="0" fillId="0" borderId="61" xfId="0" applyBorder="1"/>
    <xf numFmtId="0" fontId="8" fillId="0" borderId="0" xfId="0" applyFont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3" xfId="105" applyFill="1" applyBorder="1" applyAlignment="1" applyProtection="1">
      <alignment horizontal="left"/>
      <protection locked="0"/>
    </xf>
    <xf numFmtId="0" fontId="64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2" borderId="3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8" fillId="0" borderId="0" xfId="0" quotePrefix="1" applyFont="1" applyFill="1"/>
    <xf numFmtId="0" fontId="8" fillId="0" borderId="0" xfId="0" applyFont="1" applyFill="1"/>
    <xf numFmtId="0" fontId="63" fillId="0" borderId="0" xfId="46" applyFont="1" applyBorder="1" applyAlignment="1">
      <alignment horizontal="left" vertical="top"/>
    </xf>
    <xf numFmtId="0" fontId="8" fillId="42" borderId="1" xfId="0" applyNumberFormat="1" applyFont="1" applyFill="1" applyBorder="1" applyAlignment="1">
      <alignment horizontal="left"/>
    </xf>
    <xf numFmtId="49" fontId="8" fillId="42" borderId="1" xfId="0" applyNumberFormat="1" applyFont="1" applyFill="1" applyBorder="1" applyAlignment="1">
      <alignment horizontal="left"/>
    </xf>
    <xf numFmtId="0" fontId="8" fillId="42" borderId="1" xfId="0" applyNumberFormat="1" applyFont="1" applyFill="1" applyBorder="1" applyAlignment="1">
      <alignment horizontal="right"/>
    </xf>
    <xf numFmtId="0" fontId="8" fillId="42" borderId="1" xfId="0" applyNumberFormat="1" applyFont="1" applyFill="1" applyBorder="1" applyAlignment="1"/>
    <xf numFmtId="49" fontId="8" fillId="42" borderId="1" xfId="0" applyNumberFormat="1" applyFont="1" applyFill="1" applyBorder="1" applyAlignment="1">
      <alignment horizontal="center"/>
    </xf>
    <xf numFmtId="49" fontId="0" fillId="42" borderId="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49" fontId="69" fillId="42" borderId="1" xfId="0" applyNumberFormat="1" applyFont="1" applyFill="1" applyBorder="1" applyAlignment="1">
      <alignment horizontal="left"/>
    </xf>
    <xf numFmtId="49" fontId="69" fillId="42" borderId="1" xfId="0" applyNumberFormat="1" applyFont="1" applyFill="1" applyBorder="1" applyAlignment="1">
      <alignment horizontal="center"/>
    </xf>
    <xf numFmtId="0" fontId="69" fillId="0" borderId="2" xfId="0" applyNumberFormat="1" applyFont="1" applyFill="1" applyBorder="1" applyAlignment="1" applyProtection="1">
      <alignment horizontal="center"/>
      <protection locked="0"/>
    </xf>
    <xf numFmtId="0" fontId="69" fillId="0" borderId="3" xfId="0" applyNumberFormat="1" applyFont="1" applyFill="1" applyBorder="1" applyAlignment="1" applyProtection="1">
      <alignment horizontal="center"/>
      <protection locked="0"/>
    </xf>
    <xf numFmtId="0" fontId="69" fillId="0" borderId="2" xfId="0" applyFont="1" applyFill="1" applyBorder="1" applyAlignment="1" applyProtection="1">
      <alignment horizontal="left"/>
      <protection locked="0"/>
    </xf>
    <xf numFmtId="0" fontId="69" fillId="0" borderId="10" xfId="0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9" fillId="2" borderId="25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shrinkToFit="1"/>
    </xf>
    <xf numFmtId="0" fontId="16" fillId="0" borderId="0" xfId="0" applyFont="1" applyAlignment="1">
      <alignment horizontal="center" vertical="center" wrapText="1" shrinkToFit="1"/>
    </xf>
    <xf numFmtId="0" fontId="21" fillId="8" borderId="25" xfId="0" applyFont="1" applyFill="1" applyBorder="1" applyAlignment="1" applyProtection="1">
      <alignment horizontal="center" vertical="center" wrapText="1" shrinkToFit="1"/>
      <protection locked="0"/>
    </xf>
    <xf numFmtId="0" fontId="9" fillId="2" borderId="25" xfId="0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wrapText="1" shrinkToFit="1"/>
    </xf>
    <xf numFmtId="15" fontId="16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4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64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wrapText="1" shrinkToFit="1"/>
    </xf>
    <xf numFmtId="0" fontId="69" fillId="0" borderId="1" xfId="0" applyFont="1" applyFill="1" applyBorder="1" applyAlignment="1" applyProtection="1">
      <alignment horizontal="center"/>
      <protection locked="0"/>
    </xf>
    <xf numFmtId="0" fontId="69" fillId="0" borderId="0" xfId="0" applyFont="1" applyBorder="1" applyAlignment="1">
      <alignment horizontal="left"/>
    </xf>
    <xf numFmtId="0" fontId="70" fillId="0" borderId="0" xfId="0" applyFont="1" applyFill="1" applyAlignment="1">
      <alignment horizontal="center"/>
    </xf>
    <xf numFmtId="0" fontId="70" fillId="0" borderId="1" xfId="0" applyFont="1" applyFill="1" applyBorder="1" applyAlignment="1">
      <alignment horizontal="center"/>
    </xf>
    <xf numFmtId="0" fontId="11" fillId="9" borderId="6" xfId="0" applyFont="1" applyFill="1" applyBorder="1" applyAlignment="1" applyProtection="1">
      <alignment horizontal="center" shrinkToFit="1"/>
      <protection locked="0"/>
    </xf>
    <xf numFmtId="0" fontId="28" fillId="2" borderId="8" xfId="0" applyFont="1" applyFill="1" applyBorder="1" applyAlignment="1">
      <alignment horizontal="center" vertical="center" shrinkToFit="1"/>
    </xf>
    <xf numFmtId="0" fontId="28" fillId="2" borderId="19" xfId="0" applyFont="1" applyFill="1" applyBorder="1" applyAlignment="1">
      <alignment horizontal="center" vertical="center" shrinkToFit="1"/>
    </xf>
    <xf numFmtId="0" fontId="17" fillId="2" borderId="3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5" fillId="2" borderId="31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8" fillId="2" borderId="8" xfId="0" applyFont="1" applyFill="1" applyBorder="1" applyAlignment="1" applyProtection="1">
      <alignment horizontal="center" vertical="center" shrinkToFit="1"/>
      <protection locked="0"/>
    </xf>
    <xf numFmtId="0" fontId="28" fillId="2" borderId="39" xfId="0" applyFont="1" applyFill="1" applyBorder="1" applyAlignment="1" applyProtection="1">
      <alignment horizontal="center" vertical="center" shrinkToFit="1"/>
      <protection locked="0"/>
    </xf>
    <xf numFmtId="0" fontId="28" fillId="2" borderId="19" xfId="0" applyFont="1" applyFill="1" applyBorder="1" applyAlignment="1" applyProtection="1">
      <alignment horizontal="center" vertical="center" shrinkToFit="1"/>
      <protection locked="0"/>
    </xf>
    <xf numFmtId="0" fontId="22" fillId="8" borderId="42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22" fillId="8" borderId="43" xfId="0" applyFont="1" applyFill="1" applyBorder="1" applyAlignment="1" applyProtection="1">
      <alignment horizontal="center" vertical="center"/>
      <protection locked="0"/>
    </xf>
    <xf numFmtId="0" fontId="22" fillId="8" borderId="0" xfId="0" applyFont="1" applyFill="1" applyBorder="1" applyAlignment="1" applyProtection="1">
      <alignment horizontal="center" vertical="center"/>
      <protection locked="0"/>
    </xf>
    <xf numFmtId="0" fontId="22" fillId="8" borderId="44" xfId="0" applyFont="1" applyFill="1" applyBorder="1" applyAlignment="1" applyProtection="1">
      <alignment horizontal="center" vertical="center"/>
      <protection locked="0"/>
    </xf>
    <xf numFmtId="0" fontId="22" fillId="8" borderId="30" xfId="0" applyFont="1" applyFill="1" applyBorder="1" applyAlignment="1" applyProtection="1">
      <alignment horizontal="center" vertical="center"/>
      <protection locked="0"/>
    </xf>
    <xf numFmtId="0" fontId="22" fillId="8" borderId="7" xfId="0" applyFont="1" applyFill="1" applyBorder="1" applyAlignment="1" applyProtection="1">
      <alignment horizontal="center" vertical="center"/>
      <protection locked="0"/>
    </xf>
    <xf numFmtId="0" fontId="22" fillId="8" borderId="38" xfId="0" applyFont="1" applyFill="1" applyBorder="1" applyAlignment="1" applyProtection="1">
      <alignment horizontal="center" vertical="center"/>
      <protection locked="0"/>
    </xf>
    <xf numFmtId="0" fontId="20" fillId="2" borderId="3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8" fillId="2" borderId="8" xfId="44" applyFont="1" applyFill="1" applyBorder="1" applyAlignment="1" applyProtection="1">
      <alignment horizontal="center" vertical="center" shrinkToFit="1"/>
      <protection locked="0"/>
    </xf>
    <xf numFmtId="0" fontId="28" fillId="2" borderId="39" xfId="44" applyFont="1" applyFill="1" applyBorder="1" applyAlignment="1" applyProtection="1">
      <alignment horizontal="center" vertical="center" shrinkToFit="1"/>
      <protection locked="0"/>
    </xf>
    <xf numFmtId="0" fontId="28" fillId="2" borderId="19" xfId="44" applyFont="1" applyFill="1" applyBorder="1" applyAlignment="1" applyProtection="1">
      <alignment horizontal="center" vertical="center" shrinkToFit="1"/>
      <protection locked="0"/>
    </xf>
    <xf numFmtId="15" fontId="28" fillId="2" borderId="8" xfId="46" applyNumberFormat="1" applyFont="1" applyFill="1" applyBorder="1" applyAlignment="1">
      <alignment horizontal="center" vertical="center" shrinkToFit="1"/>
    </xf>
    <xf numFmtId="0" fontId="28" fillId="2" borderId="39" xfId="46" applyFont="1" applyFill="1" applyBorder="1" applyAlignment="1">
      <alignment horizontal="center" vertical="center" shrinkToFit="1"/>
    </xf>
    <xf numFmtId="0" fontId="28" fillId="2" borderId="19" xfId="46" applyFont="1" applyFill="1" applyBorder="1" applyAlignment="1">
      <alignment horizontal="center" vertical="center" shrinkToFit="1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0" fillId="2" borderId="34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40" xfId="0" applyFont="1" applyFill="1" applyBorder="1" applyAlignment="1" applyProtection="1">
      <alignment horizontal="center" vertical="center"/>
      <protection locked="0"/>
    </xf>
    <xf numFmtId="0" fontId="20" fillId="2" borderId="4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22" fillId="8" borderId="46" xfId="0" applyFont="1" applyFill="1" applyBorder="1" applyAlignment="1" applyProtection="1">
      <alignment horizontal="center" vertical="center" shrinkToFit="1"/>
      <protection locked="0"/>
    </xf>
    <xf numFmtId="0" fontId="22" fillId="8" borderId="47" xfId="0" applyFont="1" applyFill="1" applyBorder="1" applyAlignment="1" applyProtection="1">
      <alignment horizontal="center" vertical="center" shrinkToFit="1"/>
      <protection locked="0"/>
    </xf>
    <xf numFmtId="0" fontId="22" fillId="8" borderId="48" xfId="0" applyFont="1" applyFill="1" applyBorder="1" applyAlignment="1" applyProtection="1">
      <alignment horizontal="center" vertical="center" shrinkToFit="1"/>
      <protection locked="0"/>
    </xf>
    <xf numFmtId="0" fontId="22" fillId="8" borderId="30" xfId="0" applyFont="1" applyFill="1" applyBorder="1" applyAlignment="1" applyProtection="1">
      <alignment horizontal="center" vertical="center" shrinkToFit="1"/>
      <protection locked="0"/>
    </xf>
    <xf numFmtId="0" fontId="22" fillId="8" borderId="7" xfId="0" applyFont="1" applyFill="1" applyBorder="1" applyAlignment="1" applyProtection="1">
      <alignment horizontal="center" vertical="center" shrinkToFit="1"/>
      <protection locked="0"/>
    </xf>
    <xf numFmtId="0" fontId="22" fillId="8" borderId="38" xfId="0" applyFont="1" applyFill="1" applyBorder="1" applyAlignment="1" applyProtection="1">
      <alignment horizontal="center" vertical="center" shrinkToFit="1"/>
      <protection locked="0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17" fillId="6" borderId="21" xfId="0" applyFont="1" applyFill="1" applyBorder="1" applyAlignment="1" applyProtection="1">
      <alignment horizontal="center" vertical="center" shrinkToFit="1"/>
    </xf>
    <xf numFmtId="0" fontId="17" fillId="6" borderId="55" xfId="0" applyFont="1" applyFill="1" applyBorder="1" applyAlignment="1" applyProtection="1">
      <alignment horizontal="center" vertical="center" shrinkToFit="1"/>
    </xf>
    <xf numFmtId="0" fontId="44" fillId="0" borderId="8" xfId="0" applyFont="1" applyBorder="1" applyAlignment="1" applyProtection="1">
      <alignment horizontal="center" vertical="center" shrinkToFit="1"/>
    </xf>
    <xf numFmtId="0" fontId="44" fillId="0" borderId="19" xfId="0" applyFont="1" applyBorder="1" applyAlignment="1" applyProtection="1">
      <alignment horizontal="center" vertical="center" shrinkToFit="1"/>
    </xf>
    <xf numFmtId="164" fontId="16" fillId="9" borderId="32" xfId="0" applyNumberFormat="1" applyFont="1" applyFill="1" applyBorder="1" applyAlignment="1" applyProtection="1">
      <alignment horizontal="center" vertical="center"/>
    </xf>
    <xf numFmtId="0" fontId="17" fillId="6" borderId="25" xfId="0" applyFont="1" applyFill="1" applyBorder="1" applyAlignment="1" applyProtection="1">
      <alignment horizontal="center" vertical="center" shrinkToFit="1"/>
    </xf>
    <xf numFmtId="0" fontId="0" fillId="0" borderId="32" xfId="0" applyBorder="1" applyAlignment="1" applyProtection="1">
      <alignment horizontal="center" textRotation="90" shrinkToFit="1"/>
    </xf>
    <xf numFmtId="0" fontId="0" fillId="0" borderId="0" xfId="0" applyAlignment="1" applyProtection="1">
      <alignment horizontal="center" textRotation="90" shrinkToFit="1"/>
    </xf>
    <xf numFmtId="164" fontId="16" fillId="9" borderId="8" xfId="0" applyNumberFormat="1" applyFont="1" applyFill="1" applyBorder="1" applyAlignment="1" applyProtection="1">
      <alignment horizontal="center" vertical="center"/>
    </xf>
    <xf numFmtId="164" fontId="16" fillId="9" borderId="39" xfId="0" applyNumberFormat="1" applyFont="1" applyFill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59" xfId="0" applyFont="1" applyBorder="1" applyAlignment="1" applyProtection="1">
      <alignment horizontal="center" vertical="center" shrinkToFit="1"/>
    </xf>
    <xf numFmtId="0" fontId="16" fillId="0" borderId="42" xfId="0" applyFont="1" applyBorder="1" applyAlignment="1" applyProtection="1">
      <alignment horizontal="center" vertical="center" shrinkToFit="1"/>
    </xf>
    <xf numFmtId="0" fontId="45" fillId="0" borderId="8" xfId="0" applyFont="1" applyBorder="1" applyAlignment="1" applyProtection="1">
      <alignment horizontal="center" vertical="center" shrinkToFit="1"/>
      <protection locked="0"/>
    </xf>
    <xf numFmtId="0" fontId="45" fillId="0" borderId="39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 shrinkToFit="1"/>
      <protection locked="0"/>
    </xf>
    <xf numFmtId="164" fontId="21" fillId="10" borderId="39" xfId="0" applyNumberFormat="1" applyFont="1" applyFill="1" applyBorder="1" applyAlignment="1" applyProtection="1">
      <alignment horizontal="center" vertical="center" shrinkToFit="1"/>
      <protection locked="0"/>
    </xf>
    <xf numFmtId="164" fontId="66" fillId="0" borderId="58" xfId="0" applyNumberFormat="1" applyFont="1" applyBorder="1" applyAlignment="1">
      <alignment horizontal="right" vertical="center"/>
    </xf>
    <xf numFmtId="164" fontId="66" fillId="0" borderId="0" xfId="0" applyNumberFormat="1" applyFont="1" applyBorder="1" applyAlignment="1">
      <alignment horizontal="right" vertical="center"/>
    </xf>
    <xf numFmtId="164" fontId="66" fillId="0" borderId="27" xfId="0" applyNumberFormat="1" applyFont="1" applyBorder="1" applyAlignment="1">
      <alignment horizontal="right" vertical="center"/>
    </xf>
    <xf numFmtId="164" fontId="66" fillId="0" borderId="7" xfId="0" applyNumberFormat="1" applyFont="1" applyBorder="1" applyAlignment="1">
      <alignment horizontal="right" vertical="center"/>
    </xf>
    <xf numFmtId="0" fontId="67" fillId="0" borderId="0" xfId="0" applyFont="1" applyBorder="1" applyAlignment="1">
      <alignment horizontal="left" vertical="center"/>
    </xf>
    <xf numFmtId="0" fontId="67" fillId="0" borderId="61" xfId="0" applyFont="1" applyBorder="1" applyAlignment="1">
      <alignment horizontal="left" vertical="center"/>
    </xf>
    <xf numFmtId="0" fontId="67" fillId="0" borderId="7" xfId="0" applyFont="1" applyBorder="1" applyAlignment="1">
      <alignment horizontal="left" vertical="center"/>
    </xf>
    <xf numFmtId="0" fontId="67" fillId="0" borderId="9" xfId="0" applyFont="1" applyBorder="1" applyAlignment="1">
      <alignment horizontal="left" vertical="center"/>
    </xf>
    <xf numFmtId="0" fontId="66" fillId="0" borderId="11" xfId="0" applyFont="1" applyBorder="1" applyAlignment="1">
      <alignment horizontal="left" vertical="center"/>
    </xf>
    <xf numFmtId="0" fontId="66" fillId="0" borderId="47" xfId="0" applyFont="1" applyBorder="1" applyAlignment="1">
      <alignment horizontal="left" vertical="center"/>
    </xf>
    <xf numFmtId="0" fontId="66" fillId="0" borderId="71" xfId="0" applyFont="1" applyBorder="1" applyAlignment="1">
      <alignment horizontal="left" vertical="center"/>
    </xf>
    <xf numFmtId="0" fontId="66" fillId="0" borderId="58" xfId="0" applyFont="1" applyBorder="1" applyAlignment="1">
      <alignment horizontal="left" vertical="center"/>
    </xf>
    <xf numFmtId="0" fontId="66" fillId="0" borderId="0" xfId="0" applyFont="1" applyBorder="1" applyAlignment="1">
      <alignment horizontal="left" vertical="center"/>
    </xf>
    <xf numFmtId="0" fontId="66" fillId="0" borderId="61" xfId="0" applyFont="1" applyBorder="1" applyAlignment="1">
      <alignment horizontal="left" vertical="center"/>
    </xf>
    <xf numFmtId="0" fontId="65" fillId="0" borderId="58" xfId="0" applyFont="1" applyBorder="1" applyAlignment="1">
      <alignment horizontal="left" vertical="center"/>
    </xf>
    <xf numFmtId="0" fontId="65" fillId="0" borderId="0" xfId="0" applyFont="1" applyBorder="1" applyAlignment="1">
      <alignment horizontal="left" vertical="center"/>
    </xf>
    <xf numFmtId="0" fontId="65" fillId="0" borderId="0" xfId="0" applyFont="1" applyBorder="1" applyAlignment="1">
      <alignment horizontal="right" vertical="center"/>
    </xf>
    <xf numFmtId="0" fontId="65" fillId="0" borderId="61" xfId="0" applyFont="1" applyBorder="1" applyAlignment="1">
      <alignment horizontal="right" vertical="center"/>
    </xf>
    <xf numFmtId="0" fontId="66" fillId="0" borderId="58" xfId="0" applyFont="1" applyBorder="1" applyAlignment="1">
      <alignment horizontal="right" vertical="center"/>
    </xf>
    <xf numFmtId="0" fontId="66" fillId="0" borderId="0" xfId="0" applyFont="1" applyBorder="1" applyAlignment="1">
      <alignment horizontal="right" vertical="center"/>
    </xf>
    <xf numFmtId="0" fontId="63" fillId="0" borderId="58" xfId="46" applyFont="1" applyBorder="1" applyAlignment="1">
      <alignment horizontal="left" vertical="top"/>
    </xf>
    <xf numFmtId="0" fontId="63" fillId="0" borderId="0" xfId="46" applyFont="1" applyBorder="1" applyAlignment="1">
      <alignment horizontal="left" vertical="top"/>
    </xf>
    <xf numFmtId="0" fontId="65" fillId="0" borderId="0" xfId="0" applyFont="1" applyBorder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72" fillId="0" borderId="0" xfId="0" applyFont="1" applyFill="1" applyAlignment="1">
      <alignment horizontal="right"/>
    </xf>
    <xf numFmtId="21" fontId="72" fillId="0" borderId="0" xfId="0" applyNumberFormat="1" applyFont="1" applyFill="1" applyAlignment="1">
      <alignment horizontal="left"/>
    </xf>
    <xf numFmtId="0" fontId="9" fillId="0" borderId="56" xfId="0" applyFont="1" applyFill="1" applyBorder="1" applyAlignment="1">
      <alignment horizontal="center" wrapText="1"/>
    </xf>
    <xf numFmtId="0" fontId="9" fillId="0" borderId="57" xfId="0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58" xfId="0" applyBorder="1" applyAlignment="1">
      <alignment horizontal="center" vertical="center" textRotation="90" wrapText="1"/>
    </xf>
    <xf numFmtId="0" fontId="13" fillId="0" borderId="8" xfId="0" applyFont="1" applyBorder="1" applyAlignment="1" applyProtection="1">
      <alignment horizontal="center" shrinkToFit="1"/>
      <protection locked="0"/>
    </xf>
    <xf numFmtId="0" fontId="13" fillId="0" borderId="39" xfId="0" applyFont="1" applyBorder="1" applyAlignment="1" applyProtection="1">
      <alignment horizontal="center" shrinkToFit="1"/>
      <protection locked="0"/>
    </xf>
    <xf numFmtId="0" fontId="13" fillId="0" borderId="19" xfId="0" applyFont="1" applyBorder="1" applyAlignment="1" applyProtection="1">
      <alignment horizontal="center" shrinkToFit="1"/>
      <protection locked="0"/>
    </xf>
    <xf numFmtId="0" fontId="35" fillId="8" borderId="0" xfId="0" applyFont="1" applyFill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 wrapText="1"/>
      <protection locked="0"/>
    </xf>
    <xf numFmtId="0" fontId="31" fillId="8" borderId="0" xfId="0" applyFont="1" applyFill="1" applyAlignment="1" applyProtection="1">
      <alignment horizontal="center" vertical="center" shrinkToFit="1"/>
      <protection locked="0"/>
    </xf>
    <xf numFmtId="0" fontId="0" fillId="0" borderId="0" xfId="0" applyAlignment="1">
      <alignment horizontal="left"/>
    </xf>
  </cellXfs>
  <cellStyles count="996">
    <cellStyle name="%20 - Vurgu1" xfId="21" builtinId="30" customBuiltin="1"/>
    <cellStyle name="%20 - Vurgu2" xfId="25" builtinId="34" customBuiltin="1"/>
    <cellStyle name="%20 - Vurgu3" xfId="29" builtinId="38" customBuiltin="1"/>
    <cellStyle name="%20 - Vurgu4" xfId="33" builtinId="42" customBuiltin="1"/>
    <cellStyle name="%20 - Vurgu5" xfId="37" builtinId="46" customBuiltin="1"/>
    <cellStyle name="%20 - Vurgu6" xfId="41" builtinId="50" customBuiltin="1"/>
    <cellStyle name="%40 - Vurgu1" xfId="22" builtinId="31" customBuiltin="1"/>
    <cellStyle name="%40 - Vurgu2" xfId="26" builtinId="35" customBuiltin="1"/>
    <cellStyle name="%40 - Vurgu3" xfId="30" builtinId="39" customBuiltin="1"/>
    <cellStyle name="%40 - Vurgu4" xfId="34" builtinId="43" customBuiltin="1"/>
    <cellStyle name="%40 - Vurgu5" xfId="38" builtinId="47" customBuiltin="1"/>
    <cellStyle name="%40 - Vurgu6" xfId="42" builtinId="51" customBuiltin="1"/>
    <cellStyle name="%60 - Vurgu1" xfId="23" builtinId="32" customBuiltin="1"/>
    <cellStyle name="%60 - Vurgu2" xfId="27" builtinId="36" customBuiltin="1"/>
    <cellStyle name="%60 - Vurgu3" xfId="31" builtinId="40" customBuiltin="1"/>
    <cellStyle name="%60 - Vurgu4" xfId="35" builtinId="44" customBuiltin="1"/>
    <cellStyle name="%60 - Vurgu5" xfId="39" builtinId="48" customBuiltin="1"/>
    <cellStyle name="%60 - Vurgu6" xfId="43" builtinId="52" customBuiltin="1"/>
    <cellStyle name="20% - Accent1 2" xfId="51" xr:uid="{00000000-0005-0000-0000-000012000000}"/>
    <cellStyle name="20% - Accent1 2 2" xfId="80" xr:uid="{00000000-0005-0000-0000-000013000000}"/>
    <cellStyle name="20% - Accent1 2 2 2" xfId="141" xr:uid="{00000000-0005-0000-0000-000014000000}"/>
    <cellStyle name="20% - Accent1 2 2 2 2" xfId="262" xr:uid="{00000000-0005-0000-0000-000015000000}"/>
    <cellStyle name="20% - Accent1 2 2 2 2 2" xfId="503" xr:uid="{00000000-0005-0000-0000-000016000000}"/>
    <cellStyle name="20% - Accent1 2 2 2 2 2 2" xfId="984" xr:uid="{00000000-0005-0000-0000-000017000000}"/>
    <cellStyle name="20% - Accent1 2 2 2 2 3" xfId="744" xr:uid="{00000000-0005-0000-0000-000018000000}"/>
    <cellStyle name="20% - Accent1 2 2 2 3" xfId="383" xr:uid="{00000000-0005-0000-0000-000019000000}"/>
    <cellStyle name="20% - Accent1 2 2 2 3 2" xfId="864" xr:uid="{00000000-0005-0000-0000-00001A000000}"/>
    <cellStyle name="20% - Accent1 2 2 2 4" xfId="624" xr:uid="{00000000-0005-0000-0000-00001B000000}"/>
    <cellStyle name="20% - Accent1 2 2 3" xfId="202" xr:uid="{00000000-0005-0000-0000-00001C000000}"/>
    <cellStyle name="20% - Accent1 2 2 3 2" xfId="443" xr:uid="{00000000-0005-0000-0000-00001D000000}"/>
    <cellStyle name="20% - Accent1 2 2 3 2 2" xfId="924" xr:uid="{00000000-0005-0000-0000-00001E000000}"/>
    <cellStyle name="20% - Accent1 2 2 3 3" xfId="684" xr:uid="{00000000-0005-0000-0000-00001F000000}"/>
    <cellStyle name="20% - Accent1 2 2 4" xfId="323" xr:uid="{00000000-0005-0000-0000-000020000000}"/>
    <cellStyle name="20% - Accent1 2 2 4 2" xfId="804" xr:uid="{00000000-0005-0000-0000-000021000000}"/>
    <cellStyle name="20% - Accent1 2 2 5" xfId="564" xr:uid="{00000000-0005-0000-0000-000022000000}"/>
    <cellStyle name="20% - Accent1 2 3" xfId="112" xr:uid="{00000000-0005-0000-0000-000023000000}"/>
    <cellStyle name="20% - Accent1 2 3 2" xfId="233" xr:uid="{00000000-0005-0000-0000-000024000000}"/>
    <cellStyle name="20% - Accent1 2 3 2 2" xfId="474" xr:uid="{00000000-0005-0000-0000-000025000000}"/>
    <cellStyle name="20% - Accent1 2 3 2 2 2" xfId="955" xr:uid="{00000000-0005-0000-0000-000026000000}"/>
    <cellStyle name="20% - Accent1 2 3 2 3" xfId="715" xr:uid="{00000000-0005-0000-0000-000027000000}"/>
    <cellStyle name="20% - Accent1 2 3 3" xfId="354" xr:uid="{00000000-0005-0000-0000-000028000000}"/>
    <cellStyle name="20% - Accent1 2 3 3 2" xfId="835" xr:uid="{00000000-0005-0000-0000-000029000000}"/>
    <cellStyle name="20% - Accent1 2 3 4" xfId="595" xr:uid="{00000000-0005-0000-0000-00002A000000}"/>
    <cellStyle name="20% - Accent1 2 4" xfId="173" xr:uid="{00000000-0005-0000-0000-00002B000000}"/>
    <cellStyle name="20% - Accent1 2 4 2" xfId="414" xr:uid="{00000000-0005-0000-0000-00002C000000}"/>
    <cellStyle name="20% - Accent1 2 4 2 2" xfId="895" xr:uid="{00000000-0005-0000-0000-00002D000000}"/>
    <cellStyle name="20% - Accent1 2 4 3" xfId="655" xr:uid="{00000000-0005-0000-0000-00002E000000}"/>
    <cellStyle name="20% - Accent1 2 5" xfId="294" xr:uid="{00000000-0005-0000-0000-00002F000000}"/>
    <cellStyle name="20% - Accent1 2 5 2" xfId="775" xr:uid="{00000000-0005-0000-0000-000030000000}"/>
    <cellStyle name="20% - Accent1 2 6" xfId="535" xr:uid="{00000000-0005-0000-0000-000031000000}"/>
    <cellStyle name="20% - Accent1 3" xfId="64" xr:uid="{00000000-0005-0000-0000-000032000000}"/>
    <cellStyle name="20% - Accent1 3 2" xfId="125" xr:uid="{00000000-0005-0000-0000-000033000000}"/>
    <cellStyle name="20% - Accent1 3 2 2" xfId="246" xr:uid="{00000000-0005-0000-0000-000034000000}"/>
    <cellStyle name="20% - Accent1 3 2 2 2" xfId="487" xr:uid="{00000000-0005-0000-0000-000035000000}"/>
    <cellStyle name="20% - Accent1 3 2 2 2 2" xfId="968" xr:uid="{00000000-0005-0000-0000-000036000000}"/>
    <cellStyle name="20% - Accent1 3 2 2 3" xfId="728" xr:uid="{00000000-0005-0000-0000-000037000000}"/>
    <cellStyle name="20% - Accent1 3 2 3" xfId="367" xr:uid="{00000000-0005-0000-0000-000038000000}"/>
    <cellStyle name="20% - Accent1 3 2 3 2" xfId="848" xr:uid="{00000000-0005-0000-0000-000039000000}"/>
    <cellStyle name="20% - Accent1 3 2 4" xfId="608" xr:uid="{00000000-0005-0000-0000-00003A000000}"/>
    <cellStyle name="20% - Accent1 3 3" xfId="186" xr:uid="{00000000-0005-0000-0000-00003B000000}"/>
    <cellStyle name="20% - Accent1 3 3 2" xfId="427" xr:uid="{00000000-0005-0000-0000-00003C000000}"/>
    <cellStyle name="20% - Accent1 3 3 2 2" xfId="908" xr:uid="{00000000-0005-0000-0000-00003D000000}"/>
    <cellStyle name="20% - Accent1 3 3 3" xfId="668" xr:uid="{00000000-0005-0000-0000-00003E000000}"/>
    <cellStyle name="20% - Accent1 3 4" xfId="307" xr:uid="{00000000-0005-0000-0000-00003F000000}"/>
    <cellStyle name="20% - Accent1 3 4 2" xfId="788" xr:uid="{00000000-0005-0000-0000-000040000000}"/>
    <cellStyle name="20% - Accent1 3 5" xfId="548" xr:uid="{00000000-0005-0000-0000-000041000000}"/>
    <cellStyle name="20% - Accent1 4" xfId="93" xr:uid="{00000000-0005-0000-0000-000042000000}"/>
    <cellStyle name="20% - Accent1 4 2" xfId="215" xr:uid="{00000000-0005-0000-0000-000043000000}"/>
    <cellStyle name="20% - Accent1 4 2 2" xfId="456" xr:uid="{00000000-0005-0000-0000-000044000000}"/>
    <cellStyle name="20% - Accent1 4 2 2 2" xfId="937" xr:uid="{00000000-0005-0000-0000-000045000000}"/>
    <cellStyle name="20% - Accent1 4 2 3" xfId="697" xr:uid="{00000000-0005-0000-0000-000046000000}"/>
    <cellStyle name="20% - Accent1 4 3" xfId="336" xr:uid="{00000000-0005-0000-0000-000047000000}"/>
    <cellStyle name="20% - Accent1 4 3 2" xfId="817" xr:uid="{00000000-0005-0000-0000-000048000000}"/>
    <cellStyle name="20% - Accent1 4 4" xfId="577" xr:uid="{00000000-0005-0000-0000-000049000000}"/>
    <cellStyle name="20% - Accent1 5" xfId="154" xr:uid="{00000000-0005-0000-0000-00004A000000}"/>
    <cellStyle name="20% - Accent1 5 2" xfId="396" xr:uid="{00000000-0005-0000-0000-00004B000000}"/>
    <cellStyle name="20% - Accent1 5 2 2" xfId="877" xr:uid="{00000000-0005-0000-0000-00004C000000}"/>
    <cellStyle name="20% - Accent1 5 3" xfId="637" xr:uid="{00000000-0005-0000-0000-00004D000000}"/>
    <cellStyle name="20% - Accent1 6" xfId="275" xr:uid="{00000000-0005-0000-0000-00004E000000}"/>
    <cellStyle name="20% - Accent1 6 2" xfId="757" xr:uid="{00000000-0005-0000-0000-00004F000000}"/>
    <cellStyle name="20% - Accent1 7" xfId="516" xr:uid="{00000000-0005-0000-0000-000050000000}"/>
    <cellStyle name="20% - Accent2 2" xfId="53" xr:uid="{00000000-0005-0000-0000-000051000000}"/>
    <cellStyle name="20% - Accent2 2 2" xfId="82" xr:uid="{00000000-0005-0000-0000-000052000000}"/>
    <cellStyle name="20% - Accent2 2 2 2" xfId="143" xr:uid="{00000000-0005-0000-0000-000053000000}"/>
    <cellStyle name="20% - Accent2 2 2 2 2" xfId="264" xr:uid="{00000000-0005-0000-0000-000054000000}"/>
    <cellStyle name="20% - Accent2 2 2 2 2 2" xfId="505" xr:uid="{00000000-0005-0000-0000-000055000000}"/>
    <cellStyle name="20% - Accent2 2 2 2 2 2 2" xfId="986" xr:uid="{00000000-0005-0000-0000-000056000000}"/>
    <cellStyle name="20% - Accent2 2 2 2 2 3" xfId="746" xr:uid="{00000000-0005-0000-0000-000057000000}"/>
    <cellStyle name="20% - Accent2 2 2 2 3" xfId="385" xr:uid="{00000000-0005-0000-0000-000058000000}"/>
    <cellStyle name="20% - Accent2 2 2 2 3 2" xfId="866" xr:uid="{00000000-0005-0000-0000-000059000000}"/>
    <cellStyle name="20% - Accent2 2 2 2 4" xfId="626" xr:uid="{00000000-0005-0000-0000-00005A000000}"/>
    <cellStyle name="20% - Accent2 2 2 3" xfId="204" xr:uid="{00000000-0005-0000-0000-00005B000000}"/>
    <cellStyle name="20% - Accent2 2 2 3 2" xfId="445" xr:uid="{00000000-0005-0000-0000-00005C000000}"/>
    <cellStyle name="20% - Accent2 2 2 3 2 2" xfId="926" xr:uid="{00000000-0005-0000-0000-00005D000000}"/>
    <cellStyle name="20% - Accent2 2 2 3 3" xfId="686" xr:uid="{00000000-0005-0000-0000-00005E000000}"/>
    <cellStyle name="20% - Accent2 2 2 4" xfId="325" xr:uid="{00000000-0005-0000-0000-00005F000000}"/>
    <cellStyle name="20% - Accent2 2 2 4 2" xfId="806" xr:uid="{00000000-0005-0000-0000-000060000000}"/>
    <cellStyle name="20% - Accent2 2 2 5" xfId="566" xr:uid="{00000000-0005-0000-0000-000061000000}"/>
    <cellStyle name="20% - Accent2 2 3" xfId="114" xr:uid="{00000000-0005-0000-0000-000062000000}"/>
    <cellStyle name="20% - Accent2 2 3 2" xfId="235" xr:uid="{00000000-0005-0000-0000-000063000000}"/>
    <cellStyle name="20% - Accent2 2 3 2 2" xfId="476" xr:uid="{00000000-0005-0000-0000-000064000000}"/>
    <cellStyle name="20% - Accent2 2 3 2 2 2" xfId="957" xr:uid="{00000000-0005-0000-0000-000065000000}"/>
    <cellStyle name="20% - Accent2 2 3 2 3" xfId="717" xr:uid="{00000000-0005-0000-0000-000066000000}"/>
    <cellStyle name="20% - Accent2 2 3 3" xfId="356" xr:uid="{00000000-0005-0000-0000-000067000000}"/>
    <cellStyle name="20% - Accent2 2 3 3 2" xfId="837" xr:uid="{00000000-0005-0000-0000-000068000000}"/>
    <cellStyle name="20% - Accent2 2 3 4" xfId="597" xr:uid="{00000000-0005-0000-0000-000069000000}"/>
    <cellStyle name="20% - Accent2 2 4" xfId="175" xr:uid="{00000000-0005-0000-0000-00006A000000}"/>
    <cellStyle name="20% - Accent2 2 4 2" xfId="416" xr:uid="{00000000-0005-0000-0000-00006B000000}"/>
    <cellStyle name="20% - Accent2 2 4 2 2" xfId="897" xr:uid="{00000000-0005-0000-0000-00006C000000}"/>
    <cellStyle name="20% - Accent2 2 4 3" xfId="657" xr:uid="{00000000-0005-0000-0000-00006D000000}"/>
    <cellStyle name="20% - Accent2 2 5" xfId="296" xr:uid="{00000000-0005-0000-0000-00006E000000}"/>
    <cellStyle name="20% - Accent2 2 5 2" xfId="777" xr:uid="{00000000-0005-0000-0000-00006F000000}"/>
    <cellStyle name="20% - Accent2 2 6" xfId="537" xr:uid="{00000000-0005-0000-0000-000070000000}"/>
    <cellStyle name="20% - Accent2 3" xfId="66" xr:uid="{00000000-0005-0000-0000-000071000000}"/>
    <cellStyle name="20% - Accent2 3 2" xfId="127" xr:uid="{00000000-0005-0000-0000-000072000000}"/>
    <cellStyle name="20% - Accent2 3 2 2" xfId="248" xr:uid="{00000000-0005-0000-0000-000073000000}"/>
    <cellStyle name="20% - Accent2 3 2 2 2" xfId="489" xr:uid="{00000000-0005-0000-0000-000074000000}"/>
    <cellStyle name="20% - Accent2 3 2 2 2 2" xfId="970" xr:uid="{00000000-0005-0000-0000-000075000000}"/>
    <cellStyle name="20% - Accent2 3 2 2 3" xfId="730" xr:uid="{00000000-0005-0000-0000-000076000000}"/>
    <cellStyle name="20% - Accent2 3 2 3" xfId="369" xr:uid="{00000000-0005-0000-0000-000077000000}"/>
    <cellStyle name="20% - Accent2 3 2 3 2" xfId="850" xr:uid="{00000000-0005-0000-0000-000078000000}"/>
    <cellStyle name="20% - Accent2 3 2 4" xfId="610" xr:uid="{00000000-0005-0000-0000-000079000000}"/>
    <cellStyle name="20% - Accent2 3 3" xfId="188" xr:uid="{00000000-0005-0000-0000-00007A000000}"/>
    <cellStyle name="20% - Accent2 3 3 2" xfId="429" xr:uid="{00000000-0005-0000-0000-00007B000000}"/>
    <cellStyle name="20% - Accent2 3 3 2 2" xfId="910" xr:uid="{00000000-0005-0000-0000-00007C000000}"/>
    <cellStyle name="20% - Accent2 3 3 3" xfId="670" xr:uid="{00000000-0005-0000-0000-00007D000000}"/>
    <cellStyle name="20% - Accent2 3 4" xfId="309" xr:uid="{00000000-0005-0000-0000-00007E000000}"/>
    <cellStyle name="20% - Accent2 3 4 2" xfId="790" xr:uid="{00000000-0005-0000-0000-00007F000000}"/>
    <cellStyle name="20% - Accent2 3 5" xfId="550" xr:uid="{00000000-0005-0000-0000-000080000000}"/>
    <cellStyle name="20% - Accent2 4" xfId="95" xr:uid="{00000000-0005-0000-0000-000081000000}"/>
    <cellStyle name="20% - Accent2 4 2" xfId="217" xr:uid="{00000000-0005-0000-0000-000082000000}"/>
    <cellStyle name="20% - Accent2 4 2 2" xfId="458" xr:uid="{00000000-0005-0000-0000-000083000000}"/>
    <cellStyle name="20% - Accent2 4 2 2 2" xfId="939" xr:uid="{00000000-0005-0000-0000-000084000000}"/>
    <cellStyle name="20% - Accent2 4 2 3" xfId="699" xr:uid="{00000000-0005-0000-0000-000085000000}"/>
    <cellStyle name="20% - Accent2 4 3" xfId="338" xr:uid="{00000000-0005-0000-0000-000086000000}"/>
    <cellStyle name="20% - Accent2 4 3 2" xfId="819" xr:uid="{00000000-0005-0000-0000-000087000000}"/>
    <cellStyle name="20% - Accent2 4 4" xfId="579" xr:uid="{00000000-0005-0000-0000-000088000000}"/>
    <cellStyle name="20% - Accent2 5" xfId="156" xr:uid="{00000000-0005-0000-0000-000089000000}"/>
    <cellStyle name="20% - Accent2 5 2" xfId="398" xr:uid="{00000000-0005-0000-0000-00008A000000}"/>
    <cellStyle name="20% - Accent2 5 2 2" xfId="879" xr:uid="{00000000-0005-0000-0000-00008B000000}"/>
    <cellStyle name="20% - Accent2 5 3" xfId="639" xr:uid="{00000000-0005-0000-0000-00008C000000}"/>
    <cellStyle name="20% - Accent2 6" xfId="277" xr:uid="{00000000-0005-0000-0000-00008D000000}"/>
    <cellStyle name="20% - Accent2 6 2" xfId="759" xr:uid="{00000000-0005-0000-0000-00008E000000}"/>
    <cellStyle name="20% - Accent2 7" xfId="518" xr:uid="{00000000-0005-0000-0000-00008F000000}"/>
    <cellStyle name="20% - Accent3 2" xfId="55" xr:uid="{00000000-0005-0000-0000-000090000000}"/>
    <cellStyle name="20% - Accent3 2 2" xfId="84" xr:uid="{00000000-0005-0000-0000-000091000000}"/>
    <cellStyle name="20% - Accent3 2 2 2" xfId="145" xr:uid="{00000000-0005-0000-0000-000092000000}"/>
    <cellStyle name="20% - Accent3 2 2 2 2" xfId="266" xr:uid="{00000000-0005-0000-0000-000093000000}"/>
    <cellStyle name="20% - Accent3 2 2 2 2 2" xfId="507" xr:uid="{00000000-0005-0000-0000-000094000000}"/>
    <cellStyle name="20% - Accent3 2 2 2 2 2 2" xfId="988" xr:uid="{00000000-0005-0000-0000-000095000000}"/>
    <cellStyle name="20% - Accent3 2 2 2 2 3" xfId="748" xr:uid="{00000000-0005-0000-0000-000096000000}"/>
    <cellStyle name="20% - Accent3 2 2 2 3" xfId="387" xr:uid="{00000000-0005-0000-0000-000097000000}"/>
    <cellStyle name="20% - Accent3 2 2 2 3 2" xfId="868" xr:uid="{00000000-0005-0000-0000-000098000000}"/>
    <cellStyle name="20% - Accent3 2 2 2 4" xfId="628" xr:uid="{00000000-0005-0000-0000-000099000000}"/>
    <cellStyle name="20% - Accent3 2 2 3" xfId="206" xr:uid="{00000000-0005-0000-0000-00009A000000}"/>
    <cellStyle name="20% - Accent3 2 2 3 2" xfId="447" xr:uid="{00000000-0005-0000-0000-00009B000000}"/>
    <cellStyle name="20% - Accent3 2 2 3 2 2" xfId="928" xr:uid="{00000000-0005-0000-0000-00009C000000}"/>
    <cellStyle name="20% - Accent3 2 2 3 3" xfId="688" xr:uid="{00000000-0005-0000-0000-00009D000000}"/>
    <cellStyle name="20% - Accent3 2 2 4" xfId="327" xr:uid="{00000000-0005-0000-0000-00009E000000}"/>
    <cellStyle name="20% - Accent3 2 2 4 2" xfId="808" xr:uid="{00000000-0005-0000-0000-00009F000000}"/>
    <cellStyle name="20% - Accent3 2 2 5" xfId="568" xr:uid="{00000000-0005-0000-0000-0000A0000000}"/>
    <cellStyle name="20% - Accent3 2 3" xfId="116" xr:uid="{00000000-0005-0000-0000-0000A1000000}"/>
    <cellStyle name="20% - Accent3 2 3 2" xfId="237" xr:uid="{00000000-0005-0000-0000-0000A2000000}"/>
    <cellStyle name="20% - Accent3 2 3 2 2" xfId="478" xr:uid="{00000000-0005-0000-0000-0000A3000000}"/>
    <cellStyle name="20% - Accent3 2 3 2 2 2" xfId="959" xr:uid="{00000000-0005-0000-0000-0000A4000000}"/>
    <cellStyle name="20% - Accent3 2 3 2 3" xfId="719" xr:uid="{00000000-0005-0000-0000-0000A5000000}"/>
    <cellStyle name="20% - Accent3 2 3 3" xfId="358" xr:uid="{00000000-0005-0000-0000-0000A6000000}"/>
    <cellStyle name="20% - Accent3 2 3 3 2" xfId="839" xr:uid="{00000000-0005-0000-0000-0000A7000000}"/>
    <cellStyle name="20% - Accent3 2 3 4" xfId="599" xr:uid="{00000000-0005-0000-0000-0000A8000000}"/>
    <cellStyle name="20% - Accent3 2 4" xfId="177" xr:uid="{00000000-0005-0000-0000-0000A9000000}"/>
    <cellStyle name="20% - Accent3 2 4 2" xfId="418" xr:uid="{00000000-0005-0000-0000-0000AA000000}"/>
    <cellStyle name="20% - Accent3 2 4 2 2" xfId="899" xr:uid="{00000000-0005-0000-0000-0000AB000000}"/>
    <cellStyle name="20% - Accent3 2 4 3" xfId="659" xr:uid="{00000000-0005-0000-0000-0000AC000000}"/>
    <cellStyle name="20% - Accent3 2 5" xfId="298" xr:uid="{00000000-0005-0000-0000-0000AD000000}"/>
    <cellStyle name="20% - Accent3 2 5 2" xfId="779" xr:uid="{00000000-0005-0000-0000-0000AE000000}"/>
    <cellStyle name="20% - Accent3 2 6" xfId="539" xr:uid="{00000000-0005-0000-0000-0000AF000000}"/>
    <cellStyle name="20% - Accent3 3" xfId="68" xr:uid="{00000000-0005-0000-0000-0000B0000000}"/>
    <cellStyle name="20% - Accent3 3 2" xfId="129" xr:uid="{00000000-0005-0000-0000-0000B1000000}"/>
    <cellStyle name="20% - Accent3 3 2 2" xfId="250" xr:uid="{00000000-0005-0000-0000-0000B2000000}"/>
    <cellStyle name="20% - Accent3 3 2 2 2" xfId="491" xr:uid="{00000000-0005-0000-0000-0000B3000000}"/>
    <cellStyle name="20% - Accent3 3 2 2 2 2" xfId="972" xr:uid="{00000000-0005-0000-0000-0000B4000000}"/>
    <cellStyle name="20% - Accent3 3 2 2 3" xfId="732" xr:uid="{00000000-0005-0000-0000-0000B5000000}"/>
    <cellStyle name="20% - Accent3 3 2 3" xfId="371" xr:uid="{00000000-0005-0000-0000-0000B6000000}"/>
    <cellStyle name="20% - Accent3 3 2 3 2" xfId="852" xr:uid="{00000000-0005-0000-0000-0000B7000000}"/>
    <cellStyle name="20% - Accent3 3 2 4" xfId="612" xr:uid="{00000000-0005-0000-0000-0000B8000000}"/>
    <cellStyle name="20% - Accent3 3 3" xfId="190" xr:uid="{00000000-0005-0000-0000-0000B9000000}"/>
    <cellStyle name="20% - Accent3 3 3 2" xfId="431" xr:uid="{00000000-0005-0000-0000-0000BA000000}"/>
    <cellStyle name="20% - Accent3 3 3 2 2" xfId="912" xr:uid="{00000000-0005-0000-0000-0000BB000000}"/>
    <cellStyle name="20% - Accent3 3 3 3" xfId="672" xr:uid="{00000000-0005-0000-0000-0000BC000000}"/>
    <cellStyle name="20% - Accent3 3 4" xfId="311" xr:uid="{00000000-0005-0000-0000-0000BD000000}"/>
    <cellStyle name="20% - Accent3 3 4 2" xfId="792" xr:uid="{00000000-0005-0000-0000-0000BE000000}"/>
    <cellStyle name="20% - Accent3 3 5" xfId="552" xr:uid="{00000000-0005-0000-0000-0000BF000000}"/>
    <cellStyle name="20% - Accent3 4" xfId="97" xr:uid="{00000000-0005-0000-0000-0000C0000000}"/>
    <cellStyle name="20% - Accent3 4 2" xfId="219" xr:uid="{00000000-0005-0000-0000-0000C1000000}"/>
    <cellStyle name="20% - Accent3 4 2 2" xfId="460" xr:uid="{00000000-0005-0000-0000-0000C2000000}"/>
    <cellStyle name="20% - Accent3 4 2 2 2" xfId="941" xr:uid="{00000000-0005-0000-0000-0000C3000000}"/>
    <cellStyle name="20% - Accent3 4 2 3" xfId="701" xr:uid="{00000000-0005-0000-0000-0000C4000000}"/>
    <cellStyle name="20% - Accent3 4 3" xfId="340" xr:uid="{00000000-0005-0000-0000-0000C5000000}"/>
    <cellStyle name="20% - Accent3 4 3 2" xfId="821" xr:uid="{00000000-0005-0000-0000-0000C6000000}"/>
    <cellStyle name="20% - Accent3 4 4" xfId="581" xr:uid="{00000000-0005-0000-0000-0000C7000000}"/>
    <cellStyle name="20% - Accent3 5" xfId="158" xr:uid="{00000000-0005-0000-0000-0000C8000000}"/>
    <cellStyle name="20% - Accent3 5 2" xfId="400" xr:uid="{00000000-0005-0000-0000-0000C9000000}"/>
    <cellStyle name="20% - Accent3 5 2 2" xfId="881" xr:uid="{00000000-0005-0000-0000-0000CA000000}"/>
    <cellStyle name="20% - Accent3 5 3" xfId="641" xr:uid="{00000000-0005-0000-0000-0000CB000000}"/>
    <cellStyle name="20% - Accent3 6" xfId="279" xr:uid="{00000000-0005-0000-0000-0000CC000000}"/>
    <cellStyle name="20% - Accent3 6 2" xfId="761" xr:uid="{00000000-0005-0000-0000-0000CD000000}"/>
    <cellStyle name="20% - Accent3 7" xfId="520" xr:uid="{00000000-0005-0000-0000-0000CE000000}"/>
    <cellStyle name="20% - Accent4 2" xfId="57" xr:uid="{00000000-0005-0000-0000-0000CF000000}"/>
    <cellStyle name="20% - Accent4 2 2" xfId="86" xr:uid="{00000000-0005-0000-0000-0000D0000000}"/>
    <cellStyle name="20% - Accent4 2 2 2" xfId="147" xr:uid="{00000000-0005-0000-0000-0000D1000000}"/>
    <cellStyle name="20% - Accent4 2 2 2 2" xfId="268" xr:uid="{00000000-0005-0000-0000-0000D2000000}"/>
    <cellStyle name="20% - Accent4 2 2 2 2 2" xfId="509" xr:uid="{00000000-0005-0000-0000-0000D3000000}"/>
    <cellStyle name="20% - Accent4 2 2 2 2 2 2" xfId="990" xr:uid="{00000000-0005-0000-0000-0000D4000000}"/>
    <cellStyle name="20% - Accent4 2 2 2 2 3" xfId="750" xr:uid="{00000000-0005-0000-0000-0000D5000000}"/>
    <cellStyle name="20% - Accent4 2 2 2 3" xfId="389" xr:uid="{00000000-0005-0000-0000-0000D6000000}"/>
    <cellStyle name="20% - Accent4 2 2 2 3 2" xfId="870" xr:uid="{00000000-0005-0000-0000-0000D7000000}"/>
    <cellStyle name="20% - Accent4 2 2 2 4" xfId="630" xr:uid="{00000000-0005-0000-0000-0000D8000000}"/>
    <cellStyle name="20% - Accent4 2 2 3" xfId="208" xr:uid="{00000000-0005-0000-0000-0000D9000000}"/>
    <cellStyle name="20% - Accent4 2 2 3 2" xfId="449" xr:uid="{00000000-0005-0000-0000-0000DA000000}"/>
    <cellStyle name="20% - Accent4 2 2 3 2 2" xfId="930" xr:uid="{00000000-0005-0000-0000-0000DB000000}"/>
    <cellStyle name="20% - Accent4 2 2 3 3" xfId="690" xr:uid="{00000000-0005-0000-0000-0000DC000000}"/>
    <cellStyle name="20% - Accent4 2 2 4" xfId="329" xr:uid="{00000000-0005-0000-0000-0000DD000000}"/>
    <cellStyle name="20% - Accent4 2 2 4 2" xfId="810" xr:uid="{00000000-0005-0000-0000-0000DE000000}"/>
    <cellStyle name="20% - Accent4 2 2 5" xfId="570" xr:uid="{00000000-0005-0000-0000-0000DF000000}"/>
    <cellStyle name="20% - Accent4 2 3" xfId="118" xr:uid="{00000000-0005-0000-0000-0000E0000000}"/>
    <cellStyle name="20% - Accent4 2 3 2" xfId="239" xr:uid="{00000000-0005-0000-0000-0000E1000000}"/>
    <cellStyle name="20% - Accent4 2 3 2 2" xfId="480" xr:uid="{00000000-0005-0000-0000-0000E2000000}"/>
    <cellStyle name="20% - Accent4 2 3 2 2 2" xfId="961" xr:uid="{00000000-0005-0000-0000-0000E3000000}"/>
    <cellStyle name="20% - Accent4 2 3 2 3" xfId="721" xr:uid="{00000000-0005-0000-0000-0000E4000000}"/>
    <cellStyle name="20% - Accent4 2 3 3" xfId="360" xr:uid="{00000000-0005-0000-0000-0000E5000000}"/>
    <cellStyle name="20% - Accent4 2 3 3 2" xfId="841" xr:uid="{00000000-0005-0000-0000-0000E6000000}"/>
    <cellStyle name="20% - Accent4 2 3 4" xfId="601" xr:uid="{00000000-0005-0000-0000-0000E7000000}"/>
    <cellStyle name="20% - Accent4 2 4" xfId="179" xr:uid="{00000000-0005-0000-0000-0000E8000000}"/>
    <cellStyle name="20% - Accent4 2 4 2" xfId="420" xr:uid="{00000000-0005-0000-0000-0000E9000000}"/>
    <cellStyle name="20% - Accent4 2 4 2 2" xfId="901" xr:uid="{00000000-0005-0000-0000-0000EA000000}"/>
    <cellStyle name="20% - Accent4 2 4 3" xfId="661" xr:uid="{00000000-0005-0000-0000-0000EB000000}"/>
    <cellStyle name="20% - Accent4 2 5" xfId="300" xr:uid="{00000000-0005-0000-0000-0000EC000000}"/>
    <cellStyle name="20% - Accent4 2 5 2" xfId="781" xr:uid="{00000000-0005-0000-0000-0000ED000000}"/>
    <cellStyle name="20% - Accent4 2 6" xfId="541" xr:uid="{00000000-0005-0000-0000-0000EE000000}"/>
    <cellStyle name="20% - Accent4 3" xfId="70" xr:uid="{00000000-0005-0000-0000-0000EF000000}"/>
    <cellStyle name="20% - Accent4 3 2" xfId="131" xr:uid="{00000000-0005-0000-0000-0000F0000000}"/>
    <cellStyle name="20% - Accent4 3 2 2" xfId="252" xr:uid="{00000000-0005-0000-0000-0000F1000000}"/>
    <cellStyle name="20% - Accent4 3 2 2 2" xfId="493" xr:uid="{00000000-0005-0000-0000-0000F2000000}"/>
    <cellStyle name="20% - Accent4 3 2 2 2 2" xfId="974" xr:uid="{00000000-0005-0000-0000-0000F3000000}"/>
    <cellStyle name="20% - Accent4 3 2 2 3" xfId="734" xr:uid="{00000000-0005-0000-0000-0000F4000000}"/>
    <cellStyle name="20% - Accent4 3 2 3" xfId="373" xr:uid="{00000000-0005-0000-0000-0000F5000000}"/>
    <cellStyle name="20% - Accent4 3 2 3 2" xfId="854" xr:uid="{00000000-0005-0000-0000-0000F6000000}"/>
    <cellStyle name="20% - Accent4 3 2 4" xfId="614" xr:uid="{00000000-0005-0000-0000-0000F7000000}"/>
    <cellStyle name="20% - Accent4 3 3" xfId="192" xr:uid="{00000000-0005-0000-0000-0000F8000000}"/>
    <cellStyle name="20% - Accent4 3 3 2" xfId="433" xr:uid="{00000000-0005-0000-0000-0000F9000000}"/>
    <cellStyle name="20% - Accent4 3 3 2 2" xfId="914" xr:uid="{00000000-0005-0000-0000-0000FA000000}"/>
    <cellStyle name="20% - Accent4 3 3 3" xfId="674" xr:uid="{00000000-0005-0000-0000-0000FB000000}"/>
    <cellStyle name="20% - Accent4 3 4" xfId="313" xr:uid="{00000000-0005-0000-0000-0000FC000000}"/>
    <cellStyle name="20% - Accent4 3 4 2" xfId="794" xr:uid="{00000000-0005-0000-0000-0000FD000000}"/>
    <cellStyle name="20% - Accent4 3 5" xfId="554" xr:uid="{00000000-0005-0000-0000-0000FE000000}"/>
    <cellStyle name="20% - Accent4 4" xfId="99" xr:uid="{00000000-0005-0000-0000-0000FF000000}"/>
    <cellStyle name="20% - Accent4 4 2" xfId="221" xr:uid="{00000000-0005-0000-0000-000000010000}"/>
    <cellStyle name="20% - Accent4 4 2 2" xfId="462" xr:uid="{00000000-0005-0000-0000-000001010000}"/>
    <cellStyle name="20% - Accent4 4 2 2 2" xfId="943" xr:uid="{00000000-0005-0000-0000-000002010000}"/>
    <cellStyle name="20% - Accent4 4 2 3" xfId="703" xr:uid="{00000000-0005-0000-0000-000003010000}"/>
    <cellStyle name="20% - Accent4 4 3" xfId="342" xr:uid="{00000000-0005-0000-0000-000004010000}"/>
    <cellStyle name="20% - Accent4 4 3 2" xfId="823" xr:uid="{00000000-0005-0000-0000-000005010000}"/>
    <cellStyle name="20% - Accent4 4 4" xfId="583" xr:uid="{00000000-0005-0000-0000-000006010000}"/>
    <cellStyle name="20% - Accent4 5" xfId="160" xr:uid="{00000000-0005-0000-0000-000007010000}"/>
    <cellStyle name="20% - Accent4 5 2" xfId="402" xr:uid="{00000000-0005-0000-0000-000008010000}"/>
    <cellStyle name="20% - Accent4 5 2 2" xfId="883" xr:uid="{00000000-0005-0000-0000-000009010000}"/>
    <cellStyle name="20% - Accent4 5 3" xfId="643" xr:uid="{00000000-0005-0000-0000-00000A010000}"/>
    <cellStyle name="20% - Accent4 6" xfId="281" xr:uid="{00000000-0005-0000-0000-00000B010000}"/>
    <cellStyle name="20% - Accent4 6 2" xfId="763" xr:uid="{00000000-0005-0000-0000-00000C010000}"/>
    <cellStyle name="20% - Accent4 7" xfId="522" xr:uid="{00000000-0005-0000-0000-00000D010000}"/>
    <cellStyle name="20% - Accent5 2" xfId="59" xr:uid="{00000000-0005-0000-0000-00000E010000}"/>
    <cellStyle name="20% - Accent5 2 2" xfId="88" xr:uid="{00000000-0005-0000-0000-00000F010000}"/>
    <cellStyle name="20% - Accent5 2 2 2" xfId="149" xr:uid="{00000000-0005-0000-0000-000010010000}"/>
    <cellStyle name="20% - Accent5 2 2 2 2" xfId="270" xr:uid="{00000000-0005-0000-0000-000011010000}"/>
    <cellStyle name="20% - Accent5 2 2 2 2 2" xfId="511" xr:uid="{00000000-0005-0000-0000-000012010000}"/>
    <cellStyle name="20% - Accent5 2 2 2 2 2 2" xfId="992" xr:uid="{00000000-0005-0000-0000-000013010000}"/>
    <cellStyle name="20% - Accent5 2 2 2 2 3" xfId="752" xr:uid="{00000000-0005-0000-0000-000014010000}"/>
    <cellStyle name="20% - Accent5 2 2 2 3" xfId="391" xr:uid="{00000000-0005-0000-0000-000015010000}"/>
    <cellStyle name="20% - Accent5 2 2 2 3 2" xfId="872" xr:uid="{00000000-0005-0000-0000-000016010000}"/>
    <cellStyle name="20% - Accent5 2 2 2 4" xfId="632" xr:uid="{00000000-0005-0000-0000-000017010000}"/>
    <cellStyle name="20% - Accent5 2 2 3" xfId="210" xr:uid="{00000000-0005-0000-0000-000018010000}"/>
    <cellStyle name="20% - Accent5 2 2 3 2" xfId="451" xr:uid="{00000000-0005-0000-0000-000019010000}"/>
    <cellStyle name="20% - Accent5 2 2 3 2 2" xfId="932" xr:uid="{00000000-0005-0000-0000-00001A010000}"/>
    <cellStyle name="20% - Accent5 2 2 3 3" xfId="692" xr:uid="{00000000-0005-0000-0000-00001B010000}"/>
    <cellStyle name="20% - Accent5 2 2 4" xfId="331" xr:uid="{00000000-0005-0000-0000-00001C010000}"/>
    <cellStyle name="20% - Accent5 2 2 4 2" xfId="812" xr:uid="{00000000-0005-0000-0000-00001D010000}"/>
    <cellStyle name="20% - Accent5 2 2 5" xfId="572" xr:uid="{00000000-0005-0000-0000-00001E010000}"/>
    <cellStyle name="20% - Accent5 2 3" xfId="120" xr:uid="{00000000-0005-0000-0000-00001F010000}"/>
    <cellStyle name="20% - Accent5 2 3 2" xfId="241" xr:uid="{00000000-0005-0000-0000-000020010000}"/>
    <cellStyle name="20% - Accent5 2 3 2 2" xfId="482" xr:uid="{00000000-0005-0000-0000-000021010000}"/>
    <cellStyle name="20% - Accent5 2 3 2 2 2" xfId="963" xr:uid="{00000000-0005-0000-0000-000022010000}"/>
    <cellStyle name="20% - Accent5 2 3 2 3" xfId="723" xr:uid="{00000000-0005-0000-0000-000023010000}"/>
    <cellStyle name="20% - Accent5 2 3 3" xfId="362" xr:uid="{00000000-0005-0000-0000-000024010000}"/>
    <cellStyle name="20% - Accent5 2 3 3 2" xfId="843" xr:uid="{00000000-0005-0000-0000-000025010000}"/>
    <cellStyle name="20% - Accent5 2 3 4" xfId="603" xr:uid="{00000000-0005-0000-0000-000026010000}"/>
    <cellStyle name="20% - Accent5 2 4" xfId="181" xr:uid="{00000000-0005-0000-0000-000027010000}"/>
    <cellStyle name="20% - Accent5 2 4 2" xfId="422" xr:uid="{00000000-0005-0000-0000-000028010000}"/>
    <cellStyle name="20% - Accent5 2 4 2 2" xfId="903" xr:uid="{00000000-0005-0000-0000-000029010000}"/>
    <cellStyle name="20% - Accent5 2 4 3" xfId="663" xr:uid="{00000000-0005-0000-0000-00002A010000}"/>
    <cellStyle name="20% - Accent5 2 5" xfId="302" xr:uid="{00000000-0005-0000-0000-00002B010000}"/>
    <cellStyle name="20% - Accent5 2 5 2" xfId="783" xr:uid="{00000000-0005-0000-0000-00002C010000}"/>
    <cellStyle name="20% - Accent5 2 6" xfId="543" xr:uid="{00000000-0005-0000-0000-00002D010000}"/>
    <cellStyle name="20% - Accent5 3" xfId="72" xr:uid="{00000000-0005-0000-0000-00002E010000}"/>
    <cellStyle name="20% - Accent5 3 2" xfId="133" xr:uid="{00000000-0005-0000-0000-00002F010000}"/>
    <cellStyle name="20% - Accent5 3 2 2" xfId="254" xr:uid="{00000000-0005-0000-0000-000030010000}"/>
    <cellStyle name="20% - Accent5 3 2 2 2" xfId="495" xr:uid="{00000000-0005-0000-0000-000031010000}"/>
    <cellStyle name="20% - Accent5 3 2 2 2 2" xfId="976" xr:uid="{00000000-0005-0000-0000-000032010000}"/>
    <cellStyle name="20% - Accent5 3 2 2 3" xfId="736" xr:uid="{00000000-0005-0000-0000-000033010000}"/>
    <cellStyle name="20% - Accent5 3 2 3" xfId="375" xr:uid="{00000000-0005-0000-0000-000034010000}"/>
    <cellStyle name="20% - Accent5 3 2 3 2" xfId="856" xr:uid="{00000000-0005-0000-0000-000035010000}"/>
    <cellStyle name="20% - Accent5 3 2 4" xfId="616" xr:uid="{00000000-0005-0000-0000-000036010000}"/>
    <cellStyle name="20% - Accent5 3 3" xfId="194" xr:uid="{00000000-0005-0000-0000-000037010000}"/>
    <cellStyle name="20% - Accent5 3 3 2" xfId="435" xr:uid="{00000000-0005-0000-0000-000038010000}"/>
    <cellStyle name="20% - Accent5 3 3 2 2" xfId="916" xr:uid="{00000000-0005-0000-0000-000039010000}"/>
    <cellStyle name="20% - Accent5 3 3 3" xfId="676" xr:uid="{00000000-0005-0000-0000-00003A010000}"/>
    <cellStyle name="20% - Accent5 3 4" xfId="315" xr:uid="{00000000-0005-0000-0000-00003B010000}"/>
    <cellStyle name="20% - Accent5 3 4 2" xfId="796" xr:uid="{00000000-0005-0000-0000-00003C010000}"/>
    <cellStyle name="20% - Accent5 3 5" xfId="556" xr:uid="{00000000-0005-0000-0000-00003D010000}"/>
    <cellStyle name="20% - Accent5 4" xfId="101" xr:uid="{00000000-0005-0000-0000-00003E010000}"/>
    <cellStyle name="20% - Accent5 4 2" xfId="223" xr:uid="{00000000-0005-0000-0000-00003F010000}"/>
    <cellStyle name="20% - Accent5 4 2 2" xfId="464" xr:uid="{00000000-0005-0000-0000-000040010000}"/>
    <cellStyle name="20% - Accent5 4 2 2 2" xfId="945" xr:uid="{00000000-0005-0000-0000-000041010000}"/>
    <cellStyle name="20% - Accent5 4 2 3" xfId="705" xr:uid="{00000000-0005-0000-0000-000042010000}"/>
    <cellStyle name="20% - Accent5 4 3" xfId="344" xr:uid="{00000000-0005-0000-0000-000043010000}"/>
    <cellStyle name="20% - Accent5 4 3 2" xfId="825" xr:uid="{00000000-0005-0000-0000-000044010000}"/>
    <cellStyle name="20% - Accent5 4 4" xfId="585" xr:uid="{00000000-0005-0000-0000-000045010000}"/>
    <cellStyle name="20% - Accent5 5" xfId="162" xr:uid="{00000000-0005-0000-0000-000046010000}"/>
    <cellStyle name="20% - Accent5 5 2" xfId="404" xr:uid="{00000000-0005-0000-0000-000047010000}"/>
    <cellStyle name="20% - Accent5 5 2 2" xfId="885" xr:uid="{00000000-0005-0000-0000-000048010000}"/>
    <cellStyle name="20% - Accent5 5 3" xfId="645" xr:uid="{00000000-0005-0000-0000-000049010000}"/>
    <cellStyle name="20% - Accent5 6" xfId="283" xr:uid="{00000000-0005-0000-0000-00004A010000}"/>
    <cellStyle name="20% - Accent5 6 2" xfId="765" xr:uid="{00000000-0005-0000-0000-00004B010000}"/>
    <cellStyle name="20% - Accent5 7" xfId="524" xr:uid="{00000000-0005-0000-0000-00004C010000}"/>
    <cellStyle name="20% - Accent6 2" xfId="61" xr:uid="{00000000-0005-0000-0000-00004D010000}"/>
    <cellStyle name="20% - Accent6 2 2" xfId="90" xr:uid="{00000000-0005-0000-0000-00004E010000}"/>
    <cellStyle name="20% - Accent6 2 2 2" xfId="151" xr:uid="{00000000-0005-0000-0000-00004F010000}"/>
    <cellStyle name="20% - Accent6 2 2 2 2" xfId="272" xr:uid="{00000000-0005-0000-0000-000050010000}"/>
    <cellStyle name="20% - Accent6 2 2 2 2 2" xfId="513" xr:uid="{00000000-0005-0000-0000-000051010000}"/>
    <cellStyle name="20% - Accent6 2 2 2 2 2 2" xfId="994" xr:uid="{00000000-0005-0000-0000-000052010000}"/>
    <cellStyle name="20% - Accent6 2 2 2 2 3" xfId="754" xr:uid="{00000000-0005-0000-0000-000053010000}"/>
    <cellStyle name="20% - Accent6 2 2 2 3" xfId="393" xr:uid="{00000000-0005-0000-0000-000054010000}"/>
    <cellStyle name="20% - Accent6 2 2 2 3 2" xfId="874" xr:uid="{00000000-0005-0000-0000-000055010000}"/>
    <cellStyle name="20% - Accent6 2 2 2 4" xfId="634" xr:uid="{00000000-0005-0000-0000-000056010000}"/>
    <cellStyle name="20% - Accent6 2 2 3" xfId="212" xr:uid="{00000000-0005-0000-0000-000057010000}"/>
    <cellStyle name="20% - Accent6 2 2 3 2" xfId="453" xr:uid="{00000000-0005-0000-0000-000058010000}"/>
    <cellStyle name="20% - Accent6 2 2 3 2 2" xfId="934" xr:uid="{00000000-0005-0000-0000-000059010000}"/>
    <cellStyle name="20% - Accent6 2 2 3 3" xfId="694" xr:uid="{00000000-0005-0000-0000-00005A010000}"/>
    <cellStyle name="20% - Accent6 2 2 4" xfId="333" xr:uid="{00000000-0005-0000-0000-00005B010000}"/>
    <cellStyle name="20% - Accent6 2 2 4 2" xfId="814" xr:uid="{00000000-0005-0000-0000-00005C010000}"/>
    <cellStyle name="20% - Accent6 2 2 5" xfId="574" xr:uid="{00000000-0005-0000-0000-00005D010000}"/>
    <cellStyle name="20% - Accent6 2 3" xfId="122" xr:uid="{00000000-0005-0000-0000-00005E010000}"/>
    <cellStyle name="20% - Accent6 2 3 2" xfId="243" xr:uid="{00000000-0005-0000-0000-00005F010000}"/>
    <cellStyle name="20% - Accent6 2 3 2 2" xfId="484" xr:uid="{00000000-0005-0000-0000-000060010000}"/>
    <cellStyle name="20% - Accent6 2 3 2 2 2" xfId="965" xr:uid="{00000000-0005-0000-0000-000061010000}"/>
    <cellStyle name="20% - Accent6 2 3 2 3" xfId="725" xr:uid="{00000000-0005-0000-0000-000062010000}"/>
    <cellStyle name="20% - Accent6 2 3 3" xfId="364" xr:uid="{00000000-0005-0000-0000-000063010000}"/>
    <cellStyle name="20% - Accent6 2 3 3 2" xfId="845" xr:uid="{00000000-0005-0000-0000-000064010000}"/>
    <cellStyle name="20% - Accent6 2 3 4" xfId="605" xr:uid="{00000000-0005-0000-0000-000065010000}"/>
    <cellStyle name="20% - Accent6 2 4" xfId="183" xr:uid="{00000000-0005-0000-0000-000066010000}"/>
    <cellStyle name="20% - Accent6 2 4 2" xfId="424" xr:uid="{00000000-0005-0000-0000-000067010000}"/>
    <cellStyle name="20% - Accent6 2 4 2 2" xfId="905" xr:uid="{00000000-0005-0000-0000-000068010000}"/>
    <cellStyle name="20% - Accent6 2 4 3" xfId="665" xr:uid="{00000000-0005-0000-0000-000069010000}"/>
    <cellStyle name="20% - Accent6 2 5" xfId="304" xr:uid="{00000000-0005-0000-0000-00006A010000}"/>
    <cellStyle name="20% - Accent6 2 5 2" xfId="785" xr:uid="{00000000-0005-0000-0000-00006B010000}"/>
    <cellStyle name="20% - Accent6 2 6" xfId="545" xr:uid="{00000000-0005-0000-0000-00006C010000}"/>
    <cellStyle name="20% - Accent6 3" xfId="74" xr:uid="{00000000-0005-0000-0000-00006D010000}"/>
    <cellStyle name="20% - Accent6 3 2" xfId="135" xr:uid="{00000000-0005-0000-0000-00006E010000}"/>
    <cellStyle name="20% - Accent6 3 2 2" xfId="256" xr:uid="{00000000-0005-0000-0000-00006F010000}"/>
    <cellStyle name="20% - Accent6 3 2 2 2" xfId="497" xr:uid="{00000000-0005-0000-0000-000070010000}"/>
    <cellStyle name="20% - Accent6 3 2 2 2 2" xfId="978" xr:uid="{00000000-0005-0000-0000-000071010000}"/>
    <cellStyle name="20% - Accent6 3 2 2 3" xfId="738" xr:uid="{00000000-0005-0000-0000-000072010000}"/>
    <cellStyle name="20% - Accent6 3 2 3" xfId="377" xr:uid="{00000000-0005-0000-0000-000073010000}"/>
    <cellStyle name="20% - Accent6 3 2 3 2" xfId="858" xr:uid="{00000000-0005-0000-0000-000074010000}"/>
    <cellStyle name="20% - Accent6 3 2 4" xfId="618" xr:uid="{00000000-0005-0000-0000-000075010000}"/>
    <cellStyle name="20% - Accent6 3 3" xfId="196" xr:uid="{00000000-0005-0000-0000-000076010000}"/>
    <cellStyle name="20% - Accent6 3 3 2" xfId="437" xr:uid="{00000000-0005-0000-0000-000077010000}"/>
    <cellStyle name="20% - Accent6 3 3 2 2" xfId="918" xr:uid="{00000000-0005-0000-0000-000078010000}"/>
    <cellStyle name="20% - Accent6 3 3 3" xfId="678" xr:uid="{00000000-0005-0000-0000-000079010000}"/>
    <cellStyle name="20% - Accent6 3 4" xfId="317" xr:uid="{00000000-0005-0000-0000-00007A010000}"/>
    <cellStyle name="20% - Accent6 3 4 2" xfId="798" xr:uid="{00000000-0005-0000-0000-00007B010000}"/>
    <cellStyle name="20% - Accent6 3 5" xfId="558" xr:uid="{00000000-0005-0000-0000-00007C010000}"/>
    <cellStyle name="20% - Accent6 4" xfId="103" xr:uid="{00000000-0005-0000-0000-00007D010000}"/>
    <cellStyle name="20% - Accent6 4 2" xfId="225" xr:uid="{00000000-0005-0000-0000-00007E010000}"/>
    <cellStyle name="20% - Accent6 4 2 2" xfId="466" xr:uid="{00000000-0005-0000-0000-00007F010000}"/>
    <cellStyle name="20% - Accent6 4 2 2 2" xfId="947" xr:uid="{00000000-0005-0000-0000-000080010000}"/>
    <cellStyle name="20% - Accent6 4 2 3" xfId="707" xr:uid="{00000000-0005-0000-0000-000081010000}"/>
    <cellStyle name="20% - Accent6 4 3" xfId="346" xr:uid="{00000000-0005-0000-0000-000082010000}"/>
    <cellStyle name="20% - Accent6 4 3 2" xfId="827" xr:uid="{00000000-0005-0000-0000-000083010000}"/>
    <cellStyle name="20% - Accent6 4 4" xfId="587" xr:uid="{00000000-0005-0000-0000-000084010000}"/>
    <cellStyle name="20% - Accent6 5" xfId="164" xr:uid="{00000000-0005-0000-0000-000085010000}"/>
    <cellStyle name="20% - Accent6 5 2" xfId="406" xr:uid="{00000000-0005-0000-0000-000086010000}"/>
    <cellStyle name="20% - Accent6 5 2 2" xfId="887" xr:uid="{00000000-0005-0000-0000-000087010000}"/>
    <cellStyle name="20% - Accent6 5 3" xfId="647" xr:uid="{00000000-0005-0000-0000-000088010000}"/>
    <cellStyle name="20% - Accent6 6" xfId="285" xr:uid="{00000000-0005-0000-0000-000089010000}"/>
    <cellStyle name="20% - Accent6 6 2" xfId="767" xr:uid="{00000000-0005-0000-0000-00008A010000}"/>
    <cellStyle name="20% - Accent6 7" xfId="526" xr:uid="{00000000-0005-0000-0000-00008B010000}"/>
    <cellStyle name="40% - Accent1 2" xfId="52" xr:uid="{00000000-0005-0000-0000-00008C010000}"/>
    <cellStyle name="40% - Accent1 2 2" xfId="81" xr:uid="{00000000-0005-0000-0000-00008D010000}"/>
    <cellStyle name="40% - Accent1 2 2 2" xfId="142" xr:uid="{00000000-0005-0000-0000-00008E010000}"/>
    <cellStyle name="40% - Accent1 2 2 2 2" xfId="263" xr:uid="{00000000-0005-0000-0000-00008F010000}"/>
    <cellStyle name="40% - Accent1 2 2 2 2 2" xfId="504" xr:uid="{00000000-0005-0000-0000-000090010000}"/>
    <cellStyle name="40% - Accent1 2 2 2 2 2 2" xfId="985" xr:uid="{00000000-0005-0000-0000-000091010000}"/>
    <cellStyle name="40% - Accent1 2 2 2 2 3" xfId="745" xr:uid="{00000000-0005-0000-0000-000092010000}"/>
    <cellStyle name="40% - Accent1 2 2 2 3" xfId="384" xr:uid="{00000000-0005-0000-0000-000093010000}"/>
    <cellStyle name="40% - Accent1 2 2 2 3 2" xfId="865" xr:uid="{00000000-0005-0000-0000-000094010000}"/>
    <cellStyle name="40% - Accent1 2 2 2 4" xfId="625" xr:uid="{00000000-0005-0000-0000-000095010000}"/>
    <cellStyle name="40% - Accent1 2 2 3" xfId="203" xr:uid="{00000000-0005-0000-0000-000096010000}"/>
    <cellStyle name="40% - Accent1 2 2 3 2" xfId="444" xr:uid="{00000000-0005-0000-0000-000097010000}"/>
    <cellStyle name="40% - Accent1 2 2 3 2 2" xfId="925" xr:uid="{00000000-0005-0000-0000-000098010000}"/>
    <cellStyle name="40% - Accent1 2 2 3 3" xfId="685" xr:uid="{00000000-0005-0000-0000-000099010000}"/>
    <cellStyle name="40% - Accent1 2 2 4" xfId="324" xr:uid="{00000000-0005-0000-0000-00009A010000}"/>
    <cellStyle name="40% - Accent1 2 2 4 2" xfId="805" xr:uid="{00000000-0005-0000-0000-00009B010000}"/>
    <cellStyle name="40% - Accent1 2 2 5" xfId="565" xr:uid="{00000000-0005-0000-0000-00009C010000}"/>
    <cellStyle name="40% - Accent1 2 3" xfId="113" xr:uid="{00000000-0005-0000-0000-00009D010000}"/>
    <cellStyle name="40% - Accent1 2 3 2" xfId="234" xr:uid="{00000000-0005-0000-0000-00009E010000}"/>
    <cellStyle name="40% - Accent1 2 3 2 2" xfId="475" xr:uid="{00000000-0005-0000-0000-00009F010000}"/>
    <cellStyle name="40% - Accent1 2 3 2 2 2" xfId="956" xr:uid="{00000000-0005-0000-0000-0000A0010000}"/>
    <cellStyle name="40% - Accent1 2 3 2 3" xfId="716" xr:uid="{00000000-0005-0000-0000-0000A1010000}"/>
    <cellStyle name="40% - Accent1 2 3 3" xfId="355" xr:uid="{00000000-0005-0000-0000-0000A2010000}"/>
    <cellStyle name="40% - Accent1 2 3 3 2" xfId="836" xr:uid="{00000000-0005-0000-0000-0000A3010000}"/>
    <cellStyle name="40% - Accent1 2 3 4" xfId="596" xr:uid="{00000000-0005-0000-0000-0000A4010000}"/>
    <cellStyle name="40% - Accent1 2 4" xfId="174" xr:uid="{00000000-0005-0000-0000-0000A5010000}"/>
    <cellStyle name="40% - Accent1 2 4 2" xfId="415" xr:uid="{00000000-0005-0000-0000-0000A6010000}"/>
    <cellStyle name="40% - Accent1 2 4 2 2" xfId="896" xr:uid="{00000000-0005-0000-0000-0000A7010000}"/>
    <cellStyle name="40% - Accent1 2 4 3" xfId="656" xr:uid="{00000000-0005-0000-0000-0000A8010000}"/>
    <cellStyle name="40% - Accent1 2 5" xfId="295" xr:uid="{00000000-0005-0000-0000-0000A9010000}"/>
    <cellStyle name="40% - Accent1 2 5 2" xfId="776" xr:uid="{00000000-0005-0000-0000-0000AA010000}"/>
    <cellStyle name="40% - Accent1 2 6" xfId="536" xr:uid="{00000000-0005-0000-0000-0000AB010000}"/>
    <cellStyle name="40% - Accent1 3" xfId="65" xr:uid="{00000000-0005-0000-0000-0000AC010000}"/>
    <cellStyle name="40% - Accent1 3 2" xfId="126" xr:uid="{00000000-0005-0000-0000-0000AD010000}"/>
    <cellStyle name="40% - Accent1 3 2 2" xfId="247" xr:uid="{00000000-0005-0000-0000-0000AE010000}"/>
    <cellStyle name="40% - Accent1 3 2 2 2" xfId="488" xr:uid="{00000000-0005-0000-0000-0000AF010000}"/>
    <cellStyle name="40% - Accent1 3 2 2 2 2" xfId="969" xr:uid="{00000000-0005-0000-0000-0000B0010000}"/>
    <cellStyle name="40% - Accent1 3 2 2 3" xfId="729" xr:uid="{00000000-0005-0000-0000-0000B1010000}"/>
    <cellStyle name="40% - Accent1 3 2 3" xfId="368" xr:uid="{00000000-0005-0000-0000-0000B2010000}"/>
    <cellStyle name="40% - Accent1 3 2 3 2" xfId="849" xr:uid="{00000000-0005-0000-0000-0000B3010000}"/>
    <cellStyle name="40% - Accent1 3 2 4" xfId="609" xr:uid="{00000000-0005-0000-0000-0000B4010000}"/>
    <cellStyle name="40% - Accent1 3 3" xfId="187" xr:uid="{00000000-0005-0000-0000-0000B5010000}"/>
    <cellStyle name="40% - Accent1 3 3 2" xfId="428" xr:uid="{00000000-0005-0000-0000-0000B6010000}"/>
    <cellStyle name="40% - Accent1 3 3 2 2" xfId="909" xr:uid="{00000000-0005-0000-0000-0000B7010000}"/>
    <cellStyle name="40% - Accent1 3 3 3" xfId="669" xr:uid="{00000000-0005-0000-0000-0000B8010000}"/>
    <cellStyle name="40% - Accent1 3 4" xfId="308" xr:uid="{00000000-0005-0000-0000-0000B9010000}"/>
    <cellStyle name="40% - Accent1 3 4 2" xfId="789" xr:uid="{00000000-0005-0000-0000-0000BA010000}"/>
    <cellStyle name="40% - Accent1 3 5" xfId="549" xr:uid="{00000000-0005-0000-0000-0000BB010000}"/>
    <cellStyle name="40% - Accent1 4" xfId="94" xr:uid="{00000000-0005-0000-0000-0000BC010000}"/>
    <cellStyle name="40% - Accent1 4 2" xfId="216" xr:uid="{00000000-0005-0000-0000-0000BD010000}"/>
    <cellStyle name="40% - Accent1 4 2 2" xfId="457" xr:uid="{00000000-0005-0000-0000-0000BE010000}"/>
    <cellStyle name="40% - Accent1 4 2 2 2" xfId="938" xr:uid="{00000000-0005-0000-0000-0000BF010000}"/>
    <cellStyle name="40% - Accent1 4 2 3" xfId="698" xr:uid="{00000000-0005-0000-0000-0000C0010000}"/>
    <cellStyle name="40% - Accent1 4 3" xfId="337" xr:uid="{00000000-0005-0000-0000-0000C1010000}"/>
    <cellStyle name="40% - Accent1 4 3 2" xfId="818" xr:uid="{00000000-0005-0000-0000-0000C2010000}"/>
    <cellStyle name="40% - Accent1 4 4" xfId="578" xr:uid="{00000000-0005-0000-0000-0000C3010000}"/>
    <cellStyle name="40% - Accent1 5" xfId="155" xr:uid="{00000000-0005-0000-0000-0000C4010000}"/>
    <cellStyle name="40% - Accent1 5 2" xfId="397" xr:uid="{00000000-0005-0000-0000-0000C5010000}"/>
    <cellStyle name="40% - Accent1 5 2 2" xfId="878" xr:uid="{00000000-0005-0000-0000-0000C6010000}"/>
    <cellStyle name="40% - Accent1 5 3" xfId="638" xr:uid="{00000000-0005-0000-0000-0000C7010000}"/>
    <cellStyle name="40% - Accent1 6" xfId="276" xr:uid="{00000000-0005-0000-0000-0000C8010000}"/>
    <cellStyle name="40% - Accent1 6 2" xfId="758" xr:uid="{00000000-0005-0000-0000-0000C9010000}"/>
    <cellStyle name="40% - Accent1 7" xfId="517" xr:uid="{00000000-0005-0000-0000-0000CA010000}"/>
    <cellStyle name="40% - Accent2 2" xfId="54" xr:uid="{00000000-0005-0000-0000-0000CB010000}"/>
    <cellStyle name="40% - Accent2 2 2" xfId="83" xr:uid="{00000000-0005-0000-0000-0000CC010000}"/>
    <cellStyle name="40% - Accent2 2 2 2" xfId="144" xr:uid="{00000000-0005-0000-0000-0000CD010000}"/>
    <cellStyle name="40% - Accent2 2 2 2 2" xfId="265" xr:uid="{00000000-0005-0000-0000-0000CE010000}"/>
    <cellStyle name="40% - Accent2 2 2 2 2 2" xfId="506" xr:uid="{00000000-0005-0000-0000-0000CF010000}"/>
    <cellStyle name="40% - Accent2 2 2 2 2 2 2" xfId="987" xr:uid="{00000000-0005-0000-0000-0000D0010000}"/>
    <cellStyle name="40% - Accent2 2 2 2 2 3" xfId="747" xr:uid="{00000000-0005-0000-0000-0000D1010000}"/>
    <cellStyle name="40% - Accent2 2 2 2 3" xfId="386" xr:uid="{00000000-0005-0000-0000-0000D2010000}"/>
    <cellStyle name="40% - Accent2 2 2 2 3 2" xfId="867" xr:uid="{00000000-0005-0000-0000-0000D3010000}"/>
    <cellStyle name="40% - Accent2 2 2 2 4" xfId="627" xr:uid="{00000000-0005-0000-0000-0000D4010000}"/>
    <cellStyle name="40% - Accent2 2 2 3" xfId="205" xr:uid="{00000000-0005-0000-0000-0000D5010000}"/>
    <cellStyle name="40% - Accent2 2 2 3 2" xfId="446" xr:uid="{00000000-0005-0000-0000-0000D6010000}"/>
    <cellStyle name="40% - Accent2 2 2 3 2 2" xfId="927" xr:uid="{00000000-0005-0000-0000-0000D7010000}"/>
    <cellStyle name="40% - Accent2 2 2 3 3" xfId="687" xr:uid="{00000000-0005-0000-0000-0000D8010000}"/>
    <cellStyle name="40% - Accent2 2 2 4" xfId="326" xr:uid="{00000000-0005-0000-0000-0000D9010000}"/>
    <cellStyle name="40% - Accent2 2 2 4 2" xfId="807" xr:uid="{00000000-0005-0000-0000-0000DA010000}"/>
    <cellStyle name="40% - Accent2 2 2 5" xfId="567" xr:uid="{00000000-0005-0000-0000-0000DB010000}"/>
    <cellStyle name="40% - Accent2 2 3" xfId="115" xr:uid="{00000000-0005-0000-0000-0000DC010000}"/>
    <cellStyle name="40% - Accent2 2 3 2" xfId="236" xr:uid="{00000000-0005-0000-0000-0000DD010000}"/>
    <cellStyle name="40% - Accent2 2 3 2 2" xfId="477" xr:uid="{00000000-0005-0000-0000-0000DE010000}"/>
    <cellStyle name="40% - Accent2 2 3 2 2 2" xfId="958" xr:uid="{00000000-0005-0000-0000-0000DF010000}"/>
    <cellStyle name="40% - Accent2 2 3 2 3" xfId="718" xr:uid="{00000000-0005-0000-0000-0000E0010000}"/>
    <cellStyle name="40% - Accent2 2 3 3" xfId="357" xr:uid="{00000000-0005-0000-0000-0000E1010000}"/>
    <cellStyle name="40% - Accent2 2 3 3 2" xfId="838" xr:uid="{00000000-0005-0000-0000-0000E2010000}"/>
    <cellStyle name="40% - Accent2 2 3 4" xfId="598" xr:uid="{00000000-0005-0000-0000-0000E3010000}"/>
    <cellStyle name="40% - Accent2 2 4" xfId="176" xr:uid="{00000000-0005-0000-0000-0000E4010000}"/>
    <cellStyle name="40% - Accent2 2 4 2" xfId="417" xr:uid="{00000000-0005-0000-0000-0000E5010000}"/>
    <cellStyle name="40% - Accent2 2 4 2 2" xfId="898" xr:uid="{00000000-0005-0000-0000-0000E6010000}"/>
    <cellStyle name="40% - Accent2 2 4 3" xfId="658" xr:uid="{00000000-0005-0000-0000-0000E7010000}"/>
    <cellStyle name="40% - Accent2 2 5" xfId="297" xr:uid="{00000000-0005-0000-0000-0000E8010000}"/>
    <cellStyle name="40% - Accent2 2 5 2" xfId="778" xr:uid="{00000000-0005-0000-0000-0000E9010000}"/>
    <cellStyle name="40% - Accent2 2 6" xfId="538" xr:uid="{00000000-0005-0000-0000-0000EA010000}"/>
    <cellStyle name="40% - Accent2 3" xfId="67" xr:uid="{00000000-0005-0000-0000-0000EB010000}"/>
    <cellStyle name="40% - Accent2 3 2" xfId="128" xr:uid="{00000000-0005-0000-0000-0000EC010000}"/>
    <cellStyle name="40% - Accent2 3 2 2" xfId="249" xr:uid="{00000000-0005-0000-0000-0000ED010000}"/>
    <cellStyle name="40% - Accent2 3 2 2 2" xfId="490" xr:uid="{00000000-0005-0000-0000-0000EE010000}"/>
    <cellStyle name="40% - Accent2 3 2 2 2 2" xfId="971" xr:uid="{00000000-0005-0000-0000-0000EF010000}"/>
    <cellStyle name="40% - Accent2 3 2 2 3" xfId="731" xr:uid="{00000000-0005-0000-0000-0000F0010000}"/>
    <cellStyle name="40% - Accent2 3 2 3" xfId="370" xr:uid="{00000000-0005-0000-0000-0000F1010000}"/>
    <cellStyle name="40% - Accent2 3 2 3 2" xfId="851" xr:uid="{00000000-0005-0000-0000-0000F2010000}"/>
    <cellStyle name="40% - Accent2 3 2 4" xfId="611" xr:uid="{00000000-0005-0000-0000-0000F3010000}"/>
    <cellStyle name="40% - Accent2 3 3" xfId="189" xr:uid="{00000000-0005-0000-0000-0000F4010000}"/>
    <cellStyle name="40% - Accent2 3 3 2" xfId="430" xr:uid="{00000000-0005-0000-0000-0000F5010000}"/>
    <cellStyle name="40% - Accent2 3 3 2 2" xfId="911" xr:uid="{00000000-0005-0000-0000-0000F6010000}"/>
    <cellStyle name="40% - Accent2 3 3 3" xfId="671" xr:uid="{00000000-0005-0000-0000-0000F7010000}"/>
    <cellStyle name="40% - Accent2 3 4" xfId="310" xr:uid="{00000000-0005-0000-0000-0000F8010000}"/>
    <cellStyle name="40% - Accent2 3 4 2" xfId="791" xr:uid="{00000000-0005-0000-0000-0000F9010000}"/>
    <cellStyle name="40% - Accent2 3 5" xfId="551" xr:uid="{00000000-0005-0000-0000-0000FA010000}"/>
    <cellStyle name="40% - Accent2 4" xfId="96" xr:uid="{00000000-0005-0000-0000-0000FB010000}"/>
    <cellStyle name="40% - Accent2 4 2" xfId="218" xr:uid="{00000000-0005-0000-0000-0000FC010000}"/>
    <cellStyle name="40% - Accent2 4 2 2" xfId="459" xr:uid="{00000000-0005-0000-0000-0000FD010000}"/>
    <cellStyle name="40% - Accent2 4 2 2 2" xfId="940" xr:uid="{00000000-0005-0000-0000-0000FE010000}"/>
    <cellStyle name="40% - Accent2 4 2 3" xfId="700" xr:uid="{00000000-0005-0000-0000-0000FF010000}"/>
    <cellStyle name="40% - Accent2 4 3" xfId="339" xr:uid="{00000000-0005-0000-0000-000000020000}"/>
    <cellStyle name="40% - Accent2 4 3 2" xfId="820" xr:uid="{00000000-0005-0000-0000-000001020000}"/>
    <cellStyle name="40% - Accent2 4 4" xfId="580" xr:uid="{00000000-0005-0000-0000-000002020000}"/>
    <cellStyle name="40% - Accent2 5" xfId="157" xr:uid="{00000000-0005-0000-0000-000003020000}"/>
    <cellStyle name="40% - Accent2 5 2" xfId="399" xr:uid="{00000000-0005-0000-0000-000004020000}"/>
    <cellStyle name="40% - Accent2 5 2 2" xfId="880" xr:uid="{00000000-0005-0000-0000-000005020000}"/>
    <cellStyle name="40% - Accent2 5 3" xfId="640" xr:uid="{00000000-0005-0000-0000-000006020000}"/>
    <cellStyle name="40% - Accent2 6" xfId="278" xr:uid="{00000000-0005-0000-0000-000007020000}"/>
    <cellStyle name="40% - Accent2 6 2" xfId="760" xr:uid="{00000000-0005-0000-0000-000008020000}"/>
    <cellStyle name="40% - Accent2 7" xfId="519" xr:uid="{00000000-0005-0000-0000-000009020000}"/>
    <cellStyle name="40% - Accent3 2" xfId="56" xr:uid="{00000000-0005-0000-0000-00000A020000}"/>
    <cellStyle name="40% - Accent3 2 2" xfId="85" xr:uid="{00000000-0005-0000-0000-00000B020000}"/>
    <cellStyle name="40% - Accent3 2 2 2" xfId="146" xr:uid="{00000000-0005-0000-0000-00000C020000}"/>
    <cellStyle name="40% - Accent3 2 2 2 2" xfId="267" xr:uid="{00000000-0005-0000-0000-00000D020000}"/>
    <cellStyle name="40% - Accent3 2 2 2 2 2" xfId="508" xr:uid="{00000000-0005-0000-0000-00000E020000}"/>
    <cellStyle name="40% - Accent3 2 2 2 2 2 2" xfId="989" xr:uid="{00000000-0005-0000-0000-00000F020000}"/>
    <cellStyle name="40% - Accent3 2 2 2 2 3" xfId="749" xr:uid="{00000000-0005-0000-0000-000010020000}"/>
    <cellStyle name="40% - Accent3 2 2 2 3" xfId="388" xr:uid="{00000000-0005-0000-0000-000011020000}"/>
    <cellStyle name="40% - Accent3 2 2 2 3 2" xfId="869" xr:uid="{00000000-0005-0000-0000-000012020000}"/>
    <cellStyle name="40% - Accent3 2 2 2 4" xfId="629" xr:uid="{00000000-0005-0000-0000-000013020000}"/>
    <cellStyle name="40% - Accent3 2 2 3" xfId="207" xr:uid="{00000000-0005-0000-0000-000014020000}"/>
    <cellStyle name="40% - Accent3 2 2 3 2" xfId="448" xr:uid="{00000000-0005-0000-0000-000015020000}"/>
    <cellStyle name="40% - Accent3 2 2 3 2 2" xfId="929" xr:uid="{00000000-0005-0000-0000-000016020000}"/>
    <cellStyle name="40% - Accent3 2 2 3 3" xfId="689" xr:uid="{00000000-0005-0000-0000-000017020000}"/>
    <cellStyle name="40% - Accent3 2 2 4" xfId="328" xr:uid="{00000000-0005-0000-0000-000018020000}"/>
    <cellStyle name="40% - Accent3 2 2 4 2" xfId="809" xr:uid="{00000000-0005-0000-0000-000019020000}"/>
    <cellStyle name="40% - Accent3 2 2 5" xfId="569" xr:uid="{00000000-0005-0000-0000-00001A020000}"/>
    <cellStyle name="40% - Accent3 2 3" xfId="117" xr:uid="{00000000-0005-0000-0000-00001B020000}"/>
    <cellStyle name="40% - Accent3 2 3 2" xfId="238" xr:uid="{00000000-0005-0000-0000-00001C020000}"/>
    <cellStyle name="40% - Accent3 2 3 2 2" xfId="479" xr:uid="{00000000-0005-0000-0000-00001D020000}"/>
    <cellStyle name="40% - Accent3 2 3 2 2 2" xfId="960" xr:uid="{00000000-0005-0000-0000-00001E020000}"/>
    <cellStyle name="40% - Accent3 2 3 2 3" xfId="720" xr:uid="{00000000-0005-0000-0000-00001F020000}"/>
    <cellStyle name="40% - Accent3 2 3 3" xfId="359" xr:uid="{00000000-0005-0000-0000-000020020000}"/>
    <cellStyle name="40% - Accent3 2 3 3 2" xfId="840" xr:uid="{00000000-0005-0000-0000-000021020000}"/>
    <cellStyle name="40% - Accent3 2 3 4" xfId="600" xr:uid="{00000000-0005-0000-0000-000022020000}"/>
    <cellStyle name="40% - Accent3 2 4" xfId="178" xr:uid="{00000000-0005-0000-0000-000023020000}"/>
    <cellStyle name="40% - Accent3 2 4 2" xfId="419" xr:uid="{00000000-0005-0000-0000-000024020000}"/>
    <cellStyle name="40% - Accent3 2 4 2 2" xfId="900" xr:uid="{00000000-0005-0000-0000-000025020000}"/>
    <cellStyle name="40% - Accent3 2 4 3" xfId="660" xr:uid="{00000000-0005-0000-0000-000026020000}"/>
    <cellStyle name="40% - Accent3 2 5" xfId="299" xr:uid="{00000000-0005-0000-0000-000027020000}"/>
    <cellStyle name="40% - Accent3 2 5 2" xfId="780" xr:uid="{00000000-0005-0000-0000-000028020000}"/>
    <cellStyle name="40% - Accent3 2 6" xfId="540" xr:uid="{00000000-0005-0000-0000-000029020000}"/>
    <cellStyle name="40% - Accent3 3" xfId="69" xr:uid="{00000000-0005-0000-0000-00002A020000}"/>
    <cellStyle name="40% - Accent3 3 2" xfId="130" xr:uid="{00000000-0005-0000-0000-00002B020000}"/>
    <cellStyle name="40% - Accent3 3 2 2" xfId="251" xr:uid="{00000000-0005-0000-0000-00002C020000}"/>
    <cellStyle name="40% - Accent3 3 2 2 2" xfId="492" xr:uid="{00000000-0005-0000-0000-00002D020000}"/>
    <cellStyle name="40% - Accent3 3 2 2 2 2" xfId="973" xr:uid="{00000000-0005-0000-0000-00002E020000}"/>
    <cellStyle name="40% - Accent3 3 2 2 3" xfId="733" xr:uid="{00000000-0005-0000-0000-00002F020000}"/>
    <cellStyle name="40% - Accent3 3 2 3" xfId="372" xr:uid="{00000000-0005-0000-0000-000030020000}"/>
    <cellStyle name="40% - Accent3 3 2 3 2" xfId="853" xr:uid="{00000000-0005-0000-0000-000031020000}"/>
    <cellStyle name="40% - Accent3 3 2 4" xfId="613" xr:uid="{00000000-0005-0000-0000-000032020000}"/>
    <cellStyle name="40% - Accent3 3 3" xfId="191" xr:uid="{00000000-0005-0000-0000-000033020000}"/>
    <cellStyle name="40% - Accent3 3 3 2" xfId="432" xr:uid="{00000000-0005-0000-0000-000034020000}"/>
    <cellStyle name="40% - Accent3 3 3 2 2" xfId="913" xr:uid="{00000000-0005-0000-0000-000035020000}"/>
    <cellStyle name="40% - Accent3 3 3 3" xfId="673" xr:uid="{00000000-0005-0000-0000-000036020000}"/>
    <cellStyle name="40% - Accent3 3 4" xfId="312" xr:uid="{00000000-0005-0000-0000-000037020000}"/>
    <cellStyle name="40% - Accent3 3 4 2" xfId="793" xr:uid="{00000000-0005-0000-0000-000038020000}"/>
    <cellStyle name="40% - Accent3 3 5" xfId="553" xr:uid="{00000000-0005-0000-0000-000039020000}"/>
    <cellStyle name="40% - Accent3 4" xfId="98" xr:uid="{00000000-0005-0000-0000-00003A020000}"/>
    <cellStyle name="40% - Accent3 4 2" xfId="220" xr:uid="{00000000-0005-0000-0000-00003B020000}"/>
    <cellStyle name="40% - Accent3 4 2 2" xfId="461" xr:uid="{00000000-0005-0000-0000-00003C020000}"/>
    <cellStyle name="40% - Accent3 4 2 2 2" xfId="942" xr:uid="{00000000-0005-0000-0000-00003D020000}"/>
    <cellStyle name="40% - Accent3 4 2 3" xfId="702" xr:uid="{00000000-0005-0000-0000-00003E020000}"/>
    <cellStyle name="40% - Accent3 4 3" xfId="341" xr:uid="{00000000-0005-0000-0000-00003F020000}"/>
    <cellStyle name="40% - Accent3 4 3 2" xfId="822" xr:uid="{00000000-0005-0000-0000-000040020000}"/>
    <cellStyle name="40% - Accent3 4 4" xfId="582" xr:uid="{00000000-0005-0000-0000-000041020000}"/>
    <cellStyle name="40% - Accent3 5" xfId="159" xr:uid="{00000000-0005-0000-0000-000042020000}"/>
    <cellStyle name="40% - Accent3 5 2" xfId="401" xr:uid="{00000000-0005-0000-0000-000043020000}"/>
    <cellStyle name="40% - Accent3 5 2 2" xfId="882" xr:uid="{00000000-0005-0000-0000-000044020000}"/>
    <cellStyle name="40% - Accent3 5 3" xfId="642" xr:uid="{00000000-0005-0000-0000-000045020000}"/>
    <cellStyle name="40% - Accent3 6" xfId="280" xr:uid="{00000000-0005-0000-0000-000046020000}"/>
    <cellStyle name="40% - Accent3 6 2" xfId="762" xr:uid="{00000000-0005-0000-0000-000047020000}"/>
    <cellStyle name="40% - Accent3 7" xfId="521" xr:uid="{00000000-0005-0000-0000-000048020000}"/>
    <cellStyle name="40% - Accent4 2" xfId="58" xr:uid="{00000000-0005-0000-0000-000049020000}"/>
    <cellStyle name="40% - Accent4 2 2" xfId="87" xr:uid="{00000000-0005-0000-0000-00004A020000}"/>
    <cellStyle name="40% - Accent4 2 2 2" xfId="148" xr:uid="{00000000-0005-0000-0000-00004B020000}"/>
    <cellStyle name="40% - Accent4 2 2 2 2" xfId="269" xr:uid="{00000000-0005-0000-0000-00004C020000}"/>
    <cellStyle name="40% - Accent4 2 2 2 2 2" xfId="510" xr:uid="{00000000-0005-0000-0000-00004D020000}"/>
    <cellStyle name="40% - Accent4 2 2 2 2 2 2" xfId="991" xr:uid="{00000000-0005-0000-0000-00004E020000}"/>
    <cellStyle name="40% - Accent4 2 2 2 2 3" xfId="751" xr:uid="{00000000-0005-0000-0000-00004F020000}"/>
    <cellStyle name="40% - Accent4 2 2 2 3" xfId="390" xr:uid="{00000000-0005-0000-0000-000050020000}"/>
    <cellStyle name="40% - Accent4 2 2 2 3 2" xfId="871" xr:uid="{00000000-0005-0000-0000-000051020000}"/>
    <cellStyle name="40% - Accent4 2 2 2 4" xfId="631" xr:uid="{00000000-0005-0000-0000-000052020000}"/>
    <cellStyle name="40% - Accent4 2 2 3" xfId="209" xr:uid="{00000000-0005-0000-0000-000053020000}"/>
    <cellStyle name="40% - Accent4 2 2 3 2" xfId="450" xr:uid="{00000000-0005-0000-0000-000054020000}"/>
    <cellStyle name="40% - Accent4 2 2 3 2 2" xfId="931" xr:uid="{00000000-0005-0000-0000-000055020000}"/>
    <cellStyle name="40% - Accent4 2 2 3 3" xfId="691" xr:uid="{00000000-0005-0000-0000-000056020000}"/>
    <cellStyle name="40% - Accent4 2 2 4" xfId="330" xr:uid="{00000000-0005-0000-0000-000057020000}"/>
    <cellStyle name="40% - Accent4 2 2 4 2" xfId="811" xr:uid="{00000000-0005-0000-0000-000058020000}"/>
    <cellStyle name="40% - Accent4 2 2 5" xfId="571" xr:uid="{00000000-0005-0000-0000-000059020000}"/>
    <cellStyle name="40% - Accent4 2 3" xfId="119" xr:uid="{00000000-0005-0000-0000-00005A020000}"/>
    <cellStyle name="40% - Accent4 2 3 2" xfId="240" xr:uid="{00000000-0005-0000-0000-00005B020000}"/>
    <cellStyle name="40% - Accent4 2 3 2 2" xfId="481" xr:uid="{00000000-0005-0000-0000-00005C020000}"/>
    <cellStyle name="40% - Accent4 2 3 2 2 2" xfId="962" xr:uid="{00000000-0005-0000-0000-00005D020000}"/>
    <cellStyle name="40% - Accent4 2 3 2 3" xfId="722" xr:uid="{00000000-0005-0000-0000-00005E020000}"/>
    <cellStyle name="40% - Accent4 2 3 3" xfId="361" xr:uid="{00000000-0005-0000-0000-00005F020000}"/>
    <cellStyle name="40% - Accent4 2 3 3 2" xfId="842" xr:uid="{00000000-0005-0000-0000-000060020000}"/>
    <cellStyle name="40% - Accent4 2 3 4" xfId="602" xr:uid="{00000000-0005-0000-0000-000061020000}"/>
    <cellStyle name="40% - Accent4 2 4" xfId="180" xr:uid="{00000000-0005-0000-0000-000062020000}"/>
    <cellStyle name="40% - Accent4 2 4 2" xfId="421" xr:uid="{00000000-0005-0000-0000-000063020000}"/>
    <cellStyle name="40% - Accent4 2 4 2 2" xfId="902" xr:uid="{00000000-0005-0000-0000-000064020000}"/>
    <cellStyle name="40% - Accent4 2 4 3" xfId="662" xr:uid="{00000000-0005-0000-0000-000065020000}"/>
    <cellStyle name="40% - Accent4 2 5" xfId="301" xr:uid="{00000000-0005-0000-0000-000066020000}"/>
    <cellStyle name="40% - Accent4 2 5 2" xfId="782" xr:uid="{00000000-0005-0000-0000-000067020000}"/>
    <cellStyle name="40% - Accent4 2 6" xfId="542" xr:uid="{00000000-0005-0000-0000-000068020000}"/>
    <cellStyle name="40% - Accent4 3" xfId="71" xr:uid="{00000000-0005-0000-0000-000069020000}"/>
    <cellStyle name="40% - Accent4 3 2" xfId="132" xr:uid="{00000000-0005-0000-0000-00006A020000}"/>
    <cellStyle name="40% - Accent4 3 2 2" xfId="253" xr:uid="{00000000-0005-0000-0000-00006B020000}"/>
    <cellStyle name="40% - Accent4 3 2 2 2" xfId="494" xr:uid="{00000000-0005-0000-0000-00006C020000}"/>
    <cellStyle name="40% - Accent4 3 2 2 2 2" xfId="975" xr:uid="{00000000-0005-0000-0000-00006D020000}"/>
    <cellStyle name="40% - Accent4 3 2 2 3" xfId="735" xr:uid="{00000000-0005-0000-0000-00006E020000}"/>
    <cellStyle name="40% - Accent4 3 2 3" xfId="374" xr:uid="{00000000-0005-0000-0000-00006F020000}"/>
    <cellStyle name="40% - Accent4 3 2 3 2" xfId="855" xr:uid="{00000000-0005-0000-0000-000070020000}"/>
    <cellStyle name="40% - Accent4 3 2 4" xfId="615" xr:uid="{00000000-0005-0000-0000-000071020000}"/>
    <cellStyle name="40% - Accent4 3 3" xfId="193" xr:uid="{00000000-0005-0000-0000-000072020000}"/>
    <cellStyle name="40% - Accent4 3 3 2" xfId="434" xr:uid="{00000000-0005-0000-0000-000073020000}"/>
    <cellStyle name="40% - Accent4 3 3 2 2" xfId="915" xr:uid="{00000000-0005-0000-0000-000074020000}"/>
    <cellStyle name="40% - Accent4 3 3 3" xfId="675" xr:uid="{00000000-0005-0000-0000-000075020000}"/>
    <cellStyle name="40% - Accent4 3 4" xfId="314" xr:uid="{00000000-0005-0000-0000-000076020000}"/>
    <cellStyle name="40% - Accent4 3 4 2" xfId="795" xr:uid="{00000000-0005-0000-0000-000077020000}"/>
    <cellStyle name="40% - Accent4 3 5" xfId="555" xr:uid="{00000000-0005-0000-0000-000078020000}"/>
    <cellStyle name="40% - Accent4 4" xfId="100" xr:uid="{00000000-0005-0000-0000-000079020000}"/>
    <cellStyle name="40% - Accent4 4 2" xfId="222" xr:uid="{00000000-0005-0000-0000-00007A020000}"/>
    <cellStyle name="40% - Accent4 4 2 2" xfId="463" xr:uid="{00000000-0005-0000-0000-00007B020000}"/>
    <cellStyle name="40% - Accent4 4 2 2 2" xfId="944" xr:uid="{00000000-0005-0000-0000-00007C020000}"/>
    <cellStyle name="40% - Accent4 4 2 3" xfId="704" xr:uid="{00000000-0005-0000-0000-00007D020000}"/>
    <cellStyle name="40% - Accent4 4 3" xfId="343" xr:uid="{00000000-0005-0000-0000-00007E020000}"/>
    <cellStyle name="40% - Accent4 4 3 2" xfId="824" xr:uid="{00000000-0005-0000-0000-00007F020000}"/>
    <cellStyle name="40% - Accent4 4 4" xfId="584" xr:uid="{00000000-0005-0000-0000-000080020000}"/>
    <cellStyle name="40% - Accent4 5" xfId="161" xr:uid="{00000000-0005-0000-0000-000081020000}"/>
    <cellStyle name="40% - Accent4 5 2" xfId="403" xr:uid="{00000000-0005-0000-0000-000082020000}"/>
    <cellStyle name="40% - Accent4 5 2 2" xfId="884" xr:uid="{00000000-0005-0000-0000-000083020000}"/>
    <cellStyle name="40% - Accent4 5 3" xfId="644" xr:uid="{00000000-0005-0000-0000-000084020000}"/>
    <cellStyle name="40% - Accent4 6" xfId="282" xr:uid="{00000000-0005-0000-0000-000085020000}"/>
    <cellStyle name="40% - Accent4 6 2" xfId="764" xr:uid="{00000000-0005-0000-0000-000086020000}"/>
    <cellStyle name="40% - Accent4 7" xfId="523" xr:uid="{00000000-0005-0000-0000-000087020000}"/>
    <cellStyle name="40% - Accent5 2" xfId="60" xr:uid="{00000000-0005-0000-0000-000088020000}"/>
    <cellStyle name="40% - Accent5 2 2" xfId="89" xr:uid="{00000000-0005-0000-0000-000089020000}"/>
    <cellStyle name="40% - Accent5 2 2 2" xfId="150" xr:uid="{00000000-0005-0000-0000-00008A020000}"/>
    <cellStyle name="40% - Accent5 2 2 2 2" xfId="271" xr:uid="{00000000-0005-0000-0000-00008B020000}"/>
    <cellStyle name="40% - Accent5 2 2 2 2 2" xfId="512" xr:uid="{00000000-0005-0000-0000-00008C020000}"/>
    <cellStyle name="40% - Accent5 2 2 2 2 2 2" xfId="993" xr:uid="{00000000-0005-0000-0000-00008D020000}"/>
    <cellStyle name="40% - Accent5 2 2 2 2 3" xfId="753" xr:uid="{00000000-0005-0000-0000-00008E020000}"/>
    <cellStyle name="40% - Accent5 2 2 2 3" xfId="392" xr:uid="{00000000-0005-0000-0000-00008F020000}"/>
    <cellStyle name="40% - Accent5 2 2 2 3 2" xfId="873" xr:uid="{00000000-0005-0000-0000-000090020000}"/>
    <cellStyle name="40% - Accent5 2 2 2 4" xfId="633" xr:uid="{00000000-0005-0000-0000-000091020000}"/>
    <cellStyle name="40% - Accent5 2 2 3" xfId="211" xr:uid="{00000000-0005-0000-0000-000092020000}"/>
    <cellStyle name="40% - Accent5 2 2 3 2" xfId="452" xr:uid="{00000000-0005-0000-0000-000093020000}"/>
    <cellStyle name="40% - Accent5 2 2 3 2 2" xfId="933" xr:uid="{00000000-0005-0000-0000-000094020000}"/>
    <cellStyle name="40% - Accent5 2 2 3 3" xfId="693" xr:uid="{00000000-0005-0000-0000-000095020000}"/>
    <cellStyle name="40% - Accent5 2 2 4" xfId="332" xr:uid="{00000000-0005-0000-0000-000096020000}"/>
    <cellStyle name="40% - Accent5 2 2 4 2" xfId="813" xr:uid="{00000000-0005-0000-0000-000097020000}"/>
    <cellStyle name="40% - Accent5 2 2 5" xfId="573" xr:uid="{00000000-0005-0000-0000-000098020000}"/>
    <cellStyle name="40% - Accent5 2 3" xfId="121" xr:uid="{00000000-0005-0000-0000-000099020000}"/>
    <cellStyle name="40% - Accent5 2 3 2" xfId="242" xr:uid="{00000000-0005-0000-0000-00009A020000}"/>
    <cellStyle name="40% - Accent5 2 3 2 2" xfId="483" xr:uid="{00000000-0005-0000-0000-00009B020000}"/>
    <cellStyle name="40% - Accent5 2 3 2 2 2" xfId="964" xr:uid="{00000000-0005-0000-0000-00009C020000}"/>
    <cellStyle name="40% - Accent5 2 3 2 3" xfId="724" xr:uid="{00000000-0005-0000-0000-00009D020000}"/>
    <cellStyle name="40% - Accent5 2 3 3" xfId="363" xr:uid="{00000000-0005-0000-0000-00009E020000}"/>
    <cellStyle name="40% - Accent5 2 3 3 2" xfId="844" xr:uid="{00000000-0005-0000-0000-00009F020000}"/>
    <cellStyle name="40% - Accent5 2 3 4" xfId="604" xr:uid="{00000000-0005-0000-0000-0000A0020000}"/>
    <cellStyle name="40% - Accent5 2 4" xfId="182" xr:uid="{00000000-0005-0000-0000-0000A1020000}"/>
    <cellStyle name="40% - Accent5 2 4 2" xfId="423" xr:uid="{00000000-0005-0000-0000-0000A2020000}"/>
    <cellStyle name="40% - Accent5 2 4 2 2" xfId="904" xr:uid="{00000000-0005-0000-0000-0000A3020000}"/>
    <cellStyle name="40% - Accent5 2 4 3" xfId="664" xr:uid="{00000000-0005-0000-0000-0000A4020000}"/>
    <cellStyle name="40% - Accent5 2 5" xfId="303" xr:uid="{00000000-0005-0000-0000-0000A5020000}"/>
    <cellStyle name="40% - Accent5 2 5 2" xfId="784" xr:uid="{00000000-0005-0000-0000-0000A6020000}"/>
    <cellStyle name="40% - Accent5 2 6" xfId="544" xr:uid="{00000000-0005-0000-0000-0000A7020000}"/>
    <cellStyle name="40% - Accent5 3" xfId="73" xr:uid="{00000000-0005-0000-0000-0000A8020000}"/>
    <cellStyle name="40% - Accent5 3 2" xfId="134" xr:uid="{00000000-0005-0000-0000-0000A9020000}"/>
    <cellStyle name="40% - Accent5 3 2 2" xfId="255" xr:uid="{00000000-0005-0000-0000-0000AA020000}"/>
    <cellStyle name="40% - Accent5 3 2 2 2" xfId="496" xr:uid="{00000000-0005-0000-0000-0000AB020000}"/>
    <cellStyle name="40% - Accent5 3 2 2 2 2" xfId="977" xr:uid="{00000000-0005-0000-0000-0000AC020000}"/>
    <cellStyle name="40% - Accent5 3 2 2 3" xfId="737" xr:uid="{00000000-0005-0000-0000-0000AD020000}"/>
    <cellStyle name="40% - Accent5 3 2 3" xfId="376" xr:uid="{00000000-0005-0000-0000-0000AE020000}"/>
    <cellStyle name="40% - Accent5 3 2 3 2" xfId="857" xr:uid="{00000000-0005-0000-0000-0000AF020000}"/>
    <cellStyle name="40% - Accent5 3 2 4" xfId="617" xr:uid="{00000000-0005-0000-0000-0000B0020000}"/>
    <cellStyle name="40% - Accent5 3 3" xfId="195" xr:uid="{00000000-0005-0000-0000-0000B1020000}"/>
    <cellStyle name="40% - Accent5 3 3 2" xfId="436" xr:uid="{00000000-0005-0000-0000-0000B2020000}"/>
    <cellStyle name="40% - Accent5 3 3 2 2" xfId="917" xr:uid="{00000000-0005-0000-0000-0000B3020000}"/>
    <cellStyle name="40% - Accent5 3 3 3" xfId="677" xr:uid="{00000000-0005-0000-0000-0000B4020000}"/>
    <cellStyle name="40% - Accent5 3 4" xfId="316" xr:uid="{00000000-0005-0000-0000-0000B5020000}"/>
    <cellStyle name="40% - Accent5 3 4 2" xfId="797" xr:uid="{00000000-0005-0000-0000-0000B6020000}"/>
    <cellStyle name="40% - Accent5 3 5" xfId="557" xr:uid="{00000000-0005-0000-0000-0000B7020000}"/>
    <cellStyle name="40% - Accent5 4" xfId="102" xr:uid="{00000000-0005-0000-0000-0000B8020000}"/>
    <cellStyle name="40% - Accent5 4 2" xfId="224" xr:uid="{00000000-0005-0000-0000-0000B9020000}"/>
    <cellStyle name="40% - Accent5 4 2 2" xfId="465" xr:uid="{00000000-0005-0000-0000-0000BA020000}"/>
    <cellStyle name="40% - Accent5 4 2 2 2" xfId="946" xr:uid="{00000000-0005-0000-0000-0000BB020000}"/>
    <cellStyle name="40% - Accent5 4 2 3" xfId="706" xr:uid="{00000000-0005-0000-0000-0000BC020000}"/>
    <cellStyle name="40% - Accent5 4 3" xfId="345" xr:uid="{00000000-0005-0000-0000-0000BD020000}"/>
    <cellStyle name="40% - Accent5 4 3 2" xfId="826" xr:uid="{00000000-0005-0000-0000-0000BE020000}"/>
    <cellStyle name="40% - Accent5 4 4" xfId="586" xr:uid="{00000000-0005-0000-0000-0000BF020000}"/>
    <cellStyle name="40% - Accent5 5" xfId="163" xr:uid="{00000000-0005-0000-0000-0000C0020000}"/>
    <cellStyle name="40% - Accent5 5 2" xfId="405" xr:uid="{00000000-0005-0000-0000-0000C1020000}"/>
    <cellStyle name="40% - Accent5 5 2 2" xfId="886" xr:uid="{00000000-0005-0000-0000-0000C2020000}"/>
    <cellStyle name="40% - Accent5 5 3" xfId="646" xr:uid="{00000000-0005-0000-0000-0000C3020000}"/>
    <cellStyle name="40% - Accent5 6" xfId="284" xr:uid="{00000000-0005-0000-0000-0000C4020000}"/>
    <cellStyle name="40% - Accent5 6 2" xfId="766" xr:uid="{00000000-0005-0000-0000-0000C5020000}"/>
    <cellStyle name="40% - Accent5 7" xfId="525" xr:uid="{00000000-0005-0000-0000-0000C6020000}"/>
    <cellStyle name="40% - Accent6 2" xfId="62" xr:uid="{00000000-0005-0000-0000-0000C7020000}"/>
    <cellStyle name="40% - Accent6 2 2" xfId="91" xr:uid="{00000000-0005-0000-0000-0000C8020000}"/>
    <cellStyle name="40% - Accent6 2 2 2" xfId="152" xr:uid="{00000000-0005-0000-0000-0000C9020000}"/>
    <cellStyle name="40% - Accent6 2 2 2 2" xfId="273" xr:uid="{00000000-0005-0000-0000-0000CA020000}"/>
    <cellStyle name="40% - Accent6 2 2 2 2 2" xfId="514" xr:uid="{00000000-0005-0000-0000-0000CB020000}"/>
    <cellStyle name="40% - Accent6 2 2 2 2 2 2" xfId="995" xr:uid="{00000000-0005-0000-0000-0000CC020000}"/>
    <cellStyle name="40% - Accent6 2 2 2 2 3" xfId="755" xr:uid="{00000000-0005-0000-0000-0000CD020000}"/>
    <cellStyle name="40% - Accent6 2 2 2 3" xfId="394" xr:uid="{00000000-0005-0000-0000-0000CE020000}"/>
    <cellStyle name="40% - Accent6 2 2 2 3 2" xfId="875" xr:uid="{00000000-0005-0000-0000-0000CF020000}"/>
    <cellStyle name="40% - Accent6 2 2 2 4" xfId="635" xr:uid="{00000000-0005-0000-0000-0000D0020000}"/>
    <cellStyle name="40% - Accent6 2 2 3" xfId="213" xr:uid="{00000000-0005-0000-0000-0000D1020000}"/>
    <cellStyle name="40% - Accent6 2 2 3 2" xfId="454" xr:uid="{00000000-0005-0000-0000-0000D2020000}"/>
    <cellStyle name="40% - Accent6 2 2 3 2 2" xfId="935" xr:uid="{00000000-0005-0000-0000-0000D3020000}"/>
    <cellStyle name="40% - Accent6 2 2 3 3" xfId="695" xr:uid="{00000000-0005-0000-0000-0000D4020000}"/>
    <cellStyle name="40% - Accent6 2 2 4" xfId="334" xr:uid="{00000000-0005-0000-0000-0000D5020000}"/>
    <cellStyle name="40% - Accent6 2 2 4 2" xfId="815" xr:uid="{00000000-0005-0000-0000-0000D6020000}"/>
    <cellStyle name="40% - Accent6 2 2 5" xfId="575" xr:uid="{00000000-0005-0000-0000-0000D7020000}"/>
    <cellStyle name="40% - Accent6 2 3" xfId="123" xr:uid="{00000000-0005-0000-0000-0000D8020000}"/>
    <cellStyle name="40% - Accent6 2 3 2" xfId="244" xr:uid="{00000000-0005-0000-0000-0000D9020000}"/>
    <cellStyle name="40% - Accent6 2 3 2 2" xfId="485" xr:uid="{00000000-0005-0000-0000-0000DA020000}"/>
    <cellStyle name="40% - Accent6 2 3 2 2 2" xfId="966" xr:uid="{00000000-0005-0000-0000-0000DB020000}"/>
    <cellStyle name="40% - Accent6 2 3 2 3" xfId="726" xr:uid="{00000000-0005-0000-0000-0000DC020000}"/>
    <cellStyle name="40% - Accent6 2 3 3" xfId="365" xr:uid="{00000000-0005-0000-0000-0000DD020000}"/>
    <cellStyle name="40% - Accent6 2 3 3 2" xfId="846" xr:uid="{00000000-0005-0000-0000-0000DE020000}"/>
    <cellStyle name="40% - Accent6 2 3 4" xfId="606" xr:uid="{00000000-0005-0000-0000-0000DF020000}"/>
    <cellStyle name="40% - Accent6 2 4" xfId="184" xr:uid="{00000000-0005-0000-0000-0000E0020000}"/>
    <cellStyle name="40% - Accent6 2 4 2" xfId="425" xr:uid="{00000000-0005-0000-0000-0000E1020000}"/>
    <cellStyle name="40% - Accent6 2 4 2 2" xfId="906" xr:uid="{00000000-0005-0000-0000-0000E2020000}"/>
    <cellStyle name="40% - Accent6 2 4 3" xfId="666" xr:uid="{00000000-0005-0000-0000-0000E3020000}"/>
    <cellStyle name="40% - Accent6 2 5" xfId="305" xr:uid="{00000000-0005-0000-0000-0000E4020000}"/>
    <cellStyle name="40% - Accent6 2 5 2" xfId="786" xr:uid="{00000000-0005-0000-0000-0000E5020000}"/>
    <cellStyle name="40% - Accent6 2 6" xfId="546" xr:uid="{00000000-0005-0000-0000-0000E6020000}"/>
    <cellStyle name="40% - Accent6 3" xfId="75" xr:uid="{00000000-0005-0000-0000-0000E7020000}"/>
    <cellStyle name="40% - Accent6 3 2" xfId="136" xr:uid="{00000000-0005-0000-0000-0000E8020000}"/>
    <cellStyle name="40% - Accent6 3 2 2" xfId="257" xr:uid="{00000000-0005-0000-0000-0000E9020000}"/>
    <cellStyle name="40% - Accent6 3 2 2 2" xfId="498" xr:uid="{00000000-0005-0000-0000-0000EA020000}"/>
    <cellStyle name="40% - Accent6 3 2 2 2 2" xfId="979" xr:uid="{00000000-0005-0000-0000-0000EB020000}"/>
    <cellStyle name="40% - Accent6 3 2 2 3" xfId="739" xr:uid="{00000000-0005-0000-0000-0000EC020000}"/>
    <cellStyle name="40% - Accent6 3 2 3" xfId="378" xr:uid="{00000000-0005-0000-0000-0000ED020000}"/>
    <cellStyle name="40% - Accent6 3 2 3 2" xfId="859" xr:uid="{00000000-0005-0000-0000-0000EE020000}"/>
    <cellStyle name="40% - Accent6 3 2 4" xfId="619" xr:uid="{00000000-0005-0000-0000-0000EF020000}"/>
    <cellStyle name="40% - Accent6 3 3" xfId="197" xr:uid="{00000000-0005-0000-0000-0000F0020000}"/>
    <cellStyle name="40% - Accent6 3 3 2" xfId="438" xr:uid="{00000000-0005-0000-0000-0000F1020000}"/>
    <cellStyle name="40% - Accent6 3 3 2 2" xfId="919" xr:uid="{00000000-0005-0000-0000-0000F2020000}"/>
    <cellStyle name="40% - Accent6 3 3 3" xfId="679" xr:uid="{00000000-0005-0000-0000-0000F3020000}"/>
    <cellStyle name="40% - Accent6 3 4" xfId="318" xr:uid="{00000000-0005-0000-0000-0000F4020000}"/>
    <cellStyle name="40% - Accent6 3 4 2" xfId="799" xr:uid="{00000000-0005-0000-0000-0000F5020000}"/>
    <cellStyle name="40% - Accent6 3 5" xfId="559" xr:uid="{00000000-0005-0000-0000-0000F6020000}"/>
    <cellStyle name="40% - Accent6 4" xfId="104" xr:uid="{00000000-0005-0000-0000-0000F7020000}"/>
    <cellStyle name="40% - Accent6 4 2" xfId="226" xr:uid="{00000000-0005-0000-0000-0000F8020000}"/>
    <cellStyle name="40% - Accent6 4 2 2" xfId="467" xr:uid="{00000000-0005-0000-0000-0000F9020000}"/>
    <cellStyle name="40% - Accent6 4 2 2 2" xfId="948" xr:uid="{00000000-0005-0000-0000-0000FA020000}"/>
    <cellStyle name="40% - Accent6 4 2 3" xfId="708" xr:uid="{00000000-0005-0000-0000-0000FB020000}"/>
    <cellStyle name="40% - Accent6 4 3" xfId="347" xr:uid="{00000000-0005-0000-0000-0000FC020000}"/>
    <cellStyle name="40% - Accent6 4 3 2" xfId="828" xr:uid="{00000000-0005-0000-0000-0000FD020000}"/>
    <cellStyle name="40% - Accent6 4 4" xfId="588" xr:uid="{00000000-0005-0000-0000-0000FE020000}"/>
    <cellStyle name="40% - Accent6 5" xfId="165" xr:uid="{00000000-0005-0000-0000-0000FF020000}"/>
    <cellStyle name="40% - Accent6 5 2" xfId="407" xr:uid="{00000000-0005-0000-0000-000000030000}"/>
    <cellStyle name="40% - Accent6 5 2 2" xfId="888" xr:uid="{00000000-0005-0000-0000-000001030000}"/>
    <cellStyle name="40% - Accent6 5 3" xfId="648" xr:uid="{00000000-0005-0000-0000-000002030000}"/>
    <cellStyle name="40% - Accent6 6" xfId="286" xr:uid="{00000000-0005-0000-0000-000003030000}"/>
    <cellStyle name="40% - Accent6 6 2" xfId="768" xr:uid="{00000000-0005-0000-0000-000004030000}"/>
    <cellStyle name="40% - Accent6 7" xfId="527" xr:uid="{00000000-0005-0000-0000-000005030000}"/>
    <cellStyle name="Açıklama Metni" xfId="18" builtinId="53" customBuiltin="1"/>
    <cellStyle name="Ana Başlık" xfId="4" builtinId="15" customBuiltin="1"/>
    <cellStyle name="Bağlı Hücre" xfId="15" builtinId="24" customBuiltin="1"/>
    <cellStyle name="Başlık 1" xfId="5" builtinId="16" customBuiltin="1"/>
    <cellStyle name="Başlık 2" xfId="6" builtinId="17" customBuiltin="1"/>
    <cellStyle name="Başlık 3" xfId="7" builtinId="18" customBuiltin="1"/>
    <cellStyle name="Başlık 4" xfId="8" builtinId="19" customBuiltin="1"/>
    <cellStyle name="Çıkış" xfId="13" builtinId="21" customBuiltin="1"/>
    <cellStyle name="Giriş" xfId="12" builtinId="20" customBuiltin="1"/>
    <cellStyle name="Hesaplama" xfId="14" builtinId="22" customBuiltin="1"/>
    <cellStyle name="İşaretli Hücre" xfId="16" builtinId="23" customBuiltin="1"/>
    <cellStyle name="İyi" xfId="9" builtinId="26" customBuiltin="1"/>
    <cellStyle name="Köprü" xfId="1" builtinId="8"/>
    <cellStyle name="Kötü" xfId="10" builtinId="27" customBuiltin="1"/>
    <cellStyle name="Normal" xfId="0" builtinId="0"/>
    <cellStyle name="Normal 10" xfId="287" xr:uid="{00000000-0005-0000-0000-000015030000}"/>
    <cellStyle name="Normal 11" xfId="274" xr:uid="{00000000-0005-0000-0000-000016030000}"/>
    <cellStyle name="Normal 11 2" xfId="756" xr:uid="{00000000-0005-0000-0000-000017030000}"/>
    <cellStyle name="Normal 12" xfId="528" xr:uid="{00000000-0005-0000-0000-000018030000}"/>
    <cellStyle name="Normal 13" xfId="515" xr:uid="{00000000-0005-0000-0000-000019030000}"/>
    <cellStyle name="Normal 2" xfId="46" xr:uid="{00000000-0005-0000-0000-00001A030000}"/>
    <cellStyle name="Normal 3" xfId="47" xr:uid="{00000000-0005-0000-0000-00001B030000}"/>
    <cellStyle name="Normal 3 2" xfId="3" xr:uid="{00000000-0005-0000-0000-00001C030000}"/>
    <cellStyle name="Normal 3 2 2" xfId="45" xr:uid="{00000000-0005-0000-0000-00001D030000}"/>
    <cellStyle name="Normal 3 2 2 2" xfId="107" xr:uid="{00000000-0005-0000-0000-00001E030000}"/>
    <cellStyle name="Normal 3 2 2 2 2" xfId="228" xr:uid="{00000000-0005-0000-0000-00001F030000}"/>
    <cellStyle name="Normal 3 2 2 2 2 2" xfId="469" xr:uid="{00000000-0005-0000-0000-000020030000}"/>
    <cellStyle name="Normal 3 2 2 2 2 2 2" xfId="950" xr:uid="{00000000-0005-0000-0000-000021030000}"/>
    <cellStyle name="Normal 3 2 2 2 2 3" xfId="710" xr:uid="{00000000-0005-0000-0000-000022030000}"/>
    <cellStyle name="Normal 3 2 2 2 3" xfId="349" xr:uid="{00000000-0005-0000-0000-000023030000}"/>
    <cellStyle name="Normal 3 2 2 2 3 2" xfId="830" xr:uid="{00000000-0005-0000-0000-000024030000}"/>
    <cellStyle name="Normal 3 2 2 2 4" xfId="590" xr:uid="{00000000-0005-0000-0000-000025030000}"/>
    <cellStyle name="Normal 3 2 2 3" xfId="168" xr:uid="{00000000-0005-0000-0000-000026030000}"/>
    <cellStyle name="Normal 3 2 2 3 2" xfId="409" xr:uid="{00000000-0005-0000-0000-000027030000}"/>
    <cellStyle name="Normal 3 2 2 3 2 2" xfId="890" xr:uid="{00000000-0005-0000-0000-000028030000}"/>
    <cellStyle name="Normal 3 2 2 3 3" xfId="650" xr:uid="{00000000-0005-0000-0000-000029030000}"/>
    <cellStyle name="Normal 3 2 2 4" xfId="289" xr:uid="{00000000-0005-0000-0000-00002A030000}"/>
    <cellStyle name="Normal 3 2 2 4 2" xfId="770" xr:uid="{00000000-0005-0000-0000-00002B030000}"/>
    <cellStyle name="Normal 3 2 2 5" xfId="530" xr:uid="{00000000-0005-0000-0000-00002C030000}"/>
    <cellStyle name="Normal 3 2 3" xfId="63" xr:uid="{00000000-0005-0000-0000-00002D030000}"/>
    <cellStyle name="Normal 3 2 3 2" xfId="124" xr:uid="{00000000-0005-0000-0000-00002E030000}"/>
    <cellStyle name="Normal 3 2 3 2 2" xfId="245" xr:uid="{00000000-0005-0000-0000-00002F030000}"/>
    <cellStyle name="Normal 3 2 3 2 2 2" xfId="486" xr:uid="{00000000-0005-0000-0000-000030030000}"/>
    <cellStyle name="Normal 3 2 3 2 2 2 2" xfId="967" xr:uid="{00000000-0005-0000-0000-000031030000}"/>
    <cellStyle name="Normal 3 2 3 2 2 3" xfId="727" xr:uid="{00000000-0005-0000-0000-000032030000}"/>
    <cellStyle name="Normal 3 2 3 2 3" xfId="366" xr:uid="{00000000-0005-0000-0000-000033030000}"/>
    <cellStyle name="Normal 3 2 3 2 3 2" xfId="847" xr:uid="{00000000-0005-0000-0000-000034030000}"/>
    <cellStyle name="Normal 3 2 3 2 4" xfId="607" xr:uid="{00000000-0005-0000-0000-000035030000}"/>
    <cellStyle name="Normal 3 2 3 3" xfId="185" xr:uid="{00000000-0005-0000-0000-000036030000}"/>
    <cellStyle name="Normal 3 2 3 3 2" xfId="426" xr:uid="{00000000-0005-0000-0000-000037030000}"/>
    <cellStyle name="Normal 3 2 3 3 2 2" xfId="907" xr:uid="{00000000-0005-0000-0000-000038030000}"/>
    <cellStyle name="Normal 3 2 3 3 3" xfId="667" xr:uid="{00000000-0005-0000-0000-000039030000}"/>
    <cellStyle name="Normal 3 2 3 4" xfId="306" xr:uid="{00000000-0005-0000-0000-00003A030000}"/>
    <cellStyle name="Normal 3 2 3 4 2" xfId="787" xr:uid="{00000000-0005-0000-0000-00003B030000}"/>
    <cellStyle name="Normal 3 2 3 5" xfId="547" xr:uid="{00000000-0005-0000-0000-00003C030000}"/>
    <cellStyle name="Normal 3 2 4" xfId="106" xr:uid="{00000000-0005-0000-0000-00003D030000}"/>
    <cellStyle name="Normal 3 2 4 2" xfId="227" xr:uid="{00000000-0005-0000-0000-00003E030000}"/>
    <cellStyle name="Normal 3 2 4 2 2" xfId="468" xr:uid="{00000000-0005-0000-0000-00003F030000}"/>
    <cellStyle name="Normal 3 2 4 2 2 2" xfId="949" xr:uid="{00000000-0005-0000-0000-000040030000}"/>
    <cellStyle name="Normal 3 2 4 2 3" xfId="709" xr:uid="{00000000-0005-0000-0000-000041030000}"/>
    <cellStyle name="Normal 3 2 4 3" xfId="348" xr:uid="{00000000-0005-0000-0000-000042030000}"/>
    <cellStyle name="Normal 3 2 4 3 2" xfId="829" xr:uid="{00000000-0005-0000-0000-000043030000}"/>
    <cellStyle name="Normal 3 2 4 4" xfId="589" xr:uid="{00000000-0005-0000-0000-000044030000}"/>
    <cellStyle name="Normal 3 2 5" xfId="167" xr:uid="{00000000-0005-0000-0000-000045030000}"/>
    <cellStyle name="Normal 3 2 5 2" xfId="408" xr:uid="{00000000-0005-0000-0000-000046030000}"/>
    <cellStyle name="Normal 3 2 5 2 2" xfId="889" xr:uid="{00000000-0005-0000-0000-000047030000}"/>
    <cellStyle name="Normal 3 2 5 3" xfId="649" xr:uid="{00000000-0005-0000-0000-000048030000}"/>
    <cellStyle name="Normal 3 2 6" xfId="288" xr:uid="{00000000-0005-0000-0000-000049030000}"/>
    <cellStyle name="Normal 3 2 6 2" xfId="769" xr:uid="{00000000-0005-0000-0000-00004A030000}"/>
    <cellStyle name="Normal 3 2 7" xfId="529" xr:uid="{00000000-0005-0000-0000-00004B030000}"/>
    <cellStyle name="Normal 3 3" xfId="76" xr:uid="{00000000-0005-0000-0000-00004C030000}"/>
    <cellStyle name="Normal 3 3 2" xfId="137" xr:uid="{00000000-0005-0000-0000-00004D030000}"/>
    <cellStyle name="Normal 3 3 2 2" xfId="258" xr:uid="{00000000-0005-0000-0000-00004E030000}"/>
    <cellStyle name="Normal 3 3 2 2 2" xfId="499" xr:uid="{00000000-0005-0000-0000-00004F030000}"/>
    <cellStyle name="Normal 3 3 2 2 2 2" xfId="980" xr:uid="{00000000-0005-0000-0000-000050030000}"/>
    <cellStyle name="Normal 3 3 2 2 3" xfId="740" xr:uid="{00000000-0005-0000-0000-000051030000}"/>
    <cellStyle name="Normal 3 3 2 3" xfId="379" xr:uid="{00000000-0005-0000-0000-000052030000}"/>
    <cellStyle name="Normal 3 3 2 3 2" xfId="860" xr:uid="{00000000-0005-0000-0000-000053030000}"/>
    <cellStyle name="Normal 3 3 2 4" xfId="620" xr:uid="{00000000-0005-0000-0000-000054030000}"/>
    <cellStyle name="Normal 3 3 3" xfId="198" xr:uid="{00000000-0005-0000-0000-000055030000}"/>
    <cellStyle name="Normal 3 3 3 2" xfId="439" xr:uid="{00000000-0005-0000-0000-000056030000}"/>
    <cellStyle name="Normal 3 3 3 2 2" xfId="920" xr:uid="{00000000-0005-0000-0000-000057030000}"/>
    <cellStyle name="Normal 3 3 3 3" xfId="680" xr:uid="{00000000-0005-0000-0000-000058030000}"/>
    <cellStyle name="Normal 3 3 4" xfId="319" xr:uid="{00000000-0005-0000-0000-000059030000}"/>
    <cellStyle name="Normal 3 3 4 2" xfId="800" xr:uid="{00000000-0005-0000-0000-00005A030000}"/>
    <cellStyle name="Normal 3 3 5" xfId="560" xr:uid="{00000000-0005-0000-0000-00005B030000}"/>
    <cellStyle name="Normal 3 4" xfId="108" xr:uid="{00000000-0005-0000-0000-00005C030000}"/>
    <cellStyle name="Normal 3 4 2" xfId="229" xr:uid="{00000000-0005-0000-0000-00005D030000}"/>
    <cellStyle name="Normal 3 4 2 2" xfId="470" xr:uid="{00000000-0005-0000-0000-00005E030000}"/>
    <cellStyle name="Normal 3 4 2 2 2" xfId="951" xr:uid="{00000000-0005-0000-0000-00005F030000}"/>
    <cellStyle name="Normal 3 4 2 3" xfId="711" xr:uid="{00000000-0005-0000-0000-000060030000}"/>
    <cellStyle name="Normal 3 4 3" xfId="350" xr:uid="{00000000-0005-0000-0000-000061030000}"/>
    <cellStyle name="Normal 3 4 3 2" xfId="831" xr:uid="{00000000-0005-0000-0000-000062030000}"/>
    <cellStyle name="Normal 3 4 4" xfId="591" xr:uid="{00000000-0005-0000-0000-000063030000}"/>
    <cellStyle name="Normal 3 5" xfId="169" xr:uid="{00000000-0005-0000-0000-000064030000}"/>
    <cellStyle name="Normal 3 5 2" xfId="410" xr:uid="{00000000-0005-0000-0000-000065030000}"/>
    <cellStyle name="Normal 3 5 2 2" xfId="891" xr:uid="{00000000-0005-0000-0000-000066030000}"/>
    <cellStyle name="Normal 3 5 3" xfId="651" xr:uid="{00000000-0005-0000-0000-000067030000}"/>
    <cellStyle name="Normal 3 6" xfId="290" xr:uid="{00000000-0005-0000-0000-000068030000}"/>
    <cellStyle name="Normal 3 6 2" xfId="771" xr:uid="{00000000-0005-0000-0000-000069030000}"/>
    <cellStyle name="Normal 3 7" xfId="531" xr:uid="{00000000-0005-0000-0000-00006A030000}"/>
    <cellStyle name="Normal 4" xfId="49" xr:uid="{00000000-0005-0000-0000-00006B030000}"/>
    <cellStyle name="Normal 4 2" xfId="78" xr:uid="{00000000-0005-0000-0000-00006C030000}"/>
    <cellStyle name="Normal 4 2 2" xfId="139" xr:uid="{00000000-0005-0000-0000-00006D030000}"/>
    <cellStyle name="Normal 4 2 2 2" xfId="260" xr:uid="{00000000-0005-0000-0000-00006E030000}"/>
    <cellStyle name="Normal 4 2 2 2 2" xfId="501" xr:uid="{00000000-0005-0000-0000-00006F030000}"/>
    <cellStyle name="Normal 4 2 2 2 2 2" xfId="982" xr:uid="{00000000-0005-0000-0000-000070030000}"/>
    <cellStyle name="Normal 4 2 2 2 3" xfId="742" xr:uid="{00000000-0005-0000-0000-000071030000}"/>
    <cellStyle name="Normal 4 2 2 3" xfId="381" xr:uid="{00000000-0005-0000-0000-000072030000}"/>
    <cellStyle name="Normal 4 2 2 3 2" xfId="862" xr:uid="{00000000-0005-0000-0000-000073030000}"/>
    <cellStyle name="Normal 4 2 2 4" xfId="622" xr:uid="{00000000-0005-0000-0000-000074030000}"/>
    <cellStyle name="Normal 4 2 3" xfId="200" xr:uid="{00000000-0005-0000-0000-000075030000}"/>
    <cellStyle name="Normal 4 2 3 2" xfId="441" xr:uid="{00000000-0005-0000-0000-000076030000}"/>
    <cellStyle name="Normal 4 2 3 2 2" xfId="922" xr:uid="{00000000-0005-0000-0000-000077030000}"/>
    <cellStyle name="Normal 4 2 3 3" xfId="682" xr:uid="{00000000-0005-0000-0000-000078030000}"/>
    <cellStyle name="Normal 4 2 4" xfId="321" xr:uid="{00000000-0005-0000-0000-000079030000}"/>
    <cellStyle name="Normal 4 2 4 2" xfId="802" xr:uid="{00000000-0005-0000-0000-00007A030000}"/>
    <cellStyle name="Normal 4 2 5" xfId="562" xr:uid="{00000000-0005-0000-0000-00007B030000}"/>
    <cellStyle name="Normal 4 3" xfId="110" xr:uid="{00000000-0005-0000-0000-00007C030000}"/>
    <cellStyle name="Normal 4 3 2" xfId="231" xr:uid="{00000000-0005-0000-0000-00007D030000}"/>
    <cellStyle name="Normal 4 3 2 2" xfId="472" xr:uid="{00000000-0005-0000-0000-00007E030000}"/>
    <cellStyle name="Normal 4 3 2 2 2" xfId="953" xr:uid="{00000000-0005-0000-0000-00007F030000}"/>
    <cellStyle name="Normal 4 3 2 3" xfId="713" xr:uid="{00000000-0005-0000-0000-000080030000}"/>
    <cellStyle name="Normal 4 3 3" xfId="352" xr:uid="{00000000-0005-0000-0000-000081030000}"/>
    <cellStyle name="Normal 4 3 3 2" xfId="833" xr:uid="{00000000-0005-0000-0000-000082030000}"/>
    <cellStyle name="Normal 4 3 4" xfId="593" xr:uid="{00000000-0005-0000-0000-000083030000}"/>
    <cellStyle name="Normal 4 4" xfId="171" xr:uid="{00000000-0005-0000-0000-000084030000}"/>
    <cellStyle name="Normal 4 4 2" xfId="412" xr:uid="{00000000-0005-0000-0000-000085030000}"/>
    <cellStyle name="Normal 4 4 2 2" xfId="893" xr:uid="{00000000-0005-0000-0000-000086030000}"/>
    <cellStyle name="Normal 4 4 3" xfId="653" xr:uid="{00000000-0005-0000-0000-000087030000}"/>
    <cellStyle name="Normal 4 5" xfId="292" xr:uid="{00000000-0005-0000-0000-000088030000}"/>
    <cellStyle name="Normal 4 5 2" xfId="773" xr:uid="{00000000-0005-0000-0000-000089030000}"/>
    <cellStyle name="Normal 4 6" xfId="533" xr:uid="{00000000-0005-0000-0000-00008A030000}"/>
    <cellStyle name="Normal 5" xfId="44" xr:uid="{00000000-0005-0000-0000-00008B030000}"/>
    <cellStyle name="Normal 6" xfId="105" xr:uid="{00000000-0005-0000-0000-00008C030000}"/>
    <cellStyle name="Normal 7" xfId="92" xr:uid="{00000000-0005-0000-0000-00008D030000}"/>
    <cellStyle name="Normal 7 2" xfId="214" xr:uid="{00000000-0005-0000-0000-00008E030000}"/>
    <cellStyle name="Normal 7 2 2" xfId="455" xr:uid="{00000000-0005-0000-0000-00008F030000}"/>
    <cellStyle name="Normal 7 2 2 2" xfId="936" xr:uid="{00000000-0005-0000-0000-000090030000}"/>
    <cellStyle name="Normal 7 2 3" xfId="696" xr:uid="{00000000-0005-0000-0000-000091030000}"/>
    <cellStyle name="Normal 7 3" xfId="335" xr:uid="{00000000-0005-0000-0000-000092030000}"/>
    <cellStyle name="Normal 7 3 2" xfId="816" xr:uid="{00000000-0005-0000-0000-000093030000}"/>
    <cellStyle name="Normal 7 4" xfId="576" xr:uid="{00000000-0005-0000-0000-000094030000}"/>
    <cellStyle name="Normal 8" xfId="166" xr:uid="{00000000-0005-0000-0000-000095030000}"/>
    <cellStyle name="Normal 9" xfId="153" xr:uid="{00000000-0005-0000-0000-000096030000}"/>
    <cellStyle name="Normal 9 2" xfId="395" xr:uid="{00000000-0005-0000-0000-000097030000}"/>
    <cellStyle name="Normal 9 2 2" xfId="876" xr:uid="{00000000-0005-0000-0000-000098030000}"/>
    <cellStyle name="Normal 9 3" xfId="636" xr:uid="{00000000-0005-0000-0000-000099030000}"/>
    <cellStyle name="Normal_BarLoader" xfId="2" xr:uid="{00000000-0005-0000-0000-00009A030000}"/>
    <cellStyle name="Note 2" xfId="48" xr:uid="{00000000-0005-0000-0000-00009B030000}"/>
    <cellStyle name="Note 2 2" xfId="77" xr:uid="{00000000-0005-0000-0000-00009C030000}"/>
    <cellStyle name="Note 2 2 2" xfId="138" xr:uid="{00000000-0005-0000-0000-00009D030000}"/>
    <cellStyle name="Note 2 2 2 2" xfId="259" xr:uid="{00000000-0005-0000-0000-00009E030000}"/>
    <cellStyle name="Note 2 2 2 2 2" xfId="500" xr:uid="{00000000-0005-0000-0000-00009F030000}"/>
    <cellStyle name="Note 2 2 2 2 2 2" xfId="981" xr:uid="{00000000-0005-0000-0000-0000A0030000}"/>
    <cellStyle name="Note 2 2 2 2 3" xfId="741" xr:uid="{00000000-0005-0000-0000-0000A1030000}"/>
    <cellStyle name="Note 2 2 2 3" xfId="380" xr:uid="{00000000-0005-0000-0000-0000A2030000}"/>
    <cellStyle name="Note 2 2 2 3 2" xfId="861" xr:uid="{00000000-0005-0000-0000-0000A3030000}"/>
    <cellStyle name="Note 2 2 2 4" xfId="621" xr:uid="{00000000-0005-0000-0000-0000A4030000}"/>
    <cellStyle name="Note 2 2 3" xfId="199" xr:uid="{00000000-0005-0000-0000-0000A5030000}"/>
    <cellStyle name="Note 2 2 3 2" xfId="440" xr:uid="{00000000-0005-0000-0000-0000A6030000}"/>
    <cellStyle name="Note 2 2 3 2 2" xfId="921" xr:uid="{00000000-0005-0000-0000-0000A7030000}"/>
    <cellStyle name="Note 2 2 3 3" xfId="681" xr:uid="{00000000-0005-0000-0000-0000A8030000}"/>
    <cellStyle name="Note 2 2 4" xfId="320" xr:uid="{00000000-0005-0000-0000-0000A9030000}"/>
    <cellStyle name="Note 2 2 4 2" xfId="801" xr:uid="{00000000-0005-0000-0000-0000AA030000}"/>
    <cellStyle name="Note 2 2 5" xfId="561" xr:uid="{00000000-0005-0000-0000-0000AB030000}"/>
    <cellStyle name="Note 2 3" xfId="109" xr:uid="{00000000-0005-0000-0000-0000AC030000}"/>
    <cellStyle name="Note 2 3 2" xfId="230" xr:uid="{00000000-0005-0000-0000-0000AD030000}"/>
    <cellStyle name="Note 2 3 2 2" xfId="471" xr:uid="{00000000-0005-0000-0000-0000AE030000}"/>
    <cellStyle name="Note 2 3 2 2 2" xfId="952" xr:uid="{00000000-0005-0000-0000-0000AF030000}"/>
    <cellStyle name="Note 2 3 2 3" xfId="712" xr:uid="{00000000-0005-0000-0000-0000B0030000}"/>
    <cellStyle name="Note 2 3 3" xfId="351" xr:uid="{00000000-0005-0000-0000-0000B1030000}"/>
    <cellStyle name="Note 2 3 3 2" xfId="832" xr:uid="{00000000-0005-0000-0000-0000B2030000}"/>
    <cellStyle name="Note 2 3 4" xfId="592" xr:uid="{00000000-0005-0000-0000-0000B3030000}"/>
    <cellStyle name="Note 2 4" xfId="170" xr:uid="{00000000-0005-0000-0000-0000B4030000}"/>
    <cellStyle name="Note 2 4 2" xfId="411" xr:uid="{00000000-0005-0000-0000-0000B5030000}"/>
    <cellStyle name="Note 2 4 2 2" xfId="892" xr:uid="{00000000-0005-0000-0000-0000B6030000}"/>
    <cellStyle name="Note 2 4 3" xfId="652" xr:uid="{00000000-0005-0000-0000-0000B7030000}"/>
    <cellStyle name="Note 2 5" xfId="291" xr:uid="{00000000-0005-0000-0000-0000B8030000}"/>
    <cellStyle name="Note 2 5 2" xfId="772" xr:uid="{00000000-0005-0000-0000-0000B9030000}"/>
    <cellStyle name="Note 2 6" xfId="532" xr:uid="{00000000-0005-0000-0000-0000BA030000}"/>
    <cellStyle name="Note 3" xfId="50" xr:uid="{00000000-0005-0000-0000-0000BB030000}"/>
    <cellStyle name="Note 3 2" xfId="79" xr:uid="{00000000-0005-0000-0000-0000BC030000}"/>
    <cellStyle name="Note 3 2 2" xfId="140" xr:uid="{00000000-0005-0000-0000-0000BD030000}"/>
    <cellStyle name="Note 3 2 2 2" xfId="261" xr:uid="{00000000-0005-0000-0000-0000BE030000}"/>
    <cellStyle name="Note 3 2 2 2 2" xfId="502" xr:uid="{00000000-0005-0000-0000-0000BF030000}"/>
    <cellStyle name="Note 3 2 2 2 2 2" xfId="983" xr:uid="{00000000-0005-0000-0000-0000C0030000}"/>
    <cellStyle name="Note 3 2 2 2 3" xfId="743" xr:uid="{00000000-0005-0000-0000-0000C1030000}"/>
    <cellStyle name="Note 3 2 2 3" xfId="382" xr:uid="{00000000-0005-0000-0000-0000C2030000}"/>
    <cellStyle name="Note 3 2 2 3 2" xfId="863" xr:uid="{00000000-0005-0000-0000-0000C3030000}"/>
    <cellStyle name="Note 3 2 2 4" xfId="623" xr:uid="{00000000-0005-0000-0000-0000C4030000}"/>
    <cellStyle name="Note 3 2 3" xfId="201" xr:uid="{00000000-0005-0000-0000-0000C5030000}"/>
    <cellStyle name="Note 3 2 3 2" xfId="442" xr:uid="{00000000-0005-0000-0000-0000C6030000}"/>
    <cellStyle name="Note 3 2 3 2 2" xfId="923" xr:uid="{00000000-0005-0000-0000-0000C7030000}"/>
    <cellStyle name="Note 3 2 3 3" xfId="683" xr:uid="{00000000-0005-0000-0000-0000C8030000}"/>
    <cellStyle name="Note 3 2 4" xfId="322" xr:uid="{00000000-0005-0000-0000-0000C9030000}"/>
    <cellStyle name="Note 3 2 4 2" xfId="803" xr:uid="{00000000-0005-0000-0000-0000CA030000}"/>
    <cellStyle name="Note 3 2 5" xfId="563" xr:uid="{00000000-0005-0000-0000-0000CB030000}"/>
    <cellStyle name="Note 3 3" xfId="111" xr:uid="{00000000-0005-0000-0000-0000CC030000}"/>
    <cellStyle name="Note 3 3 2" xfId="232" xr:uid="{00000000-0005-0000-0000-0000CD030000}"/>
    <cellStyle name="Note 3 3 2 2" xfId="473" xr:uid="{00000000-0005-0000-0000-0000CE030000}"/>
    <cellStyle name="Note 3 3 2 2 2" xfId="954" xr:uid="{00000000-0005-0000-0000-0000CF030000}"/>
    <cellStyle name="Note 3 3 2 3" xfId="714" xr:uid="{00000000-0005-0000-0000-0000D0030000}"/>
    <cellStyle name="Note 3 3 3" xfId="353" xr:uid="{00000000-0005-0000-0000-0000D1030000}"/>
    <cellStyle name="Note 3 3 3 2" xfId="834" xr:uid="{00000000-0005-0000-0000-0000D2030000}"/>
    <cellStyle name="Note 3 3 4" xfId="594" xr:uid="{00000000-0005-0000-0000-0000D3030000}"/>
    <cellStyle name="Note 3 4" xfId="172" xr:uid="{00000000-0005-0000-0000-0000D4030000}"/>
    <cellStyle name="Note 3 4 2" xfId="413" xr:uid="{00000000-0005-0000-0000-0000D5030000}"/>
    <cellStyle name="Note 3 4 2 2" xfId="894" xr:uid="{00000000-0005-0000-0000-0000D6030000}"/>
    <cellStyle name="Note 3 4 3" xfId="654" xr:uid="{00000000-0005-0000-0000-0000D7030000}"/>
    <cellStyle name="Note 3 5" xfId="293" xr:uid="{00000000-0005-0000-0000-0000D8030000}"/>
    <cellStyle name="Note 3 5 2" xfId="774" xr:uid="{00000000-0005-0000-0000-0000D9030000}"/>
    <cellStyle name="Note 3 6" xfId="534" xr:uid="{00000000-0005-0000-0000-0000DA030000}"/>
    <cellStyle name="Nötr" xfId="11" builtinId="28" customBuiltin="1"/>
    <cellStyle name="Toplam" xfId="19" builtinId="25" customBuiltin="1"/>
    <cellStyle name="Uyarı Metni" xfId="17" builtinId="11" customBuiltin="1"/>
    <cellStyle name="Vurgu1" xfId="20" builtinId="29" customBuiltin="1"/>
    <cellStyle name="Vurgu2" xfId="24" builtinId="33" customBuiltin="1"/>
    <cellStyle name="Vurgu3" xfId="28" builtinId="37" customBuiltin="1"/>
    <cellStyle name="Vurgu4" xfId="32" builtinId="41" customBuiltin="1"/>
    <cellStyle name="Vurgu5" xfId="36" builtinId="45" customBuiltin="1"/>
    <cellStyle name="Vurgu6" xfId="40" builtinId="49" customBuiltin="1"/>
  </cellStyles>
  <dxfs count="154"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ont>
        <strike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11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6952028426643E-2"/>
          <c:y val="4.8192550941851743E-2"/>
          <c:w val="0.86732025657671752"/>
          <c:h val="0.90249817133514043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E-4779-B40D-EF3B294D667B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FE-4779-B40D-EF3B294D667B}"/>
            </c:ext>
          </c:extLst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E-4779-B40D-EF3B294D667B}"/>
            </c:ext>
          </c:extLst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E-4779-B40D-EF3B294D667B}"/>
            </c:ext>
          </c:extLst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FE-4779-B40D-EF3B294D667B}"/>
            </c:ext>
          </c:extLst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FE-4779-B40D-EF3B294D667B}"/>
            </c:ext>
          </c:extLst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FE-4779-B40D-EF3B294D667B}"/>
            </c:ext>
          </c:extLst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E-4779-B40D-EF3B294D667B}"/>
            </c:ext>
          </c:extLst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FE-4779-B40D-EF3B294D667B}"/>
            </c:ext>
          </c:extLst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FE-4779-B40D-EF3B294D667B}"/>
            </c:ext>
          </c:extLst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FE-4779-B40D-EF3B294D667B}"/>
            </c:ext>
          </c:extLst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FE-4779-B40D-EF3B294D667B}"/>
            </c:ext>
          </c:extLst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CFE-4779-B40D-EF3B294D667B}"/>
            </c:ext>
          </c:extLst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CFE-4779-B40D-EF3B294D667B}"/>
            </c:ext>
          </c:extLst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CFE-4779-B40D-EF3B294D667B}"/>
            </c:ext>
          </c:extLst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CFE-4779-B40D-EF3B294D667B}"/>
            </c:ext>
          </c:extLst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FE-4779-B40D-EF3B294D667B}"/>
            </c:ext>
          </c:extLst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CFE-4779-B40D-EF3B294D667B}"/>
            </c:ext>
          </c:extLst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CFE-4779-B40D-EF3B294D667B}"/>
            </c:ext>
          </c:extLst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CFE-4779-B40D-EF3B294D667B}"/>
            </c:ext>
          </c:extLst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CFE-4779-B40D-EF3B294D667B}"/>
            </c:ext>
          </c:extLst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FE-4779-B40D-EF3B294D667B}"/>
            </c:ext>
          </c:extLst>
        </c:ser>
        <c:ser>
          <c:idx val="11"/>
          <c:order val="22"/>
          <c:spPr>
            <a:blipFill dpi="0" rotWithShape="0">
              <a:blip xmlns:r="http://schemas.openxmlformats.org/officeDocument/2006/relationships" r:embed="rId2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Setup!#REF!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4CFE-4779-B40D-EF3B294D6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3490816"/>
        <c:axId val="163504896"/>
      </c:barChart>
      <c:catAx>
        <c:axId val="163490816"/>
        <c:scaling>
          <c:orientation val="minMax"/>
        </c:scaling>
        <c:delete val="1"/>
        <c:axPos val="l"/>
        <c:majorTickMark val="out"/>
        <c:minorTickMark val="none"/>
        <c:tickLblPos val="none"/>
        <c:crossAx val="163504896"/>
        <c:crosses val="autoZero"/>
        <c:auto val="1"/>
        <c:lblAlgn val="ctr"/>
        <c:lblOffset val="100"/>
        <c:noMultiLvlLbl val="0"/>
      </c:catAx>
      <c:valAx>
        <c:axId val="163504896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163490816"/>
        <c:crosses val="autoZero"/>
        <c:crossBetween val="between"/>
      </c:valAx>
      <c:spPr>
        <a:blipFill dpi="0" rotWithShape="0">
          <a:blip xmlns:r="http://schemas.openxmlformats.org/officeDocument/2006/relationships" r:embed="rId24"/>
          <a:srcRect/>
          <a:stretch>
            <a:fillRect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9609918444098E-2"/>
          <c:y val="2.093064762250561E-2"/>
          <c:w val="0.8318342712857526"/>
          <c:h val="0.89156888756849961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7-4ADC-91F7-12719631283F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7-4ADC-91F7-12719631283F}"/>
            </c:ext>
          </c:extLst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67-4ADC-91F7-12719631283F}"/>
            </c:ext>
          </c:extLst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67-4ADC-91F7-12719631283F}"/>
            </c:ext>
          </c:extLst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67-4ADC-91F7-12719631283F}"/>
            </c:ext>
          </c:extLst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67-4ADC-91F7-12719631283F}"/>
            </c:ext>
          </c:extLst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67-4ADC-91F7-12719631283F}"/>
            </c:ext>
          </c:extLst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67-4ADC-91F7-12719631283F}"/>
            </c:ext>
          </c:extLst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  <a:effectLst/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67-4ADC-91F7-12719631283F}"/>
            </c:ext>
          </c:extLst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67-4ADC-91F7-12719631283F}"/>
            </c:ext>
          </c:extLst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67-4ADC-91F7-12719631283F}"/>
            </c:ext>
          </c:extLst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67-4ADC-91F7-12719631283F}"/>
            </c:ext>
          </c:extLst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67-4ADC-91F7-12719631283F}"/>
            </c:ext>
          </c:extLst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67-4ADC-91F7-12719631283F}"/>
            </c:ext>
          </c:extLst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67-4ADC-91F7-12719631283F}"/>
            </c:ext>
          </c:extLst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67-4ADC-91F7-12719631283F}"/>
            </c:ext>
          </c:extLst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67-4ADC-91F7-12719631283F}"/>
            </c:ext>
          </c:extLst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F67-4ADC-91F7-12719631283F}"/>
            </c:ext>
          </c:extLst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67-4ADC-91F7-12719631283F}"/>
            </c:ext>
          </c:extLst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F67-4ADC-91F7-12719631283F}"/>
            </c:ext>
          </c:extLst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F67-4ADC-91F7-12719631283F}"/>
            </c:ext>
          </c:extLst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F67-4ADC-91F7-12719631283F}"/>
            </c:ext>
          </c:extLst>
        </c:ser>
        <c:ser>
          <c:idx val="11"/>
          <c:order val="22"/>
          <c:spPr>
            <a:blipFill>
              <a:blip xmlns:r="http://schemas.openxmlformats.org/officeDocument/2006/relationships" r:embed="rId23"/>
              <a:stretch>
                <a:fillRect/>
              </a:stretch>
            </a:blipFill>
            <a:ln w="0">
              <a:noFill/>
            </a:ln>
            <a:effectLst/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Setup!#REF!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2F67-4ADC-91F7-127196312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3544064"/>
        <c:axId val="163549952"/>
      </c:barChart>
      <c:catAx>
        <c:axId val="163544064"/>
        <c:scaling>
          <c:orientation val="minMax"/>
        </c:scaling>
        <c:delete val="1"/>
        <c:axPos val="l"/>
        <c:majorTickMark val="out"/>
        <c:minorTickMark val="none"/>
        <c:tickLblPos val="none"/>
        <c:crossAx val="163549952"/>
        <c:crosses val="autoZero"/>
        <c:auto val="1"/>
        <c:lblAlgn val="ctr"/>
        <c:lblOffset val="100"/>
        <c:noMultiLvlLbl val="0"/>
      </c:catAx>
      <c:valAx>
        <c:axId val="163549952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16354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  <a:effectLst/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27</xdr:row>
      <xdr:rowOff>28575</xdr:rowOff>
    </xdr:from>
    <xdr:to>
      <xdr:col>6</xdr:col>
      <xdr:colOff>476250</xdr:colOff>
      <xdr:row>28</xdr:row>
      <xdr:rowOff>133350</xdr:rowOff>
    </xdr:to>
    <xdr:sp macro="Reset" textlink="">
      <xdr:nvSpPr>
        <xdr:cNvPr id="27747" name="Rectangle 16">
          <a:extLst>
            <a:ext uri="{FF2B5EF4-FFF2-40B4-BE49-F238E27FC236}">
              <a16:creationId xmlns:a16="http://schemas.microsoft.com/office/drawing/2014/main" id="{00000000-0008-0000-0000-0000636C0000}"/>
            </a:ext>
          </a:extLst>
        </xdr:cNvPr>
        <xdr:cNvSpPr>
          <a:spLocks noChangeArrowheads="1"/>
        </xdr:cNvSpPr>
      </xdr:nvSpPr>
      <xdr:spPr bwMode="auto">
        <a:xfrm>
          <a:off x="723900" y="4686300"/>
          <a:ext cx="207645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57150</xdr:rowOff>
    </xdr:from>
    <xdr:to>
      <xdr:col>2</xdr:col>
      <xdr:colOff>1609725</xdr:colOff>
      <xdr:row>0</xdr:row>
      <xdr:rowOff>409575</xdr:rowOff>
    </xdr:to>
    <xdr:sp macro="[0]!WeighIn" textlink="">
      <xdr:nvSpPr>
        <xdr:cNvPr id="24578" name="Rectangle 2">
          <a:extLst>
            <a:ext uri="{FF2B5EF4-FFF2-40B4-BE49-F238E27FC236}">
              <a16:creationId xmlns:a16="http://schemas.microsoft.com/office/drawing/2014/main" id="{00000000-0008-0000-0100-000002600000}"/>
            </a:ext>
          </a:extLst>
        </xdr:cNvPr>
        <xdr:cNvSpPr>
          <a:spLocks noChangeArrowheads="1"/>
        </xdr:cNvSpPr>
      </xdr:nvSpPr>
      <xdr:spPr bwMode="auto">
        <a:xfrm>
          <a:off x="1152525" y="57150"/>
          <a:ext cx="1543050" cy="3524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Click here to copy Weigh-in data to Lifting sheet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38100</xdr:rowOff>
    </xdr:from>
    <xdr:to>
      <xdr:col>9</xdr:col>
      <xdr:colOff>0</xdr:colOff>
      <xdr:row>7</xdr:row>
      <xdr:rowOff>447675</xdr:rowOff>
    </xdr:to>
    <xdr:sp macro="[0]!Bench1" textlink="">
      <xdr:nvSpPr>
        <xdr:cNvPr id="57510" name="Rectangle 9">
          <a:extLst>
            <a:ext uri="{FF2B5EF4-FFF2-40B4-BE49-F238E27FC236}">
              <a16:creationId xmlns:a16="http://schemas.microsoft.com/office/drawing/2014/main" id="{00000000-0008-0000-0300-0000A6E00000}"/>
            </a:ext>
          </a:extLst>
        </xdr:cNvPr>
        <xdr:cNvSpPr>
          <a:spLocks noChangeArrowheads="1"/>
        </xdr:cNvSpPr>
      </xdr:nvSpPr>
      <xdr:spPr bwMode="auto">
        <a:xfrm>
          <a:off x="3905250" y="1619250"/>
          <a:ext cx="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28575</xdr:rowOff>
    </xdr:from>
    <xdr:to>
      <xdr:col>9</xdr:col>
      <xdr:colOff>0</xdr:colOff>
      <xdr:row>7</xdr:row>
      <xdr:rowOff>447675</xdr:rowOff>
    </xdr:to>
    <xdr:sp macro="[0]!Bench2" textlink="">
      <xdr:nvSpPr>
        <xdr:cNvPr id="57511" name="Rectangle 10">
          <a:extLst>
            <a:ext uri="{FF2B5EF4-FFF2-40B4-BE49-F238E27FC236}">
              <a16:creationId xmlns:a16="http://schemas.microsoft.com/office/drawing/2014/main" id="{00000000-0008-0000-0300-0000A7E00000}"/>
            </a:ext>
          </a:extLst>
        </xdr:cNvPr>
        <xdr:cNvSpPr>
          <a:spLocks noChangeArrowheads="1"/>
        </xdr:cNvSpPr>
      </xdr:nvSpPr>
      <xdr:spPr bwMode="auto">
        <a:xfrm>
          <a:off x="3905250" y="1609725"/>
          <a:ext cx="0" cy="33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28575</xdr:rowOff>
    </xdr:from>
    <xdr:to>
      <xdr:col>9</xdr:col>
      <xdr:colOff>0</xdr:colOff>
      <xdr:row>7</xdr:row>
      <xdr:rowOff>447675</xdr:rowOff>
    </xdr:to>
    <xdr:sp macro="[0]!Bench3" textlink="">
      <xdr:nvSpPr>
        <xdr:cNvPr id="57512" name="Rectangle 11">
          <a:extLst>
            <a:ext uri="{FF2B5EF4-FFF2-40B4-BE49-F238E27FC236}">
              <a16:creationId xmlns:a16="http://schemas.microsoft.com/office/drawing/2014/main" id="{00000000-0008-0000-0300-0000A8E00000}"/>
            </a:ext>
          </a:extLst>
        </xdr:cNvPr>
        <xdr:cNvSpPr>
          <a:spLocks noChangeArrowheads="1"/>
        </xdr:cNvSpPr>
      </xdr:nvSpPr>
      <xdr:spPr bwMode="auto">
        <a:xfrm>
          <a:off x="3905250" y="1609725"/>
          <a:ext cx="0" cy="33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38100</xdr:rowOff>
    </xdr:from>
    <xdr:to>
      <xdr:col>9</xdr:col>
      <xdr:colOff>0</xdr:colOff>
      <xdr:row>7</xdr:row>
      <xdr:rowOff>447675</xdr:rowOff>
    </xdr:to>
    <xdr:sp macro="[0]!Bench4" textlink="">
      <xdr:nvSpPr>
        <xdr:cNvPr id="57513" name="Rectangle 12">
          <a:extLst>
            <a:ext uri="{FF2B5EF4-FFF2-40B4-BE49-F238E27FC236}">
              <a16:creationId xmlns:a16="http://schemas.microsoft.com/office/drawing/2014/main" id="{00000000-0008-0000-0300-0000A9E00000}"/>
            </a:ext>
          </a:extLst>
        </xdr:cNvPr>
        <xdr:cNvSpPr>
          <a:spLocks noChangeArrowheads="1"/>
        </xdr:cNvSpPr>
      </xdr:nvSpPr>
      <xdr:spPr bwMode="auto">
        <a:xfrm>
          <a:off x="3905250" y="1619250"/>
          <a:ext cx="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295275</xdr:colOff>
      <xdr:row>3</xdr:row>
      <xdr:rowOff>0</xdr:rowOff>
    </xdr:to>
    <xdr:sp macro="[0]!Good" textlink="">
      <xdr:nvSpPr>
        <xdr:cNvPr id="1121" name="Rectangle 97">
          <a:extLst>
            <a:ext uri="{FF2B5EF4-FFF2-40B4-BE49-F238E27FC236}">
              <a16:creationId xmlns:a16="http://schemas.microsoft.com/office/drawing/2014/main" id="{00000000-0008-0000-0300-000061040000}"/>
            </a:ext>
          </a:extLst>
        </xdr:cNvPr>
        <xdr:cNvSpPr>
          <a:spLocks noChangeArrowheads="1"/>
        </xdr:cNvSpPr>
      </xdr:nvSpPr>
      <xdr:spPr bwMode="auto">
        <a:xfrm>
          <a:off x="3095625" y="409575"/>
          <a:ext cx="800100" cy="3143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Good</a:t>
          </a:r>
        </a:p>
      </xdr:txBody>
    </xdr:sp>
    <xdr:clientData/>
  </xdr:twoCellAnchor>
  <xdr:twoCellAnchor>
    <xdr:from>
      <xdr:col>7</xdr:col>
      <xdr:colOff>9525</xdr:colOff>
      <xdr:row>2</xdr:row>
      <xdr:rowOff>314325</xdr:rowOff>
    </xdr:from>
    <xdr:to>
      <xdr:col>8</xdr:col>
      <xdr:colOff>295275</xdr:colOff>
      <xdr:row>3</xdr:row>
      <xdr:rowOff>314325</xdr:rowOff>
    </xdr:to>
    <xdr:sp macro="[0]!NoLift" textlink="">
      <xdr:nvSpPr>
        <xdr:cNvPr id="1122" name="Rectangle 98">
          <a:extLst>
            <a:ext uri="{FF2B5EF4-FFF2-40B4-BE49-F238E27FC236}">
              <a16:creationId xmlns:a16="http://schemas.microsoft.com/office/drawing/2014/main" id="{00000000-0008-0000-0300-000062040000}"/>
            </a:ext>
          </a:extLst>
        </xdr:cNvPr>
        <xdr:cNvSpPr>
          <a:spLocks noChangeArrowheads="1"/>
        </xdr:cNvSpPr>
      </xdr:nvSpPr>
      <xdr:spPr bwMode="auto">
        <a:xfrm>
          <a:off x="3095625" y="714375"/>
          <a:ext cx="800100" cy="323850"/>
        </a:xfrm>
        <a:prstGeom prst="rect">
          <a:avLst/>
        </a:prstGeom>
        <a:solidFill>
          <a:srgbClr val="FF0000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sngStrike" baseline="0">
              <a:solidFill>
                <a:srgbClr val="FFFFFF"/>
              </a:solidFill>
              <a:latin typeface="Arial"/>
              <a:cs typeface="Arial"/>
            </a:rPr>
            <a:t>No Lift</a:t>
          </a:r>
        </a:p>
      </xdr:txBody>
    </xdr:sp>
    <xdr:clientData/>
  </xdr:twoCellAnchor>
  <xdr:twoCellAnchor>
    <xdr:from>
      <xdr:col>2</xdr:col>
      <xdr:colOff>133350</xdr:colOff>
      <xdr:row>4</xdr:row>
      <xdr:rowOff>19051</xdr:rowOff>
    </xdr:from>
    <xdr:to>
      <xdr:col>2</xdr:col>
      <xdr:colOff>876300</xdr:colOff>
      <xdr:row>4</xdr:row>
      <xdr:rowOff>228601</xdr:rowOff>
    </xdr:to>
    <xdr:sp macro="[0]!Results" textlink="">
      <xdr:nvSpPr>
        <xdr:cNvPr id="1172" name="Rectangle 148">
          <a:extLst>
            <a:ext uri="{FF2B5EF4-FFF2-40B4-BE49-F238E27FC236}">
              <a16:creationId xmlns:a16="http://schemas.microsoft.com/office/drawing/2014/main" id="{00000000-0008-0000-0300-000094040000}"/>
            </a:ext>
          </a:extLst>
        </xdr:cNvPr>
        <xdr:cNvSpPr>
          <a:spLocks noChangeArrowheads="1"/>
        </xdr:cNvSpPr>
      </xdr:nvSpPr>
      <xdr:spPr bwMode="auto">
        <a:xfrm>
          <a:off x="371475" y="1066801"/>
          <a:ext cx="742950" cy="209550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PrintSheet </a:t>
          </a:r>
        </a:p>
      </xdr:txBody>
    </xdr:sp>
    <xdr:clientData/>
  </xdr:twoCellAnchor>
  <xdr:twoCellAnchor>
    <xdr:from>
      <xdr:col>2</xdr:col>
      <xdr:colOff>1104899</xdr:colOff>
      <xdr:row>4</xdr:row>
      <xdr:rowOff>19049</xdr:rowOff>
    </xdr:from>
    <xdr:to>
      <xdr:col>4</xdr:col>
      <xdr:colOff>142874</xdr:colOff>
      <xdr:row>4</xdr:row>
      <xdr:rowOff>238124</xdr:rowOff>
    </xdr:to>
    <xdr:sp macro="[0]!FullResults" textlink="">
      <xdr:nvSpPr>
        <xdr:cNvPr id="2024" name="Rectangle 182">
          <a:extLst>
            <a:ext uri="{FF2B5EF4-FFF2-40B4-BE49-F238E27FC236}">
              <a16:creationId xmlns:a16="http://schemas.microsoft.com/office/drawing/2014/main" id="{00000000-0008-0000-0300-0000E8070000}"/>
            </a:ext>
          </a:extLst>
        </xdr:cNvPr>
        <xdr:cNvSpPr>
          <a:spLocks noChangeArrowheads="1"/>
        </xdr:cNvSpPr>
      </xdr:nvSpPr>
      <xdr:spPr bwMode="auto">
        <a:xfrm>
          <a:off x="1343024" y="1066799"/>
          <a:ext cx="676275" cy="219075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29</xdr:col>
      <xdr:colOff>165100</xdr:colOff>
      <xdr:row>5</xdr:row>
      <xdr:rowOff>217714</xdr:rowOff>
    </xdr:to>
    <xdr:graphicFrame macro="">
      <xdr:nvGraphicFramePr>
        <xdr:cNvPr id="57518" name="Chart 302">
          <a:extLst>
            <a:ext uri="{FF2B5EF4-FFF2-40B4-BE49-F238E27FC236}">
              <a16:creationId xmlns:a16="http://schemas.microsoft.com/office/drawing/2014/main" id="{00000000-0008-0000-0300-0000AEE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[0]!NextLifter" textlink="">
      <xdr:nvSpPr>
        <xdr:cNvPr id="1653" name="Rectangle 629">
          <a:extLst>
            <a:ext uri="{FF2B5EF4-FFF2-40B4-BE49-F238E27FC236}">
              <a16:creationId xmlns:a16="http://schemas.microsoft.com/office/drawing/2014/main" id="{00000000-0008-0000-0300-000075060000}"/>
            </a:ext>
          </a:extLst>
        </xdr:cNvPr>
        <xdr:cNvSpPr>
          <a:spLocks noChangeArrowheads="1"/>
        </xdr:cNvSpPr>
      </xdr:nvSpPr>
      <xdr:spPr bwMode="auto">
        <a:xfrm>
          <a:off x="3086100" y="1047750"/>
          <a:ext cx="819150" cy="2667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Next Lifter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5</xdr:row>
          <xdr:rowOff>38100</xdr:rowOff>
        </xdr:from>
        <xdr:to>
          <xdr:col>2</xdr:col>
          <xdr:colOff>1038225</xdr:colOff>
          <xdr:row>5</xdr:row>
          <xdr:rowOff>238125</xdr:rowOff>
        </xdr:to>
        <xdr:sp macro="" textlink="">
          <xdr:nvSpPr>
            <xdr:cNvPr id="3168" name="Button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3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 Flights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5</xdr:row>
          <xdr:rowOff>38100</xdr:rowOff>
        </xdr:from>
        <xdr:to>
          <xdr:col>7</xdr:col>
          <xdr:colOff>400050</xdr:colOff>
          <xdr:row>5</xdr:row>
          <xdr:rowOff>219075</xdr:rowOff>
        </xdr:to>
        <xdr:sp macro="" textlink="">
          <xdr:nvSpPr>
            <xdr:cNvPr id="3172" name="Button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3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 BarLoad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538474</xdr:colOff>
      <xdr:row>7</xdr:row>
      <xdr:rowOff>54429</xdr:rowOff>
    </xdr:from>
    <xdr:to>
      <xdr:col>15</xdr:col>
      <xdr:colOff>30318</xdr:colOff>
      <xdr:row>15</xdr:row>
      <xdr:rowOff>0</xdr:rowOff>
    </xdr:to>
    <xdr:graphicFrame macro="">
      <xdr:nvGraphicFramePr>
        <xdr:cNvPr id="3" name="Chart 30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Powerlifting/Michigan%20APF/Meets/2018%20Michigan%20State/2018_State_L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mailto:joe.marksteiner@ae.ge.com" TargetMode="External"/><Relationship Id="rId1" Type="http://schemas.openxmlformats.org/officeDocument/2006/relationships/hyperlink" Target="mailto:steinmark@aol.com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C1:BF246"/>
  <sheetViews>
    <sheetView topLeftCell="B1" zoomScaleNormal="100" workbookViewId="0">
      <selection activeCell="O14" sqref="O14"/>
    </sheetView>
  </sheetViews>
  <sheetFormatPr defaultColWidth="9.140625" defaultRowHeight="12.75" x14ac:dyDescent="0.2"/>
  <cols>
    <col min="1" max="1" width="3.42578125" style="7" customWidth="1"/>
    <col min="2" max="2" width="1.85546875" style="7" customWidth="1"/>
    <col min="3" max="3" width="8.5703125" style="8" customWidth="1"/>
    <col min="4" max="4" width="7.85546875" style="8" customWidth="1"/>
    <col min="5" max="5" width="8" style="8" customWidth="1"/>
    <col min="6" max="6" width="8.5703125" style="7" customWidth="1"/>
    <col min="7" max="7" width="7.85546875" style="7" customWidth="1"/>
    <col min="8" max="8" width="8" style="7" customWidth="1"/>
    <col min="9" max="9" width="1.85546875" style="7" customWidth="1"/>
    <col min="10" max="10" width="9.140625" style="8" hidden="1" customWidth="1"/>
    <col min="11" max="11" width="9.140625" style="76"/>
    <col min="12" max="12" width="9.140625" style="7" hidden="1" customWidth="1"/>
    <col min="13" max="13" width="9.140625" style="169"/>
    <col min="14" max="14" width="2" style="7" customWidth="1"/>
    <col min="15" max="15" width="18" style="8" customWidth="1"/>
    <col min="16" max="16" width="44.85546875" style="7" customWidth="1"/>
    <col min="17" max="17" width="8.7109375" style="7" customWidth="1"/>
    <col min="18" max="18" width="2" style="7" customWidth="1"/>
    <col min="19" max="19" width="8.7109375" style="7" customWidth="1"/>
    <col min="20" max="20" width="8.5703125" style="7" customWidth="1"/>
    <col min="21" max="23" width="9.140625" style="7"/>
    <col min="24" max="24" width="0" style="7" hidden="1" customWidth="1"/>
    <col min="25" max="28" width="9.140625" style="7"/>
    <col min="29" max="29" width="3.42578125" style="7" customWidth="1"/>
    <col min="30" max="32" width="9.140625" style="7" hidden="1" customWidth="1"/>
    <col min="33" max="16384" width="9.140625" style="7"/>
  </cols>
  <sheetData>
    <row r="1" spans="3:58" ht="13.5" thickBot="1" x14ac:dyDescent="0.25">
      <c r="L1" s="7" t="str">
        <f>IF(K6="BWt (Lb)",CONCATENATE("DATA!F14:F28"),CONCATENATE("DATA!E14:E28"))</f>
        <v>DATA!E14:E28</v>
      </c>
      <c r="BB1" s="7" t="s">
        <v>62</v>
      </c>
      <c r="BC1" s="7" t="s">
        <v>63</v>
      </c>
      <c r="BD1" s="7" t="s">
        <v>64</v>
      </c>
      <c r="BE1" s="7" t="s">
        <v>65</v>
      </c>
      <c r="BF1" s="7" t="s">
        <v>66</v>
      </c>
    </row>
    <row r="2" spans="3:58" ht="28.5" customHeight="1" thickBot="1" x14ac:dyDescent="0.25">
      <c r="C2" s="333" t="s">
        <v>170</v>
      </c>
      <c r="D2" s="334"/>
      <c r="E2" s="334"/>
      <c r="F2" s="334"/>
      <c r="G2" s="334"/>
      <c r="H2" s="335"/>
      <c r="K2" s="336" t="s">
        <v>171</v>
      </c>
      <c r="L2" s="337"/>
      <c r="M2" s="338"/>
      <c r="O2" s="311" t="s">
        <v>62</v>
      </c>
      <c r="P2" s="312"/>
      <c r="Q2" s="313"/>
      <c r="S2" s="294" t="s">
        <v>109</v>
      </c>
      <c r="T2" s="295"/>
      <c r="X2" s="7" t="s">
        <v>162</v>
      </c>
    </row>
    <row r="3" spans="3:58" ht="13.5" thickBot="1" x14ac:dyDescent="0.25">
      <c r="X3" s="7" t="s">
        <v>163</v>
      </c>
      <c r="AD3" s="257" t="s">
        <v>174</v>
      </c>
      <c r="AE3" s="258">
        <f>$G$22</f>
        <v>30</v>
      </c>
      <c r="AF3" s="7">
        <f>$D$22</f>
        <v>65</v>
      </c>
    </row>
    <row r="4" spans="3:58" ht="13.5" customHeight="1" x14ac:dyDescent="0.2">
      <c r="C4" s="305" t="s">
        <v>79</v>
      </c>
      <c r="D4" s="306"/>
      <c r="E4" s="306"/>
      <c r="F4" s="306"/>
      <c r="G4" s="331"/>
      <c r="H4" s="314" t="s">
        <v>157</v>
      </c>
      <c r="K4" s="325" t="s">
        <v>84</v>
      </c>
      <c r="L4" s="326"/>
      <c r="M4" s="327"/>
      <c r="O4" s="305" t="s">
        <v>86</v>
      </c>
      <c r="P4" s="306"/>
      <c r="Q4" s="307"/>
      <c r="S4" s="296" t="s">
        <v>76</v>
      </c>
      <c r="T4" s="298" t="s">
        <v>110</v>
      </c>
      <c r="AD4" s="257" t="s">
        <v>33</v>
      </c>
      <c r="AE4" s="258">
        <f>$G$23</f>
        <v>22.5</v>
      </c>
      <c r="AF4" s="7">
        <f>$D$23</f>
        <v>55</v>
      </c>
    </row>
    <row r="5" spans="3:58" ht="13.5" customHeight="1" x14ac:dyDescent="0.2">
      <c r="C5" s="308"/>
      <c r="D5" s="309"/>
      <c r="E5" s="309"/>
      <c r="F5" s="309"/>
      <c r="G5" s="332"/>
      <c r="H5" s="315"/>
      <c r="K5" s="328"/>
      <c r="L5" s="329"/>
      <c r="M5" s="330"/>
      <c r="O5" s="308"/>
      <c r="P5" s="309"/>
      <c r="Q5" s="310"/>
      <c r="S5" s="297"/>
      <c r="T5" s="299"/>
      <c r="AD5" s="257" t="s">
        <v>35</v>
      </c>
      <c r="AE5" s="258">
        <f>$G$24</f>
        <v>25</v>
      </c>
      <c r="AF5" s="7">
        <f>$D$24</f>
        <v>55</v>
      </c>
    </row>
    <row r="6" spans="3:58" ht="13.5" customHeight="1" x14ac:dyDescent="0.2">
      <c r="C6" s="302" t="s">
        <v>61</v>
      </c>
      <c r="D6" s="303"/>
      <c r="E6" s="303"/>
      <c r="F6" s="303" t="s">
        <v>75</v>
      </c>
      <c r="G6" s="303"/>
      <c r="H6" s="316"/>
      <c r="K6" s="319" t="s">
        <v>158</v>
      </c>
      <c r="L6" s="320"/>
      <c r="M6" s="321"/>
      <c r="O6" s="234" t="s">
        <v>87</v>
      </c>
      <c r="P6" s="233" t="s">
        <v>88</v>
      </c>
      <c r="Q6" s="235" t="s">
        <v>89</v>
      </c>
      <c r="S6" s="78">
        <v>1</v>
      </c>
      <c r="T6" s="122">
        <v>3</v>
      </c>
    </row>
    <row r="7" spans="3:58" x14ac:dyDescent="0.2">
      <c r="C7" s="68" t="str">
        <f>LEFT(TRIM(Lifting!B3),1)</f>
        <v>D</v>
      </c>
      <c r="D7" s="6" t="e">
        <f ca="1">ABS(Lifting!D3)</f>
        <v>#N/A</v>
      </c>
      <c r="E7" s="6"/>
      <c r="F7" s="6"/>
      <c r="G7" s="6" t="e">
        <f ca="1">ABS(Lifting!D3)</f>
        <v>#N/A</v>
      </c>
      <c r="H7" s="10"/>
      <c r="I7" s="8"/>
      <c r="K7" s="322"/>
      <c r="L7" s="323"/>
      <c r="M7" s="324"/>
      <c r="O7" s="272" t="s">
        <v>187</v>
      </c>
      <c r="P7" s="273" t="s">
        <v>190</v>
      </c>
      <c r="Q7" s="249">
        <v>1</v>
      </c>
      <c r="S7" s="78"/>
      <c r="T7" s="122">
        <v>2</v>
      </c>
    </row>
    <row r="8" spans="3:58" ht="12.75" customHeight="1" x14ac:dyDescent="0.2">
      <c r="C8" s="9" t="s">
        <v>4</v>
      </c>
      <c r="D8" s="6" t="s">
        <v>42</v>
      </c>
      <c r="E8" s="6" t="s">
        <v>5</v>
      </c>
      <c r="F8" s="6" t="s">
        <v>4</v>
      </c>
      <c r="G8" s="6" t="s">
        <v>43</v>
      </c>
      <c r="H8" s="10" t="s">
        <v>5</v>
      </c>
      <c r="J8" s="8" t="s">
        <v>85</v>
      </c>
      <c r="K8" s="168" t="s">
        <v>9</v>
      </c>
      <c r="L8" s="77"/>
      <c r="M8" s="170" t="s">
        <v>10</v>
      </c>
      <c r="O8" s="272" t="s">
        <v>188</v>
      </c>
      <c r="P8" s="273" t="s">
        <v>191</v>
      </c>
      <c r="Q8" s="249">
        <v>1</v>
      </c>
      <c r="S8" s="78"/>
      <c r="T8" s="122">
        <v>1</v>
      </c>
    </row>
    <row r="9" spans="3:58" ht="12.75" customHeight="1" x14ac:dyDescent="0.2">
      <c r="C9" s="9" t="s">
        <v>6</v>
      </c>
      <c r="D9" s="6" t="s">
        <v>7</v>
      </c>
      <c r="E9" s="6" t="s">
        <v>8</v>
      </c>
      <c r="F9" s="6" t="s">
        <v>6</v>
      </c>
      <c r="G9" s="6" t="s">
        <v>7</v>
      </c>
      <c r="H9" s="10" t="s">
        <v>8</v>
      </c>
      <c r="I9" s="8"/>
      <c r="J9" s="172">
        <v>10</v>
      </c>
      <c r="K9" s="173">
        <v>59</v>
      </c>
      <c r="L9" s="222">
        <v>10</v>
      </c>
      <c r="M9" s="175">
        <v>47</v>
      </c>
      <c r="O9" s="272" t="s">
        <v>189</v>
      </c>
      <c r="P9" s="273" t="s">
        <v>192</v>
      </c>
      <c r="Q9" s="249">
        <v>1</v>
      </c>
      <c r="S9" s="78"/>
      <c r="T9" s="122">
        <v>0</v>
      </c>
    </row>
    <row r="10" spans="3:58" x14ac:dyDescent="0.2">
      <c r="C10" s="11">
        <v>0</v>
      </c>
      <c r="D10" s="6">
        <v>110</v>
      </c>
      <c r="E10" s="6" t="e">
        <f ca="1">IF(OR(D7=0,H4="Kg"),0,MIN(INT(($D$7-VLOOKUP($C$7,$AD$3:$AF$5,3,FALSE))/(2*D10)),C10/2))</f>
        <v>#N/A</v>
      </c>
      <c r="F10" s="237">
        <v>0</v>
      </c>
      <c r="G10" s="236">
        <v>50</v>
      </c>
      <c r="H10" s="251" t="e">
        <f ca="1">IF(OR(G7=0,H4="Lb"),0,MIN(INT(($G$7-VLOOKUP($C$7,$AD$3:$AF$5,2,FALSE))/(2*G10)),F10/2))</f>
        <v>#N/A</v>
      </c>
      <c r="I10" s="8"/>
      <c r="J10" s="172">
        <f>IF(K9="SHW",1000,IF(K10="",J9+1,IF(ISERROR(VLOOKUP(K9,DATA!$F$32:$G$59,2,FALSE)),K9,VLOOKUP(K9,DATA!$F$32:$G$59,2,FALSE))+0.0001))</f>
        <v>59.000100000000003</v>
      </c>
      <c r="K10" s="173">
        <v>66</v>
      </c>
      <c r="L10" s="222">
        <v>44.000100000000003</v>
      </c>
      <c r="M10" s="175">
        <v>52</v>
      </c>
      <c r="O10" s="272" t="s">
        <v>193</v>
      </c>
      <c r="P10" s="273" t="s">
        <v>194</v>
      </c>
      <c r="Q10" s="249">
        <v>1</v>
      </c>
      <c r="S10" s="78"/>
      <c r="T10" s="122">
        <v>0</v>
      </c>
    </row>
    <row r="11" spans="3:58" x14ac:dyDescent="0.2">
      <c r="C11" s="11">
        <v>8</v>
      </c>
      <c r="D11" s="6">
        <v>100</v>
      </c>
      <c r="E11" s="6" t="e">
        <f ca="1">IF(OR(D7=0,H4="Kg"),0,MIN(INT(($D$7-VLOOKUP($C$7,$AD$3:$AF$5,3,FALSE)-2*E10*D10)/(2*D11)),C11/2))</f>
        <v>#N/A</v>
      </c>
      <c r="F11" s="237">
        <v>0</v>
      </c>
      <c r="G11" s="236">
        <v>45</v>
      </c>
      <c r="H11" s="251" t="e">
        <f ca="1">IF(OR(G7=0,H4="Lb"),0,MIN(INT(($G$7-VLOOKUP($C$7,$AD$3:$AF$5,2,FALSE)-2*H10*G10)/(2*G11)),F11/2))</f>
        <v>#N/A</v>
      </c>
      <c r="I11" s="8"/>
      <c r="J11" s="172">
        <f>IF(K10="SHW",1000,IF(K11="",J10+1,IF(ISERROR(VLOOKUP(K10,DATA!$F$32:$G$59,2,FALSE)),K10,VLOOKUP(K10,DATA!$F$32:$G$59,2,FALSE))+0.001))</f>
        <v>66.001000000000005</v>
      </c>
      <c r="K11" s="270">
        <v>74</v>
      </c>
      <c r="L11" s="222">
        <v>48.000999999999998</v>
      </c>
      <c r="M11" s="175">
        <v>57</v>
      </c>
      <c r="O11" s="272" t="s">
        <v>212</v>
      </c>
      <c r="P11" s="273" t="s">
        <v>213</v>
      </c>
      <c r="Q11" s="249">
        <v>1</v>
      </c>
      <c r="S11" s="78"/>
      <c r="T11" s="122">
        <v>0</v>
      </c>
    </row>
    <row r="12" spans="3:58" x14ac:dyDescent="0.2">
      <c r="C12" s="11">
        <v>0</v>
      </c>
      <c r="D12" s="6">
        <v>50</v>
      </c>
      <c r="E12" s="6" t="e">
        <f ca="1">IF(OR(D7=0,H4="Kg"),0,MIN(INT(($D$7-VLOOKUP($C$7,$AD$3:$AF$5,3,FALSE)-2*E10*D10-2*E11*D11)/(2*D12)),C12/2))</f>
        <v>#N/A</v>
      </c>
      <c r="F12" s="237">
        <v>20</v>
      </c>
      <c r="G12" s="236">
        <v>25</v>
      </c>
      <c r="H12" s="251" t="e">
        <f ca="1">IF(OR(G7=0,H4="Lb"),0,MIN(INT(($G$7-VLOOKUP($C$7,$AD$3:$AF$5,2,FALSE)-2*H10*G10-2*H11*G11)/(2*G12)),F12/2))</f>
        <v>#N/A</v>
      </c>
      <c r="I12" s="8"/>
      <c r="J12" s="172">
        <f>IF(K11="SHW",1000,IF(K12="",J11+1,IF(ISERROR(VLOOKUP(K11,DATA!$F$32:$G$59,2,FALSE)),K11,VLOOKUP(K11,DATA!$F$32:$G$59,2,FALSE))+0.001))</f>
        <v>74.001000000000005</v>
      </c>
      <c r="K12" s="270">
        <v>83</v>
      </c>
      <c r="L12" s="222">
        <v>52.000999999999998</v>
      </c>
      <c r="M12" s="175">
        <v>63</v>
      </c>
      <c r="O12" s="272"/>
      <c r="P12" s="273"/>
      <c r="Q12" s="249"/>
      <c r="S12" s="78"/>
      <c r="T12" s="122">
        <v>0</v>
      </c>
    </row>
    <row r="13" spans="3:58" x14ac:dyDescent="0.2">
      <c r="C13" s="11">
        <v>10</v>
      </c>
      <c r="D13" s="6">
        <v>45</v>
      </c>
      <c r="E13" s="6" t="e">
        <f ca="1">IF(OR(D7=0,H4="Kg"),0,MIN(INT(($D$7-VLOOKUP($C$7,$AD$3:$AF$5,3,FALSE)-2*E10*D10-2*E11*D11-2*E12*D12)/(2*D13)),C13/2))</f>
        <v>#N/A</v>
      </c>
      <c r="F13" s="237">
        <v>2</v>
      </c>
      <c r="G13" s="236">
        <v>20</v>
      </c>
      <c r="H13" s="251" t="e">
        <f ca="1">IF(OR(G7=0,H4="Lb"),0,MIN(INT(($G$7-VLOOKUP($C$7,$AD$3:$AF$5,2,FALSE)-2*H10*G10-2*H11*G11-2*H12*G12)/(2*G13)),F13/2))</f>
        <v>#N/A</v>
      </c>
      <c r="I13" s="8"/>
      <c r="J13" s="172">
        <f>IF(K12="SHW",1000,IF(K13="",J12+1,IF(ISERROR(VLOOKUP(K12,DATA!$F$32:$G$59,2,FALSE)),K12,VLOOKUP(K12,DATA!$F$32:$G$59,2,FALSE))+0.001))</f>
        <v>83.001000000000005</v>
      </c>
      <c r="K13" s="173">
        <v>93</v>
      </c>
      <c r="L13" s="222">
        <v>56.000999999999998</v>
      </c>
      <c r="M13" s="175">
        <v>69</v>
      </c>
      <c r="O13" s="272"/>
      <c r="P13" s="273"/>
      <c r="Q13" s="249"/>
      <c r="S13" s="78"/>
      <c r="T13" s="122">
        <v>0</v>
      </c>
    </row>
    <row r="14" spans="3:58" x14ac:dyDescent="0.2">
      <c r="C14" s="11">
        <v>2</v>
      </c>
      <c r="D14" s="6">
        <v>35</v>
      </c>
      <c r="E14" s="6" t="e">
        <f ca="1">IF(OR(D7=0,H4="Kg"),0,MIN(INT(($D$7-VLOOKUP($C$7,$AD$3:$AF$5,3,FALSE)-2*E10*D10-2*E11*D11-2*E12*D12-2*E13*D13)/(2*D14)),C14/2))</f>
        <v>#N/A</v>
      </c>
      <c r="F14" s="237">
        <v>0</v>
      </c>
      <c r="G14" s="236">
        <v>15</v>
      </c>
      <c r="H14" s="251" t="e">
        <f ca="1">IF(OR(G7=0,H4="Lb"),0,MIN(INT(($G$7-VLOOKUP($C$7,$AD$3:$AF$5,2,FALSE)-2*H10*G10-2*H11*G11-2*H12*G12-2*H13*G13)/(2*G14)),F14/2))</f>
        <v>#N/A</v>
      </c>
      <c r="I14" s="8"/>
      <c r="J14" s="172">
        <f>IF(K13="SHW",1000,IF(K14="",J13+1,IF(ISERROR(VLOOKUP(K13,DATA!$F$32:$G$59,2,FALSE)),K13,VLOOKUP(K13,DATA!$F$32:$G$59,2,FALSE))+0.001))</f>
        <v>93.001000000000005</v>
      </c>
      <c r="K14" s="173">
        <v>105</v>
      </c>
      <c r="L14" s="222">
        <v>60.000999999999998</v>
      </c>
      <c r="M14" s="175">
        <v>76</v>
      </c>
      <c r="O14" s="272"/>
      <c r="Q14" s="249">
        <v>1</v>
      </c>
      <c r="S14" s="78"/>
      <c r="T14" s="122">
        <v>0</v>
      </c>
      <c r="V14" s="258"/>
    </row>
    <row r="15" spans="3:58" ht="13.5" thickBot="1" x14ac:dyDescent="0.25">
      <c r="C15" s="11">
        <v>2</v>
      </c>
      <c r="D15" s="6">
        <v>25</v>
      </c>
      <c r="E15" s="6" t="e">
        <f ca="1">IF(OR(D7=0,H4="Kg"),0,MIN(INT(($D$7-VLOOKUP($C$7,$AD$3:$AF$5,3,FALSE)-2*E10*D10-2*E11*D11-2*E12*D12-2*E13*D13-2*E14*D14)/(2*D15)),C15/2))</f>
        <v>#N/A</v>
      </c>
      <c r="F15" s="237">
        <v>2</v>
      </c>
      <c r="G15" s="236">
        <v>10</v>
      </c>
      <c r="H15" s="251" t="e">
        <f ca="1">IF(OR(G7=0,H4="Lb"),0,MIN(INT(($G$7-VLOOKUP($C$7,$AD$3:$AF$5,2,FALSE)-2*H10*G10-2*H11*G11-2*H12*G12-2*H13*G13-2*H14*G14)/(2*G15)),F15/2))</f>
        <v>#N/A</v>
      </c>
      <c r="I15" s="8"/>
      <c r="J15" s="172">
        <f>IF(K14="SHW",1000,IF(K15="",J14+1,IF(ISERROR(VLOOKUP(K14,DATA!$F$32:$G$59,2,FALSE)),K14,VLOOKUP(K14,DATA!$F$32:$G$59,2,FALSE))+0.001))</f>
        <v>105.82180000000001</v>
      </c>
      <c r="K15" s="173">
        <v>120</v>
      </c>
      <c r="L15" s="222">
        <v>67.501000000000005</v>
      </c>
      <c r="M15" s="271">
        <v>84</v>
      </c>
      <c r="O15" s="247"/>
      <c r="P15" s="248"/>
      <c r="Q15" s="249">
        <v>1</v>
      </c>
      <c r="S15" s="79"/>
      <c r="T15" s="123">
        <v>0</v>
      </c>
    </row>
    <row r="16" spans="3:58" x14ac:dyDescent="0.2">
      <c r="C16" s="11">
        <v>4</v>
      </c>
      <c r="D16" s="6">
        <v>10</v>
      </c>
      <c r="E16" s="6" t="e">
        <f ca="1">IF(OR(D7=0,H4="Kg"),0,MIN(INT(($D$7-VLOOKUP($C$7,$AD$3:$AF$5,3,FALSE)-2*E10*D10-2*E11*D11-2*E12*D12-2*E13*D13-2*E14*D14-2*E15*D15)/(2*D16)),C16/2))</f>
        <v>#N/A</v>
      </c>
      <c r="F16" s="237">
        <v>2</v>
      </c>
      <c r="G16" s="236">
        <v>5</v>
      </c>
      <c r="H16" s="251" t="e">
        <f ca="1">IF(OR(G7=0,H4="Lb"),0,MIN(INT(($G$7-VLOOKUP($C$7,$AD$3:$AF$5,2,FALSE)-2*H10*G10-2*H11*G11-2*H12*G12-2*H13*G13-2*H14*G14-2*H15*G15)/(2*G16)),F16/2))</f>
        <v>#N/A</v>
      </c>
      <c r="I16" s="8"/>
      <c r="J16" s="172">
        <f>IF(K15="SHW",1000,IF(K16="",J15+1,IF(ISERROR(VLOOKUP(K15,DATA!$F$32:$G$59,2,FALSE)),K15,VLOOKUP(K15,DATA!$F$32:$G$59,2,FALSE))+0.001))</f>
        <v>120.001</v>
      </c>
      <c r="K16" s="270" t="s">
        <v>81</v>
      </c>
      <c r="L16" s="222">
        <v>75.001000000000005</v>
      </c>
      <c r="M16" s="175" t="s">
        <v>81</v>
      </c>
      <c r="O16" s="247"/>
      <c r="P16" s="248"/>
      <c r="Q16" s="249">
        <v>1</v>
      </c>
    </row>
    <row r="17" spans="3:17" x14ac:dyDescent="0.2">
      <c r="C17" s="11">
        <v>2</v>
      </c>
      <c r="D17" s="6">
        <v>5</v>
      </c>
      <c r="E17" s="6" t="e">
        <f ca="1">IF(OR(D7=0,H4="Kg"),0,MIN(INT(($D$7-VLOOKUP($C$7,$AD$3:$AF$5,3,FALSE)-2*E10*D10-2*E11*D11-2*E12*D12-2*E13*D13-2*E14*D14-2*E15*D15-2*E16*D16)/(2*D17)),C17/2))</f>
        <v>#N/A</v>
      </c>
      <c r="F17" s="237">
        <v>2</v>
      </c>
      <c r="G17" s="236">
        <v>2.5</v>
      </c>
      <c r="H17" s="251" t="e">
        <f ca="1">IF(OR(G7=0,H4="Lb"),0,MIN(INT(($G$7-VLOOKUP($C$7,$AD$3:$AF$5,2,FALSE)-2*H10*G10-2*H11*G11-2*H12*G12-2*H13*G13-2*H14*G14-2*H15*G15-2*H16*G16)/(2*G17)),F17/2))</f>
        <v>#N/A</v>
      </c>
      <c r="I17" s="8"/>
      <c r="J17" s="172">
        <f>IF(K16="SHW",1000,IF(K17="",J16+1,IF(ISERROR(VLOOKUP(K16,DATA!$F$32:$G$59,2,FALSE)),K16,VLOOKUP(K16,DATA!$F$32:$G$59,2,FALSE))+0.001))</f>
        <v>1000</v>
      </c>
      <c r="K17" s="173"/>
      <c r="L17" s="222">
        <v>82.501000000000005</v>
      </c>
      <c r="M17" s="175"/>
      <c r="O17" s="247"/>
      <c r="P17" s="248"/>
      <c r="Q17" s="249">
        <v>1</v>
      </c>
    </row>
    <row r="18" spans="3:17" x14ac:dyDescent="0.2">
      <c r="C18" s="11">
        <v>2</v>
      </c>
      <c r="D18" s="6">
        <v>2.5</v>
      </c>
      <c r="E18" s="6" t="e">
        <f ca="1">IF(OR(D7=0,H4="Kg"),0,MIN(INT(($D$7-VLOOKUP($C$7,$AD$3:$AF$5,3,FALSE)-2*E10*D10-2*E11*D11-2*E12*D12-2*E13*D13-2*E14*D14-2*E15*D15-2*E16*D16-2*E17*D17)/(2*D18)),C18/2))</f>
        <v>#N/A</v>
      </c>
      <c r="F18" s="237">
        <v>2</v>
      </c>
      <c r="G18" s="236">
        <v>1.25</v>
      </c>
      <c r="H18" s="251" t="e">
        <f ca="1">IF(OR(G7=0,H4="Lb"),0,INT(($G$7-VLOOKUP($C$7,$AD$3:$AF$5,2,FALSE)-2*H10*G10-2*H11*G11-2*H12*G12-2*H13*G13-2*H14*G14-2*H15*G15-2*H16*G16-2*H17*G17)/(2*G18)))</f>
        <v>#N/A</v>
      </c>
      <c r="I18" s="8"/>
      <c r="J18" s="172">
        <f>IF(K17="SHW",1000,IF(K18="",J17+1,IF(ISERROR(VLOOKUP(K17,DATA!$F$32:$G$59,2,FALSE)),K17,VLOOKUP(K17,DATA!$F$32:$G$59,2,FALSE))+0.001))</f>
        <v>1001</v>
      </c>
      <c r="K18" s="173"/>
      <c r="L18" s="222">
        <v>90.001000000000005</v>
      </c>
      <c r="M18" s="175"/>
      <c r="O18" s="247"/>
      <c r="P18" s="248"/>
      <c r="Q18" s="249">
        <v>1</v>
      </c>
    </row>
    <row r="19" spans="3:17" x14ac:dyDescent="0.2">
      <c r="C19" s="11">
        <v>0</v>
      </c>
      <c r="D19" s="6">
        <v>1</v>
      </c>
      <c r="E19" s="6" t="e">
        <f ca="1">IF(OR(D7=0,H4="Kg"),0,MIN(INT(($D$7-VLOOKUP($C$7,$AD$3:$AF$5,3,FALSE)-2*E10*D10-2*E11*D11-2*E12*D12-2*E13*D13-2*E14*D14-2*E15*D15-2*E16*D16-2*E17*D17-2*E18*D18)/(2*D19)),C19/2))</f>
        <v>#N/A</v>
      </c>
      <c r="F19" s="237">
        <v>2</v>
      </c>
      <c r="G19" s="236">
        <v>0.5</v>
      </c>
      <c r="H19" s="251" t="e">
        <f ca="1">IF(OR(G7=0,H4="Lb"),0,INT(($G$7-VLOOKUP($C$7,$AD$3:$AF$5,2,FALSE)-2*H10*G10-2*H11*G11-2*H12*G12-2*H13*G13-2*H14*G14-2*H15*G15-2*H16*G16-2*H17*G17-2*H18*G18)/(2*G19)))</f>
        <v>#N/A</v>
      </c>
      <c r="I19" s="8"/>
      <c r="J19" s="172">
        <f>IF(K18="SHW",1000,IF(K19="",J18+1,IF(ISERROR(VLOOKUP(K18,DATA!$F$32:$G$59,2,FALSE)),K18,VLOOKUP(K18,DATA!$F$32:$G$59,2,FALSE))+0.001))</f>
        <v>1002</v>
      </c>
      <c r="K19" s="173"/>
      <c r="L19" s="222">
        <v>1000</v>
      </c>
      <c r="M19" s="175"/>
      <c r="O19" s="247"/>
      <c r="P19" s="248"/>
      <c r="Q19" s="249">
        <v>1</v>
      </c>
    </row>
    <row r="20" spans="3:17" x14ac:dyDescent="0.2">
      <c r="C20" s="11">
        <v>0</v>
      </c>
      <c r="D20" s="6">
        <v>0.5</v>
      </c>
      <c r="E20" s="6" t="e">
        <f ca="1">IF(OR(D7=0,H4="Kg"),0,MIN(INT(($D$7-VLOOKUP($C$7,$AD$3:$AF$5,3,FALSE)-2*E10*D10-2*E11*D11-2*E12*D12-2*E13*D13-2*E14*D14-2*E15*D15-2*E16*D16-2*E17*D17-2*E18*D18-2*E19*D19)/(2*D20)),C20/2))</f>
        <v>#N/A</v>
      </c>
      <c r="F20" s="237">
        <v>0</v>
      </c>
      <c r="G20" s="236">
        <v>0.25</v>
      </c>
      <c r="H20" s="251" t="e">
        <f ca="1">IF(OR(G7=0,H4="Lb"),0,INT(($G$7-VLOOKUP($C$7,$AD$3:$AF$5,2,FALSE)-2*H10*G10-2*H11*G11-2*H12*G12-2*H13*G13-2*H14*G14-2*H15*G15-2*H16*G16-2*H17*G17-2*H18*G18-2*H19*G19)/(2*G20)))</f>
        <v>#N/A</v>
      </c>
      <c r="I20" s="8"/>
      <c r="J20" s="172">
        <f>IF(K19="SHW",1000,IF(K20="",J19+1,IF(ISERROR(VLOOKUP(K19,DATA!$F$32:$G$59,2,FALSE)),K19,VLOOKUP(K19,DATA!$F$32:$G$59,2,FALSE))+0.001))</f>
        <v>1003</v>
      </c>
      <c r="K20" s="173"/>
      <c r="L20" s="222">
        <v>1001</v>
      </c>
      <c r="M20" s="175"/>
      <c r="O20" s="247"/>
      <c r="P20" s="248"/>
      <c r="Q20" s="249">
        <v>1</v>
      </c>
    </row>
    <row r="21" spans="3:17" ht="13.5" thickBot="1" x14ac:dyDescent="0.25">
      <c r="C21" s="302" t="s">
        <v>78</v>
      </c>
      <c r="D21" s="303"/>
      <c r="E21" s="6">
        <v>1</v>
      </c>
      <c r="F21" s="304" t="s">
        <v>78</v>
      </c>
      <c r="G21" s="304"/>
      <c r="H21" s="10">
        <v>1</v>
      </c>
      <c r="I21" s="8"/>
      <c r="J21" s="172">
        <f>IF(K20="SHW",1000,IF(K21="",J20+1,IF(ISERROR(VLOOKUP(K20,DATA!$F$32:$G$59,2,FALSE)),K20,VLOOKUP(K20,DATA!$F$32:$G$59,2,FALSE))+0.001))</f>
        <v>1004</v>
      </c>
      <c r="K21" s="173"/>
      <c r="L21" s="172">
        <f>IF(M20="SHW",1000,IF(M21="",L20+1,IF(ISERROR(VLOOKUP(M20,DATA!$F$32:$G$59,2,FALSE)),M20,VLOOKUP(M20,DATA!$F$32:$G$59,2,FALSE))+0.001))</f>
        <v>1002</v>
      </c>
      <c r="M21" s="175"/>
      <c r="O21" s="247"/>
      <c r="P21" s="248"/>
      <c r="Q21" s="249">
        <v>1</v>
      </c>
    </row>
    <row r="22" spans="3:17" x14ac:dyDescent="0.2">
      <c r="C22" s="9" t="s">
        <v>77</v>
      </c>
      <c r="D22" s="62">
        <v>65</v>
      </c>
      <c r="E22" s="317" t="s">
        <v>61</v>
      </c>
      <c r="F22" s="250" t="s">
        <v>77</v>
      </c>
      <c r="G22" s="252">
        <v>30</v>
      </c>
      <c r="H22" s="300" t="s">
        <v>75</v>
      </c>
      <c r="I22" s="8"/>
      <c r="J22" s="172">
        <f>IF(K21="SHW",1000,IF(K22="",J21+1,IF(ISERROR(VLOOKUP(K21,DATA!$F$32:$G$59,2,FALSE)),K21,VLOOKUP(K21,DATA!$F$32:$G$59,2,FALSE))+0.001))</f>
        <v>1005</v>
      </c>
      <c r="K22" s="173"/>
      <c r="L22" s="172">
        <f>IF(M21="SHW",1000,IF(M22="",L21+1,IF(ISERROR(VLOOKUP(M21,DATA!$F$32:$G$59,2,FALSE)),M21,VLOOKUP(M21,DATA!$F$32:$G$59,2,FALSE))+0.001))</f>
        <v>1003</v>
      </c>
      <c r="M22" s="175"/>
      <c r="O22" s="247"/>
      <c r="P22" s="248"/>
      <c r="Q22" s="249">
        <v>1</v>
      </c>
    </row>
    <row r="23" spans="3:17" ht="13.5" thickBot="1" x14ac:dyDescent="0.25">
      <c r="C23" s="255" t="s">
        <v>172</v>
      </c>
      <c r="D23" s="67">
        <v>55</v>
      </c>
      <c r="E23" s="318"/>
      <c r="F23" s="253" t="s">
        <v>172</v>
      </c>
      <c r="G23" s="254">
        <v>22.5</v>
      </c>
      <c r="H23" s="301"/>
      <c r="I23" s="8"/>
      <c r="J23" s="172">
        <f>IF(K22="SHW",1000,IF(K23="",J22+1,IF(ISERROR(VLOOKUP(K22,DATA!$F$32:$G$59,2,FALSE)),K22,VLOOKUP(K22,DATA!$F$32:$G$59,2,FALSE))+0.001))</f>
        <v>1006</v>
      </c>
      <c r="K23" s="174"/>
      <c r="L23" s="172">
        <f>IF(M22="SHW",1000,IF(M23="",L22+1,IF(ISERROR(VLOOKUP(M22,DATA!$F$32:$G$59,2,FALSE)),M22,VLOOKUP(M22,DATA!$F$32:$G$59,2,FALSE))+0.001))</f>
        <v>1004</v>
      </c>
      <c r="M23" s="176"/>
      <c r="O23" s="247"/>
      <c r="P23" s="248"/>
      <c r="Q23" s="249">
        <v>1</v>
      </c>
    </row>
    <row r="24" spans="3:17" ht="13.5" thickBot="1" x14ac:dyDescent="0.25">
      <c r="C24" s="255" t="s">
        <v>173</v>
      </c>
      <c r="D24" s="67">
        <v>55</v>
      </c>
      <c r="F24" s="255" t="s">
        <v>173</v>
      </c>
      <c r="G24" s="256">
        <v>25</v>
      </c>
      <c r="H24" s="12"/>
      <c r="I24" s="8"/>
      <c r="O24" s="247"/>
      <c r="P24" s="248"/>
      <c r="Q24" s="249">
        <v>1</v>
      </c>
    </row>
    <row r="25" spans="3:17" ht="12.75" customHeight="1" x14ac:dyDescent="0.2">
      <c r="D25" s="325" t="s">
        <v>146</v>
      </c>
      <c r="E25" s="326"/>
      <c r="F25" s="327"/>
      <c r="G25" s="350" t="s">
        <v>155</v>
      </c>
      <c r="H25" s="12"/>
      <c r="I25" s="8"/>
      <c r="O25" s="247"/>
      <c r="P25" s="248"/>
      <c r="Q25" s="249">
        <v>1</v>
      </c>
    </row>
    <row r="26" spans="3:17" ht="12.75" customHeight="1" thickBot="1" x14ac:dyDescent="0.25">
      <c r="D26" s="347"/>
      <c r="E26" s="348"/>
      <c r="F26" s="349"/>
      <c r="G26" s="351"/>
      <c r="H26" s="12"/>
      <c r="I26" s="8"/>
      <c r="O26" s="247"/>
      <c r="P26" s="248"/>
      <c r="Q26" s="249">
        <v>1</v>
      </c>
    </row>
    <row r="27" spans="3:17" ht="13.5" thickBot="1" x14ac:dyDescent="0.25">
      <c r="H27" s="12"/>
      <c r="I27" s="8"/>
      <c r="O27" s="247"/>
      <c r="P27" s="248"/>
      <c r="Q27" s="249">
        <v>1</v>
      </c>
    </row>
    <row r="28" spans="3:17" x14ac:dyDescent="0.2">
      <c r="D28" s="363" t="s">
        <v>108</v>
      </c>
      <c r="E28" s="364"/>
      <c r="F28" s="364"/>
      <c r="G28" s="365"/>
      <c r="H28" s="12"/>
      <c r="I28" s="8"/>
      <c r="K28" s="369" t="s">
        <v>114</v>
      </c>
      <c r="L28" s="370"/>
      <c r="M28" s="371"/>
      <c r="O28" s="247"/>
      <c r="P28" s="248"/>
      <c r="Q28" s="249">
        <v>1</v>
      </c>
    </row>
    <row r="29" spans="3:17" ht="13.5" thickBot="1" x14ac:dyDescent="0.25">
      <c r="C29" s="80"/>
      <c r="D29" s="366"/>
      <c r="E29" s="367"/>
      <c r="F29" s="367"/>
      <c r="G29" s="368"/>
      <c r="H29" s="12"/>
      <c r="I29" s="8"/>
      <c r="K29" s="372"/>
      <c r="L29" s="373"/>
      <c r="M29" s="374"/>
      <c r="O29" s="247"/>
      <c r="P29" s="248"/>
      <c r="Q29" s="249">
        <v>1</v>
      </c>
    </row>
    <row r="30" spans="3:17" x14ac:dyDescent="0.2">
      <c r="H30" s="12"/>
      <c r="I30" s="8"/>
      <c r="K30" s="357" t="s">
        <v>156</v>
      </c>
      <c r="L30" s="358"/>
      <c r="M30" s="359"/>
      <c r="O30" s="247"/>
      <c r="P30" s="248"/>
      <c r="Q30" s="249">
        <v>1</v>
      </c>
    </row>
    <row r="31" spans="3:17" x14ac:dyDescent="0.2">
      <c r="K31" s="360"/>
      <c r="L31" s="361"/>
      <c r="M31" s="362"/>
      <c r="O31" s="247"/>
      <c r="P31" s="248"/>
      <c r="Q31" s="249">
        <v>1</v>
      </c>
    </row>
    <row r="32" spans="3:17" ht="13.5" thickBot="1" x14ac:dyDescent="0.25">
      <c r="O32" s="247"/>
      <c r="P32" s="248"/>
      <c r="Q32" s="249">
        <v>1</v>
      </c>
    </row>
    <row r="33" spans="3:17" x14ac:dyDescent="0.2">
      <c r="C33" s="354" t="s">
        <v>148</v>
      </c>
      <c r="D33" s="355"/>
      <c r="E33" s="355"/>
      <c r="F33" s="355" t="s">
        <v>160</v>
      </c>
      <c r="G33" s="355"/>
      <c r="H33" s="356"/>
      <c r="O33" s="247"/>
      <c r="P33" s="248"/>
      <c r="Q33" s="249">
        <v>1</v>
      </c>
    </row>
    <row r="34" spans="3:17" x14ac:dyDescent="0.2">
      <c r="C34" s="302" t="s">
        <v>149</v>
      </c>
      <c r="D34" s="303"/>
      <c r="E34" s="352"/>
      <c r="F34" s="352"/>
      <c r="G34" s="352"/>
      <c r="H34" s="353"/>
      <c r="O34" s="247"/>
      <c r="P34" s="248"/>
      <c r="Q34" s="249">
        <v>1</v>
      </c>
    </row>
    <row r="35" spans="3:17" x14ac:dyDescent="0.2">
      <c r="C35" s="302" t="s">
        <v>150</v>
      </c>
      <c r="D35" s="303"/>
      <c r="E35" s="375"/>
      <c r="F35" s="376"/>
      <c r="G35" s="376"/>
      <c r="H35" s="377"/>
      <c r="O35" s="247"/>
      <c r="P35" s="248"/>
      <c r="Q35" s="249">
        <v>1</v>
      </c>
    </row>
    <row r="36" spans="3:17" ht="13.5" thickBot="1" x14ac:dyDescent="0.25">
      <c r="C36" s="345" t="s">
        <v>151</v>
      </c>
      <c r="D36" s="346"/>
      <c r="E36" s="339"/>
      <c r="F36" s="340"/>
      <c r="G36" s="340"/>
      <c r="H36" s="341"/>
      <c r="O36" s="247"/>
      <c r="P36" s="248"/>
      <c r="Q36" s="249">
        <v>1</v>
      </c>
    </row>
    <row r="37" spans="3:17" ht="13.5" thickBot="1" x14ac:dyDescent="0.25">
      <c r="O37" s="247"/>
      <c r="P37" s="248"/>
      <c r="Q37" s="249">
        <v>1</v>
      </c>
    </row>
    <row r="38" spans="3:17" ht="13.5" thickBot="1" x14ac:dyDescent="0.25">
      <c r="C38" s="211"/>
      <c r="D38" s="210"/>
      <c r="E38" s="343" t="s">
        <v>152</v>
      </c>
      <c r="F38" s="344"/>
      <c r="G38" s="209"/>
      <c r="H38" s="209"/>
      <c r="O38" s="247"/>
      <c r="P38" s="248"/>
      <c r="Q38" s="249">
        <v>1</v>
      </c>
    </row>
    <row r="39" spans="3:17" x14ac:dyDescent="0.2">
      <c r="C39" s="342"/>
      <c r="D39" s="342"/>
      <c r="E39" s="342"/>
      <c r="F39" s="342"/>
      <c r="G39" s="342"/>
      <c r="H39" s="342"/>
      <c r="O39" s="247"/>
      <c r="P39" s="248"/>
      <c r="Q39" s="249">
        <v>1</v>
      </c>
    </row>
    <row r="40" spans="3:17" ht="13.5" thickBot="1" x14ac:dyDescent="0.25">
      <c r="O40" s="247"/>
      <c r="P40" s="248"/>
      <c r="Q40" s="249">
        <v>1</v>
      </c>
    </row>
    <row r="41" spans="3:17" x14ac:dyDescent="0.2">
      <c r="C41" s="354" t="s">
        <v>161</v>
      </c>
      <c r="D41" s="355"/>
      <c r="E41" s="355"/>
      <c r="F41" s="355" t="s">
        <v>175</v>
      </c>
      <c r="G41" s="355"/>
      <c r="H41" s="356"/>
      <c r="O41" s="247"/>
      <c r="P41" s="248"/>
      <c r="Q41" s="249">
        <v>1</v>
      </c>
    </row>
    <row r="42" spans="3:17" x14ac:dyDescent="0.2">
      <c r="C42" s="302" t="s">
        <v>163</v>
      </c>
      <c r="D42" s="303"/>
      <c r="E42" s="352" t="s">
        <v>164</v>
      </c>
      <c r="F42" s="352"/>
      <c r="G42" s="352"/>
      <c r="H42" s="353"/>
      <c r="O42" s="247"/>
      <c r="P42" s="248"/>
      <c r="Q42" s="249">
        <v>1</v>
      </c>
    </row>
    <row r="43" spans="3:17" x14ac:dyDescent="0.2">
      <c r="C43" s="302" t="s">
        <v>150</v>
      </c>
      <c r="D43" s="303"/>
      <c r="E43" s="375"/>
      <c r="F43" s="376"/>
      <c r="G43" s="376"/>
      <c r="H43" s="377"/>
      <c r="O43" s="247"/>
      <c r="P43" s="248"/>
      <c r="Q43" s="249">
        <v>1</v>
      </c>
    </row>
    <row r="44" spans="3:17" ht="13.5" thickBot="1" x14ac:dyDescent="0.25">
      <c r="C44" s="345" t="s">
        <v>151</v>
      </c>
      <c r="D44" s="346"/>
      <c r="E44" s="339" t="s">
        <v>165</v>
      </c>
      <c r="F44" s="340"/>
      <c r="G44" s="340"/>
      <c r="H44" s="341"/>
      <c r="O44" s="247"/>
      <c r="P44" s="248"/>
      <c r="Q44" s="249">
        <v>1</v>
      </c>
    </row>
    <row r="45" spans="3:17" ht="13.5" thickBot="1" x14ac:dyDescent="0.25">
      <c r="C45" s="232"/>
      <c r="D45" s="232"/>
      <c r="E45" s="232"/>
      <c r="F45" s="232"/>
      <c r="G45" s="232"/>
      <c r="H45" s="232"/>
      <c r="O45" s="247"/>
      <c r="P45" s="248"/>
      <c r="Q45" s="249">
        <v>1</v>
      </c>
    </row>
    <row r="46" spans="3:17" ht="13.5" thickBot="1" x14ac:dyDescent="0.25">
      <c r="C46" s="211"/>
      <c r="D46" s="210"/>
      <c r="E46" s="343" t="s">
        <v>152</v>
      </c>
      <c r="F46" s="344"/>
      <c r="G46" s="209"/>
      <c r="H46" s="209"/>
      <c r="O46" s="247"/>
      <c r="P46" s="248"/>
      <c r="Q46" s="249">
        <v>1</v>
      </c>
    </row>
    <row r="47" spans="3:17" x14ac:dyDescent="0.2">
      <c r="C47" s="342" t="s">
        <v>166</v>
      </c>
      <c r="D47" s="342"/>
      <c r="E47" s="342"/>
      <c r="F47" s="342"/>
      <c r="G47" s="342"/>
      <c r="H47" s="342"/>
      <c r="O47" s="247"/>
      <c r="P47" s="248"/>
      <c r="Q47" s="249">
        <v>1</v>
      </c>
    </row>
    <row r="48" spans="3:17" x14ac:dyDescent="0.2">
      <c r="O48" s="247"/>
      <c r="P48" s="248"/>
      <c r="Q48" s="249">
        <v>1</v>
      </c>
    </row>
    <row r="49" spans="15:17" x14ac:dyDescent="0.2">
      <c r="O49" s="247"/>
      <c r="P49" s="248"/>
      <c r="Q49" s="249">
        <v>1</v>
      </c>
    </row>
    <row r="50" spans="15:17" x14ac:dyDescent="0.2">
      <c r="O50" s="247"/>
      <c r="P50" s="248"/>
      <c r="Q50" s="249">
        <v>1</v>
      </c>
    </row>
    <row r="51" spans="15:17" x14ac:dyDescent="0.2">
      <c r="O51" s="247"/>
      <c r="P51" s="248"/>
      <c r="Q51" s="249">
        <v>1</v>
      </c>
    </row>
    <row r="52" spans="15:17" x14ac:dyDescent="0.2">
      <c r="O52" s="247"/>
      <c r="P52" s="248"/>
      <c r="Q52" s="249">
        <v>1</v>
      </c>
    </row>
    <row r="53" spans="15:17" x14ac:dyDescent="0.2">
      <c r="O53" s="247"/>
      <c r="P53" s="248"/>
      <c r="Q53" s="249">
        <v>1</v>
      </c>
    </row>
    <row r="54" spans="15:17" x14ac:dyDescent="0.2">
      <c r="O54" s="247"/>
      <c r="P54" s="248"/>
      <c r="Q54" s="249">
        <v>1</v>
      </c>
    </row>
    <row r="55" spans="15:17" x14ac:dyDescent="0.2">
      <c r="O55" s="247"/>
      <c r="P55" s="248"/>
      <c r="Q55" s="249">
        <v>1</v>
      </c>
    </row>
    <row r="56" spans="15:17" x14ac:dyDescent="0.2">
      <c r="O56" s="247"/>
      <c r="P56" s="248"/>
      <c r="Q56" s="249">
        <v>1</v>
      </c>
    </row>
    <row r="57" spans="15:17" x14ac:dyDescent="0.2">
      <c r="O57" s="247"/>
      <c r="P57" s="248"/>
      <c r="Q57" s="249">
        <v>1</v>
      </c>
    </row>
    <row r="58" spans="15:17" x14ac:dyDescent="0.2">
      <c r="O58" s="247"/>
      <c r="P58" s="248"/>
      <c r="Q58" s="249">
        <v>1</v>
      </c>
    </row>
    <row r="59" spans="15:17" x14ac:dyDescent="0.2">
      <c r="O59" s="247"/>
      <c r="P59" s="248"/>
      <c r="Q59" s="249">
        <v>1</v>
      </c>
    </row>
    <row r="60" spans="15:17" x14ac:dyDescent="0.2">
      <c r="O60" s="247"/>
      <c r="P60" s="248"/>
      <c r="Q60" s="249">
        <v>1</v>
      </c>
    </row>
    <row r="61" spans="15:17" x14ac:dyDescent="0.2">
      <c r="O61" s="247"/>
      <c r="P61" s="248"/>
      <c r="Q61" s="249">
        <v>1</v>
      </c>
    </row>
    <row r="62" spans="15:17" x14ac:dyDescent="0.2">
      <c r="O62" s="247"/>
      <c r="P62" s="248"/>
      <c r="Q62" s="249">
        <v>1</v>
      </c>
    </row>
    <row r="63" spans="15:17" x14ac:dyDescent="0.2">
      <c r="O63" s="247"/>
      <c r="P63" s="248"/>
      <c r="Q63" s="249">
        <v>1</v>
      </c>
    </row>
    <row r="64" spans="15:17" x14ac:dyDescent="0.2">
      <c r="O64" s="247"/>
      <c r="P64" s="248"/>
      <c r="Q64" s="249">
        <v>1</v>
      </c>
    </row>
    <row r="65" spans="15:17" x14ac:dyDescent="0.2">
      <c r="O65" s="247"/>
      <c r="P65" s="248"/>
      <c r="Q65" s="249">
        <v>1</v>
      </c>
    </row>
    <row r="66" spans="15:17" x14ac:dyDescent="0.2">
      <c r="O66" s="247"/>
      <c r="P66" s="248"/>
      <c r="Q66" s="249">
        <v>1</v>
      </c>
    </row>
    <row r="67" spans="15:17" x14ac:dyDescent="0.2">
      <c r="O67" s="247"/>
      <c r="P67" s="248"/>
      <c r="Q67" s="249">
        <v>1</v>
      </c>
    </row>
    <row r="68" spans="15:17" x14ac:dyDescent="0.2">
      <c r="O68" s="247"/>
      <c r="P68" s="248"/>
      <c r="Q68" s="249">
        <v>1</v>
      </c>
    </row>
    <row r="69" spans="15:17" x14ac:dyDescent="0.2">
      <c r="O69" s="247"/>
      <c r="P69" s="248"/>
      <c r="Q69" s="249">
        <v>1</v>
      </c>
    </row>
    <row r="70" spans="15:17" x14ac:dyDescent="0.2">
      <c r="O70" s="247"/>
      <c r="P70" s="248"/>
      <c r="Q70" s="249">
        <v>1</v>
      </c>
    </row>
    <row r="71" spans="15:17" x14ac:dyDescent="0.2">
      <c r="O71" s="247"/>
      <c r="P71" s="248"/>
      <c r="Q71" s="249">
        <v>1</v>
      </c>
    </row>
    <row r="72" spans="15:17" x14ac:dyDescent="0.2">
      <c r="O72" s="247"/>
      <c r="P72" s="248"/>
      <c r="Q72" s="249">
        <v>1</v>
      </c>
    </row>
    <row r="73" spans="15:17" x14ac:dyDescent="0.2">
      <c r="O73" s="247"/>
      <c r="P73" s="248"/>
      <c r="Q73" s="249">
        <v>1</v>
      </c>
    </row>
    <row r="74" spans="15:17" x14ac:dyDescent="0.2">
      <c r="O74" s="247"/>
      <c r="P74" s="248"/>
      <c r="Q74" s="249">
        <v>1</v>
      </c>
    </row>
    <row r="75" spans="15:17" x14ac:dyDescent="0.2">
      <c r="O75" s="247"/>
      <c r="P75" s="248"/>
      <c r="Q75" s="249">
        <v>1</v>
      </c>
    </row>
    <row r="76" spans="15:17" x14ac:dyDescent="0.2">
      <c r="O76" s="247"/>
      <c r="P76" s="248"/>
      <c r="Q76" s="249">
        <v>1</v>
      </c>
    </row>
    <row r="77" spans="15:17" x14ac:dyDescent="0.2">
      <c r="O77" s="247"/>
      <c r="P77" s="248"/>
      <c r="Q77" s="249">
        <v>1</v>
      </c>
    </row>
    <row r="78" spans="15:17" x14ac:dyDescent="0.2">
      <c r="O78" s="247"/>
      <c r="P78" s="248"/>
      <c r="Q78" s="249">
        <v>1</v>
      </c>
    </row>
    <row r="79" spans="15:17" x14ac:dyDescent="0.2">
      <c r="O79" s="247"/>
      <c r="P79" s="248"/>
      <c r="Q79" s="249">
        <v>1</v>
      </c>
    </row>
    <row r="80" spans="15:17" x14ac:dyDescent="0.2">
      <c r="O80" s="247"/>
      <c r="P80" s="248"/>
      <c r="Q80" s="249">
        <v>1</v>
      </c>
    </row>
    <row r="81" spans="15:17" x14ac:dyDescent="0.2">
      <c r="O81" s="247"/>
      <c r="P81" s="248"/>
      <c r="Q81" s="249">
        <v>1</v>
      </c>
    </row>
    <row r="82" spans="15:17" x14ac:dyDescent="0.2">
      <c r="O82" s="247"/>
      <c r="P82" s="248"/>
      <c r="Q82" s="249">
        <v>1</v>
      </c>
    </row>
    <row r="83" spans="15:17" x14ac:dyDescent="0.2">
      <c r="O83" s="247"/>
      <c r="P83" s="248"/>
      <c r="Q83" s="249">
        <v>1</v>
      </c>
    </row>
    <row r="84" spans="15:17" x14ac:dyDescent="0.2">
      <c r="O84" s="247"/>
      <c r="P84" s="248"/>
      <c r="Q84" s="249">
        <v>1</v>
      </c>
    </row>
    <row r="85" spans="15:17" x14ac:dyDescent="0.2">
      <c r="O85" s="247"/>
      <c r="P85" s="248"/>
      <c r="Q85" s="249">
        <v>1</v>
      </c>
    </row>
    <row r="86" spans="15:17" x14ac:dyDescent="0.2">
      <c r="O86" s="247"/>
      <c r="P86" s="248"/>
      <c r="Q86" s="249">
        <v>1</v>
      </c>
    </row>
    <row r="87" spans="15:17" x14ac:dyDescent="0.2">
      <c r="O87" s="247"/>
      <c r="P87" s="248"/>
      <c r="Q87" s="249">
        <v>1</v>
      </c>
    </row>
    <row r="88" spans="15:17" x14ac:dyDescent="0.2">
      <c r="O88" s="247"/>
      <c r="P88" s="248"/>
      <c r="Q88" s="249">
        <v>1</v>
      </c>
    </row>
    <row r="89" spans="15:17" x14ac:dyDescent="0.2">
      <c r="O89" s="247"/>
      <c r="P89" s="248"/>
      <c r="Q89" s="249">
        <v>1</v>
      </c>
    </row>
    <row r="90" spans="15:17" x14ac:dyDescent="0.2">
      <c r="O90" s="247"/>
      <c r="P90" s="248"/>
      <c r="Q90" s="249">
        <v>1</v>
      </c>
    </row>
    <row r="91" spans="15:17" x14ac:dyDescent="0.2">
      <c r="O91" s="247"/>
      <c r="P91" s="248"/>
      <c r="Q91" s="249">
        <v>1</v>
      </c>
    </row>
    <row r="92" spans="15:17" x14ac:dyDescent="0.2">
      <c r="O92" s="247"/>
      <c r="P92" s="248"/>
      <c r="Q92" s="249">
        <v>1</v>
      </c>
    </row>
    <row r="93" spans="15:17" x14ac:dyDescent="0.2">
      <c r="O93" s="247"/>
      <c r="P93" s="248"/>
      <c r="Q93" s="249">
        <v>1</v>
      </c>
    </row>
    <row r="94" spans="15:17" x14ac:dyDescent="0.2">
      <c r="O94" s="247"/>
      <c r="P94" s="248"/>
      <c r="Q94" s="249">
        <v>1</v>
      </c>
    </row>
    <row r="95" spans="15:17" x14ac:dyDescent="0.2">
      <c r="O95" s="247"/>
      <c r="P95" s="248"/>
      <c r="Q95" s="249">
        <v>1</v>
      </c>
    </row>
    <row r="96" spans="15:17" x14ac:dyDescent="0.2">
      <c r="O96" s="247"/>
      <c r="P96" s="248"/>
      <c r="Q96" s="249">
        <v>1</v>
      </c>
    </row>
    <row r="97" spans="15:17" x14ac:dyDescent="0.2">
      <c r="O97" s="247"/>
      <c r="P97" s="248"/>
      <c r="Q97" s="243">
        <v>1</v>
      </c>
    </row>
    <row r="98" spans="15:17" x14ac:dyDescent="0.2">
      <c r="O98" s="247"/>
      <c r="P98" s="248"/>
      <c r="Q98" s="243">
        <v>1</v>
      </c>
    </row>
    <row r="99" spans="15:17" x14ac:dyDescent="0.2">
      <c r="O99" s="247"/>
      <c r="P99" s="248"/>
      <c r="Q99" s="243">
        <v>1</v>
      </c>
    </row>
    <row r="100" spans="15:17" x14ac:dyDescent="0.2">
      <c r="O100" s="247"/>
      <c r="P100" s="248"/>
      <c r="Q100" s="243">
        <v>1</v>
      </c>
    </row>
    <row r="101" spans="15:17" x14ac:dyDescent="0.2">
      <c r="O101" s="247"/>
      <c r="P101" s="248"/>
      <c r="Q101" s="243">
        <v>1</v>
      </c>
    </row>
    <row r="102" spans="15:17" x14ac:dyDescent="0.2">
      <c r="O102" s="247"/>
      <c r="P102" s="248"/>
      <c r="Q102" s="243">
        <v>1</v>
      </c>
    </row>
    <row r="103" spans="15:17" x14ac:dyDescent="0.2">
      <c r="O103" s="247"/>
      <c r="P103" s="248"/>
      <c r="Q103" s="243">
        <v>1</v>
      </c>
    </row>
    <row r="104" spans="15:17" x14ac:dyDescent="0.2">
      <c r="O104" s="247"/>
      <c r="P104" s="248"/>
      <c r="Q104" s="243">
        <v>1</v>
      </c>
    </row>
    <row r="105" spans="15:17" x14ac:dyDescent="0.2">
      <c r="O105" s="247"/>
      <c r="P105" s="248"/>
      <c r="Q105" s="243">
        <v>1</v>
      </c>
    </row>
    <row r="106" spans="15:17" x14ac:dyDescent="0.2">
      <c r="O106" s="247"/>
      <c r="P106" s="248"/>
      <c r="Q106" s="243">
        <v>1</v>
      </c>
    </row>
    <row r="107" spans="15:17" x14ac:dyDescent="0.2">
      <c r="O107" s="247"/>
      <c r="P107" s="248"/>
      <c r="Q107" s="243">
        <v>1</v>
      </c>
    </row>
    <row r="108" spans="15:17" x14ac:dyDescent="0.2">
      <c r="O108" s="247"/>
      <c r="P108" s="248"/>
      <c r="Q108" s="243">
        <v>1</v>
      </c>
    </row>
    <row r="109" spans="15:17" x14ac:dyDescent="0.2">
      <c r="O109" s="247"/>
      <c r="P109" s="248"/>
      <c r="Q109" s="243">
        <v>1</v>
      </c>
    </row>
    <row r="110" spans="15:17" x14ac:dyDescent="0.2">
      <c r="O110" s="247"/>
      <c r="P110" s="248"/>
      <c r="Q110" s="243">
        <v>1</v>
      </c>
    </row>
    <row r="111" spans="15:17" x14ac:dyDescent="0.2">
      <c r="O111" s="247"/>
      <c r="P111" s="248"/>
      <c r="Q111" s="243">
        <v>1</v>
      </c>
    </row>
    <row r="112" spans="15:17" x14ac:dyDescent="0.2">
      <c r="O112" s="247"/>
      <c r="P112" s="248"/>
      <c r="Q112" s="243">
        <v>1</v>
      </c>
    </row>
    <row r="113" spans="15:17" x14ac:dyDescent="0.2">
      <c r="O113" s="247"/>
      <c r="P113" s="248"/>
      <c r="Q113" s="243">
        <v>1</v>
      </c>
    </row>
    <row r="114" spans="15:17" x14ac:dyDescent="0.2">
      <c r="O114" s="247"/>
      <c r="P114" s="248"/>
      <c r="Q114" s="243">
        <v>1</v>
      </c>
    </row>
    <row r="115" spans="15:17" x14ac:dyDescent="0.2">
      <c r="O115" s="247"/>
      <c r="P115" s="248"/>
      <c r="Q115" s="243">
        <v>1</v>
      </c>
    </row>
    <row r="116" spans="15:17" x14ac:dyDescent="0.2">
      <c r="O116" s="247"/>
      <c r="P116" s="248"/>
      <c r="Q116" s="243">
        <v>1</v>
      </c>
    </row>
    <row r="117" spans="15:17" x14ac:dyDescent="0.2">
      <c r="O117" s="247"/>
      <c r="P117" s="248"/>
      <c r="Q117" s="243">
        <v>1</v>
      </c>
    </row>
    <row r="118" spans="15:17" x14ac:dyDescent="0.2">
      <c r="O118" s="247"/>
      <c r="P118" s="248"/>
      <c r="Q118" s="243">
        <v>1</v>
      </c>
    </row>
    <row r="119" spans="15:17" x14ac:dyDescent="0.2">
      <c r="O119" s="247"/>
      <c r="P119" s="248"/>
      <c r="Q119" s="243">
        <v>1</v>
      </c>
    </row>
    <row r="120" spans="15:17" x14ac:dyDescent="0.2">
      <c r="O120" s="247"/>
      <c r="P120" s="248"/>
      <c r="Q120" s="243">
        <v>1</v>
      </c>
    </row>
    <row r="121" spans="15:17" x14ac:dyDescent="0.2">
      <c r="O121" s="247"/>
      <c r="P121" s="248"/>
      <c r="Q121" s="243">
        <v>1</v>
      </c>
    </row>
    <row r="122" spans="15:17" x14ac:dyDescent="0.2">
      <c r="O122" s="247"/>
      <c r="P122" s="248"/>
      <c r="Q122" s="243">
        <v>1</v>
      </c>
    </row>
    <row r="123" spans="15:17" x14ac:dyDescent="0.2">
      <c r="O123" s="247"/>
      <c r="P123" s="248"/>
      <c r="Q123" s="243">
        <v>1</v>
      </c>
    </row>
    <row r="124" spans="15:17" x14ac:dyDescent="0.2">
      <c r="O124" s="247"/>
      <c r="P124" s="248"/>
      <c r="Q124" s="243">
        <v>1</v>
      </c>
    </row>
    <row r="125" spans="15:17" x14ac:dyDescent="0.2">
      <c r="O125" s="247"/>
      <c r="P125" s="248"/>
      <c r="Q125" s="243">
        <v>1</v>
      </c>
    </row>
    <row r="126" spans="15:17" x14ac:dyDescent="0.2">
      <c r="O126" s="247"/>
      <c r="P126" s="248"/>
      <c r="Q126" s="243">
        <v>1</v>
      </c>
    </row>
    <row r="127" spans="15:17" x14ac:dyDescent="0.2">
      <c r="O127" s="247"/>
      <c r="P127" s="248"/>
      <c r="Q127" s="243">
        <v>1</v>
      </c>
    </row>
    <row r="128" spans="15:17" x14ac:dyDescent="0.2">
      <c r="O128" s="247"/>
      <c r="P128" s="248"/>
      <c r="Q128" s="243">
        <v>1</v>
      </c>
    </row>
    <row r="129" spans="15:17" x14ac:dyDescent="0.2">
      <c r="O129" s="247"/>
      <c r="P129" s="248"/>
      <c r="Q129" s="243">
        <v>1</v>
      </c>
    </row>
    <row r="130" spans="15:17" x14ac:dyDescent="0.2">
      <c r="O130" s="247"/>
      <c r="P130" s="248"/>
      <c r="Q130" s="243">
        <v>1</v>
      </c>
    </row>
    <row r="131" spans="15:17" x14ac:dyDescent="0.2">
      <c r="O131" s="247"/>
      <c r="P131" s="248"/>
      <c r="Q131" s="243">
        <v>1</v>
      </c>
    </row>
    <row r="132" spans="15:17" x14ac:dyDescent="0.2">
      <c r="O132" s="247"/>
      <c r="P132" s="248"/>
      <c r="Q132" s="243">
        <v>1</v>
      </c>
    </row>
    <row r="133" spans="15:17" x14ac:dyDescent="0.2">
      <c r="O133" s="247"/>
      <c r="P133" s="248"/>
      <c r="Q133" s="243">
        <v>1</v>
      </c>
    </row>
    <row r="134" spans="15:17" x14ac:dyDescent="0.2">
      <c r="O134" s="247"/>
      <c r="P134" s="248"/>
      <c r="Q134" s="243">
        <v>1</v>
      </c>
    </row>
    <row r="135" spans="15:17" x14ac:dyDescent="0.2">
      <c r="O135" s="247"/>
      <c r="P135" s="248"/>
      <c r="Q135" s="243">
        <v>1</v>
      </c>
    </row>
    <row r="136" spans="15:17" x14ac:dyDescent="0.2">
      <c r="O136" s="247"/>
      <c r="P136" s="248"/>
      <c r="Q136" s="243">
        <v>1</v>
      </c>
    </row>
    <row r="137" spans="15:17" x14ac:dyDescent="0.2">
      <c r="O137" s="247"/>
      <c r="P137" s="248"/>
      <c r="Q137" s="243">
        <v>1</v>
      </c>
    </row>
    <row r="138" spans="15:17" x14ac:dyDescent="0.2">
      <c r="O138" s="247"/>
      <c r="P138" s="248"/>
      <c r="Q138" s="243">
        <v>1</v>
      </c>
    </row>
    <row r="139" spans="15:17" x14ac:dyDescent="0.2">
      <c r="O139" s="247"/>
      <c r="P139" s="248"/>
      <c r="Q139" s="243">
        <v>1</v>
      </c>
    </row>
    <row r="140" spans="15:17" x14ac:dyDescent="0.2">
      <c r="O140" s="247"/>
      <c r="P140" s="248"/>
      <c r="Q140" s="243">
        <v>1</v>
      </c>
    </row>
    <row r="141" spans="15:17" x14ac:dyDescent="0.2">
      <c r="O141" s="247"/>
      <c r="P141" s="248"/>
      <c r="Q141" s="243">
        <v>1</v>
      </c>
    </row>
    <row r="142" spans="15:17" x14ac:dyDescent="0.2">
      <c r="O142" s="247"/>
      <c r="P142" s="248"/>
      <c r="Q142" s="243">
        <v>1</v>
      </c>
    </row>
    <row r="143" spans="15:17" x14ac:dyDescent="0.2">
      <c r="O143" s="247"/>
      <c r="P143" s="248"/>
      <c r="Q143" s="243">
        <v>1</v>
      </c>
    </row>
    <row r="144" spans="15:17" x14ac:dyDescent="0.2">
      <c r="O144" s="247"/>
      <c r="P144" s="248"/>
      <c r="Q144" s="243">
        <v>1</v>
      </c>
    </row>
    <row r="145" spans="15:17" x14ac:dyDescent="0.2">
      <c r="O145" s="247"/>
      <c r="P145" s="248"/>
      <c r="Q145" s="243">
        <v>1</v>
      </c>
    </row>
    <row r="146" spans="15:17" x14ac:dyDescent="0.2">
      <c r="O146" s="247"/>
      <c r="P146" s="248"/>
      <c r="Q146" s="243">
        <v>1</v>
      </c>
    </row>
    <row r="147" spans="15:17" x14ac:dyDescent="0.2">
      <c r="O147" s="247"/>
      <c r="P147" s="248"/>
      <c r="Q147" s="243">
        <v>1</v>
      </c>
    </row>
    <row r="148" spans="15:17" x14ac:dyDescent="0.2">
      <c r="O148" s="247"/>
      <c r="P148" s="248"/>
      <c r="Q148" s="243">
        <v>1</v>
      </c>
    </row>
    <row r="149" spans="15:17" x14ac:dyDescent="0.2">
      <c r="O149" s="247"/>
      <c r="P149" s="248"/>
      <c r="Q149" s="243">
        <v>1</v>
      </c>
    </row>
    <row r="150" spans="15:17" x14ac:dyDescent="0.2">
      <c r="O150" s="247"/>
      <c r="P150" s="248"/>
      <c r="Q150" s="243">
        <v>1</v>
      </c>
    </row>
    <row r="151" spans="15:17" x14ac:dyDescent="0.2">
      <c r="O151" s="247"/>
      <c r="P151" s="248"/>
      <c r="Q151" s="243">
        <v>1</v>
      </c>
    </row>
    <row r="152" spans="15:17" x14ac:dyDescent="0.2">
      <c r="O152" s="247"/>
      <c r="P152" s="248"/>
      <c r="Q152" s="243">
        <v>1</v>
      </c>
    </row>
    <row r="153" spans="15:17" x14ac:dyDescent="0.2">
      <c r="O153" s="247"/>
      <c r="P153" s="248"/>
      <c r="Q153" s="243">
        <v>1</v>
      </c>
    </row>
    <row r="154" spans="15:17" x14ac:dyDescent="0.2">
      <c r="O154" s="247"/>
      <c r="P154" s="248"/>
      <c r="Q154" s="243">
        <v>1</v>
      </c>
    </row>
    <row r="155" spans="15:17" x14ac:dyDescent="0.2">
      <c r="O155" s="247"/>
      <c r="P155" s="248"/>
      <c r="Q155" s="243">
        <v>1</v>
      </c>
    </row>
    <row r="156" spans="15:17" x14ac:dyDescent="0.2">
      <c r="O156" s="247"/>
      <c r="P156" s="248"/>
      <c r="Q156" s="243">
        <v>1</v>
      </c>
    </row>
    <row r="157" spans="15:17" x14ac:dyDescent="0.2">
      <c r="O157" s="247"/>
      <c r="P157" s="248"/>
      <c r="Q157" s="243">
        <v>1</v>
      </c>
    </row>
    <row r="158" spans="15:17" x14ac:dyDescent="0.2">
      <c r="O158" s="247"/>
      <c r="P158" s="248"/>
      <c r="Q158" s="243">
        <v>1</v>
      </c>
    </row>
    <row r="159" spans="15:17" x14ac:dyDescent="0.2">
      <c r="O159" s="247"/>
      <c r="P159" s="248"/>
      <c r="Q159" s="243">
        <v>1</v>
      </c>
    </row>
    <row r="160" spans="15:17" x14ac:dyDescent="0.2">
      <c r="O160" s="247"/>
      <c r="P160" s="248"/>
      <c r="Q160" s="243">
        <v>1</v>
      </c>
    </row>
    <row r="161" spans="15:17" x14ac:dyDescent="0.2">
      <c r="O161" s="247"/>
      <c r="P161" s="248"/>
      <c r="Q161" s="243">
        <v>1</v>
      </c>
    </row>
    <row r="162" spans="15:17" x14ac:dyDescent="0.2">
      <c r="O162" s="247"/>
      <c r="P162" s="248"/>
      <c r="Q162" s="243">
        <v>1</v>
      </c>
    </row>
    <row r="163" spans="15:17" x14ac:dyDescent="0.2">
      <c r="O163" s="247"/>
      <c r="P163" s="248"/>
      <c r="Q163" s="243">
        <v>1</v>
      </c>
    </row>
    <row r="164" spans="15:17" x14ac:dyDescent="0.2">
      <c r="O164" s="247"/>
      <c r="P164" s="248"/>
      <c r="Q164" s="243">
        <v>1</v>
      </c>
    </row>
    <row r="165" spans="15:17" x14ac:dyDescent="0.2">
      <c r="O165" s="247"/>
      <c r="P165" s="248"/>
      <c r="Q165" s="243">
        <v>1</v>
      </c>
    </row>
    <row r="166" spans="15:17" x14ac:dyDescent="0.2">
      <c r="O166" s="247"/>
      <c r="P166" s="248"/>
      <c r="Q166" s="243">
        <v>1</v>
      </c>
    </row>
    <row r="167" spans="15:17" x14ac:dyDescent="0.2">
      <c r="O167" s="247"/>
      <c r="P167" s="248"/>
      <c r="Q167" s="243">
        <v>1</v>
      </c>
    </row>
    <row r="168" spans="15:17" x14ac:dyDescent="0.2">
      <c r="O168" s="247"/>
      <c r="P168" s="248"/>
      <c r="Q168" s="243">
        <v>1</v>
      </c>
    </row>
    <row r="169" spans="15:17" x14ac:dyDescent="0.2">
      <c r="O169" s="247"/>
      <c r="P169" s="248"/>
      <c r="Q169" s="243">
        <v>1</v>
      </c>
    </row>
    <row r="170" spans="15:17" x14ac:dyDescent="0.2">
      <c r="O170" s="247"/>
      <c r="P170" s="248"/>
      <c r="Q170" s="243">
        <v>1</v>
      </c>
    </row>
    <row r="171" spans="15:17" x14ac:dyDescent="0.2">
      <c r="O171" s="247"/>
      <c r="P171" s="248"/>
      <c r="Q171" s="243">
        <v>1</v>
      </c>
    </row>
    <row r="172" spans="15:17" x14ac:dyDescent="0.2">
      <c r="O172" s="247"/>
      <c r="P172" s="248"/>
      <c r="Q172" s="243">
        <v>1</v>
      </c>
    </row>
    <row r="173" spans="15:17" x14ac:dyDescent="0.2">
      <c r="O173" s="247"/>
      <c r="P173" s="248"/>
      <c r="Q173" s="243">
        <v>1</v>
      </c>
    </row>
    <row r="174" spans="15:17" x14ac:dyDescent="0.2">
      <c r="O174" s="247"/>
      <c r="P174" s="248"/>
      <c r="Q174" s="243">
        <v>1</v>
      </c>
    </row>
    <row r="175" spans="15:17" x14ac:dyDescent="0.2">
      <c r="O175" s="247"/>
      <c r="P175" s="248"/>
      <c r="Q175" s="243">
        <v>1</v>
      </c>
    </row>
    <row r="176" spans="15:17" x14ac:dyDescent="0.2">
      <c r="O176" s="247"/>
      <c r="P176" s="248"/>
      <c r="Q176" s="243">
        <v>1</v>
      </c>
    </row>
    <row r="177" spans="15:17" x14ac:dyDescent="0.2">
      <c r="O177" s="247"/>
      <c r="P177" s="248"/>
      <c r="Q177" s="243">
        <v>1</v>
      </c>
    </row>
    <row r="178" spans="15:17" x14ac:dyDescent="0.2">
      <c r="O178" s="247"/>
      <c r="P178" s="248"/>
      <c r="Q178" s="243">
        <v>1</v>
      </c>
    </row>
    <row r="179" spans="15:17" x14ac:dyDescent="0.2">
      <c r="O179" s="247"/>
      <c r="P179" s="248"/>
      <c r="Q179" s="243">
        <v>1</v>
      </c>
    </row>
    <row r="180" spans="15:17" x14ac:dyDescent="0.2">
      <c r="O180" s="247"/>
      <c r="P180" s="248"/>
      <c r="Q180" s="243">
        <v>1</v>
      </c>
    </row>
    <row r="181" spans="15:17" x14ac:dyDescent="0.2">
      <c r="O181" s="247"/>
      <c r="P181" s="248"/>
      <c r="Q181" s="243">
        <v>1</v>
      </c>
    </row>
    <row r="182" spans="15:17" x14ac:dyDescent="0.2">
      <c r="O182" s="247"/>
      <c r="P182" s="248"/>
      <c r="Q182" s="243">
        <v>1</v>
      </c>
    </row>
    <row r="183" spans="15:17" x14ac:dyDescent="0.2">
      <c r="O183" s="247"/>
      <c r="P183" s="248"/>
      <c r="Q183" s="243">
        <v>1</v>
      </c>
    </row>
    <row r="184" spans="15:17" x14ac:dyDescent="0.2">
      <c r="O184" s="247"/>
      <c r="P184" s="248"/>
      <c r="Q184" s="243">
        <v>1</v>
      </c>
    </row>
    <row r="185" spans="15:17" x14ac:dyDescent="0.2">
      <c r="O185" s="247"/>
      <c r="P185" s="248"/>
      <c r="Q185" s="243">
        <v>1</v>
      </c>
    </row>
    <row r="186" spans="15:17" x14ac:dyDescent="0.2">
      <c r="O186" s="247"/>
      <c r="P186" s="248"/>
      <c r="Q186" s="243">
        <v>1</v>
      </c>
    </row>
    <row r="187" spans="15:17" x14ac:dyDescent="0.2">
      <c r="O187" s="247"/>
      <c r="P187" s="248"/>
      <c r="Q187" s="243">
        <v>1</v>
      </c>
    </row>
    <row r="188" spans="15:17" x14ac:dyDescent="0.2">
      <c r="O188" s="247"/>
      <c r="P188" s="248"/>
      <c r="Q188" s="243">
        <v>1</v>
      </c>
    </row>
    <row r="189" spans="15:17" x14ac:dyDescent="0.2">
      <c r="O189" s="247"/>
      <c r="P189" s="248"/>
      <c r="Q189" s="243">
        <v>1</v>
      </c>
    </row>
    <row r="190" spans="15:17" x14ac:dyDescent="0.2">
      <c r="O190" s="247"/>
      <c r="P190" s="248"/>
      <c r="Q190" s="243">
        <v>1</v>
      </c>
    </row>
    <row r="191" spans="15:17" x14ac:dyDescent="0.2">
      <c r="O191" s="247"/>
      <c r="P191" s="248"/>
      <c r="Q191" s="243">
        <v>1</v>
      </c>
    </row>
    <row r="192" spans="15:17" x14ac:dyDescent="0.2">
      <c r="O192" s="247"/>
      <c r="P192" s="248"/>
      <c r="Q192" s="243">
        <v>1</v>
      </c>
    </row>
    <row r="193" spans="15:17" x14ac:dyDescent="0.2">
      <c r="O193" s="247"/>
      <c r="P193" s="248"/>
      <c r="Q193" s="243">
        <v>1</v>
      </c>
    </row>
    <row r="194" spans="15:17" x14ac:dyDescent="0.2">
      <c r="O194" s="247"/>
      <c r="P194" s="248"/>
      <c r="Q194" s="243">
        <v>1</v>
      </c>
    </row>
    <row r="195" spans="15:17" x14ac:dyDescent="0.2">
      <c r="O195" s="247"/>
      <c r="P195" s="248"/>
      <c r="Q195" s="243">
        <v>1</v>
      </c>
    </row>
    <row r="196" spans="15:17" x14ac:dyDescent="0.2">
      <c r="O196" s="247"/>
      <c r="P196" s="248"/>
      <c r="Q196" s="243">
        <v>1</v>
      </c>
    </row>
    <row r="197" spans="15:17" x14ac:dyDescent="0.2">
      <c r="O197" s="247"/>
      <c r="P197" s="248"/>
      <c r="Q197" s="243">
        <v>1</v>
      </c>
    </row>
    <row r="198" spans="15:17" x14ac:dyDescent="0.2">
      <c r="O198" s="247"/>
      <c r="P198" s="248"/>
      <c r="Q198" s="243">
        <v>1</v>
      </c>
    </row>
    <row r="199" spans="15:17" x14ac:dyDescent="0.2">
      <c r="O199" s="247"/>
      <c r="P199" s="248"/>
      <c r="Q199" s="243">
        <v>1</v>
      </c>
    </row>
    <row r="200" spans="15:17" x14ac:dyDescent="0.2">
      <c r="O200" s="247"/>
      <c r="P200" s="248"/>
      <c r="Q200" s="243">
        <v>1</v>
      </c>
    </row>
    <row r="201" spans="15:17" x14ac:dyDescent="0.2">
      <c r="O201" s="247"/>
      <c r="P201" s="248"/>
      <c r="Q201" s="243">
        <v>1</v>
      </c>
    </row>
    <row r="202" spans="15:17" x14ac:dyDescent="0.2">
      <c r="O202" s="247"/>
      <c r="P202" s="248"/>
      <c r="Q202" s="243">
        <v>1</v>
      </c>
    </row>
    <row r="203" spans="15:17" x14ac:dyDescent="0.2">
      <c r="O203" s="247"/>
      <c r="P203" s="248"/>
      <c r="Q203" s="243">
        <v>1</v>
      </c>
    </row>
    <row r="204" spans="15:17" x14ac:dyDescent="0.2">
      <c r="O204" s="247"/>
      <c r="P204" s="248"/>
      <c r="Q204" s="243">
        <v>1</v>
      </c>
    </row>
    <row r="205" spans="15:17" x14ac:dyDescent="0.2">
      <c r="O205" s="247"/>
      <c r="P205" s="248"/>
      <c r="Q205" s="243">
        <v>1</v>
      </c>
    </row>
    <row r="206" spans="15:17" x14ac:dyDescent="0.2">
      <c r="O206" s="247"/>
      <c r="P206" s="248"/>
      <c r="Q206" s="243">
        <v>1</v>
      </c>
    </row>
    <row r="207" spans="15:17" x14ac:dyDescent="0.2">
      <c r="O207" s="247"/>
      <c r="P207" s="248"/>
      <c r="Q207" s="243">
        <v>1</v>
      </c>
    </row>
    <row r="208" spans="15:17" x14ac:dyDescent="0.2">
      <c r="O208" s="247"/>
      <c r="P208" s="248"/>
      <c r="Q208" s="243">
        <v>1</v>
      </c>
    </row>
    <row r="209" spans="15:17" x14ac:dyDescent="0.2">
      <c r="O209" s="247"/>
      <c r="P209" s="248"/>
      <c r="Q209" s="243">
        <v>1</v>
      </c>
    </row>
    <row r="210" spans="15:17" x14ac:dyDescent="0.2">
      <c r="O210" s="247"/>
      <c r="P210" s="248"/>
      <c r="Q210" s="243">
        <v>1</v>
      </c>
    </row>
    <row r="211" spans="15:17" x14ac:dyDescent="0.2">
      <c r="O211" s="247"/>
      <c r="P211" s="248"/>
      <c r="Q211" s="243">
        <v>1</v>
      </c>
    </row>
    <row r="212" spans="15:17" x14ac:dyDescent="0.2">
      <c r="O212" s="247"/>
      <c r="P212" s="248"/>
      <c r="Q212" s="243">
        <v>1</v>
      </c>
    </row>
    <row r="213" spans="15:17" x14ac:dyDescent="0.2">
      <c r="O213" s="247"/>
      <c r="P213" s="248"/>
      <c r="Q213" s="243">
        <v>1</v>
      </c>
    </row>
    <row r="214" spans="15:17" x14ac:dyDescent="0.2">
      <c r="O214" s="247"/>
      <c r="P214" s="248"/>
      <c r="Q214" s="243">
        <v>1</v>
      </c>
    </row>
    <row r="215" spans="15:17" x14ac:dyDescent="0.2">
      <c r="O215" s="247"/>
      <c r="P215" s="248"/>
      <c r="Q215" s="243">
        <v>1</v>
      </c>
    </row>
    <row r="216" spans="15:17" x14ac:dyDescent="0.2">
      <c r="O216" s="247"/>
      <c r="P216" s="248"/>
      <c r="Q216" s="243">
        <v>1</v>
      </c>
    </row>
    <row r="217" spans="15:17" x14ac:dyDescent="0.2">
      <c r="O217" s="247"/>
      <c r="P217" s="248"/>
      <c r="Q217" s="243">
        <v>1</v>
      </c>
    </row>
    <row r="218" spans="15:17" x14ac:dyDescent="0.2">
      <c r="O218" s="247"/>
      <c r="P218" s="248"/>
      <c r="Q218" s="243">
        <v>1</v>
      </c>
    </row>
    <row r="219" spans="15:17" x14ac:dyDescent="0.2">
      <c r="O219" s="247"/>
      <c r="P219" s="248"/>
      <c r="Q219" s="243">
        <v>1</v>
      </c>
    </row>
    <row r="220" spans="15:17" x14ac:dyDescent="0.2">
      <c r="O220" s="247"/>
      <c r="P220" s="248"/>
      <c r="Q220" s="243">
        <v>1</v>
      </c>
    </row>
    <row r="221" spans="15:17" x14ac:dyDescent="0.2">
      <c r="O221" s="247"/>
      <c r="P221" s="248"/>
      <c r="Q221" s="243">
        <v>1</v>
      </c>
    </row>
    <row r="222" spans="15:17" x14ac:dyDescent="0.2">
      <c r="O222" s="247"/>
      <c r="P222" s="248"/>
      <c r="Q222" s="243">
        <v>1</v>
      </c>
    </row>
    <row r="223" spans="15:17" x14ac:dyDescent="0.2">
      <c r="O223" s="247"/>
      <c r="P223" s="248"/>
      <c r="Q223" s="243">
        <v>1</v>
      </c>
    </row>
    <row r="224" spans="15:17" x14ac:dyDescent="0.2">
      <c r="O224" s="247"/>
      <c r="P224" s="248"/>
      <c r="Q224" s="243">
        <v>1</v>
      </c>
    </row>
    <row r="225" spans="15:17" x14ac:dyDescent="0.2">
      <c r="O225" s="247"/>
      <c r="P225" s="248"/>
      <c r="Q225" s="243">
        <v>1</v>
      </c>
    </row>
    <row r="226" spans="15:17" x14ac:dyDescent="0.2">
      <c r="O226" s="247"/>
      <c r="P226" s="248"/>
      <c r="Q226" s="243">
        <v>1</v>
      </c>
    </row>
    <row r="227" spans="15:17" x14ac:dyDescent="0.2">
      <c r="O227" s="247"/>
      <c r="P227" s="248"/>
      <c r="Q227" s="243">
        <v>1</v>
      </c>
    </row>
    <row r="228" spans="15:17" x14ac:dyDescent="0.2">
      <c r="O228" s="247"/>
      <c r="P228" s="248"/>
      <c r="Q228" s="243">
        <v>1</v>
      </c>
    </row>
    <row r="229" spans="15:17" x14ac:dyDescent="0.2">
      <c r="O229" s="247"/>
      <c r="P229" s="248"/>
      <c r="Q229" s="243">
        <v>1</v>
      </c>
    </row>
    <row r="230" spans="15:17" x14ac:dyDescent="0.2">
      <c r="O230" s="247"/>
      <c r="P230" s="248"/>
      <c r="Q230" s="243">
        <v>1</v>
      </c>
    </row>
    <row r="231" spans="15:17" x14ac:dyDescent="0.2">
      <c r="O231" s="247"/>
      <c r="P231" s="248"/>
      <c r="Q231" s="243">
        <v>1</v>
      </c>
    </row>
    <row r="232" spans="15:17" x14ac:dyDescent="0.2">
      <c r="O232" s="247"/>
      <c r="P232" s="248"/>
      <c r="Q232" s="243">
        <v>1</v>
      </c>
    </row>
    <row r="233" spans="15:17" x14ac:dyDescent="0.2">
      <c r="O233" s="247"/>
      <c r="P233" s="248"/>
      <c r="Q233" s="243">
        <v>1</v>
      </c>
    </row>
    <row r="234" spans="15:17" x14ac:dyDescent="0.2">
      <c r="O234" s="247"/>
      <c r="P234" s="248"/>
      <c r="Q234" s="243">
        <v>1</v>
      </c>
    </row>
    <row r="235" spans="15:17" x14ac:dyDescent="0.2">
      <c r="O235" s="247"/>
      <c r="P235" s="248"/>
      <c r="Q235" s="243">
        <v>1</v>
      </c>
    </row>
    <row r="236" spans="15:17" x14ac:dyDescent="0.2">
      <c r="O236" s="247"/>
      <c r="P236" s="248"/>
      <c r="Q236" s="243">
        <v>1</v>
      </c>
    </row>
    <row r="237" spans="15:17" x14ac:dyDescent="0.2">
      <c r="O237" s="247"/>
      <c r="P237" s="248"/>
      <c r="Q237" s="243">
        <v>1</v>
      </c>
    </row>
    <row r="238" spans="15:17" x14ac:dyDescent="0.2">
      <c r="O238" s="247"/>
      <c r="P238" s="248"/>
      <c r="Q238" s="243">
        <v>1</v>
      </c>
    </row>
    <row r="239" spans="15:17" x14ac:dyDescent="0.2">
      <c r="O239" s="247"/>
      <c r="P239" s="248"/>
      <c r="Q239" s="243">
        <v>1</v>
      </c>
    </row>
    <row r="240" spans="15:17" x14ac:dyDescent="0.2">
      <c r="O240" s="247"/>
      <c r="P240" s="248"/>
      <c r="Q240" s="243">
        <v>1</v>
      </c>
    </row>
    <row r="241" spans="15:17" x14ac:dyDescent="0.2">
      <c r="O241" s="247"/>
      <c r="P241" s="248"/>
      <c r="Q241" s="243">
        <v>1</v>
      </c>
    </row>
    <row r="242" spans="15:17" x14ac:dyDescent="0.2">
      <c r="O242" s="247"/>
      <c r="P242" s="248"/>
      <c r="Q242" s="243">
        <v>1</v>
      </c>
    </row>
    <row r="243" spans="15:17" x14ac:dyDescent="0.2">
      <c r="O243" s="247"/>
      <c r="P243" s="248"/>
      <c r="Q243" s="243">
        <v>1</v>
      </c>
    </row>
    <row r="244" spans="15:17" x14ac:dyDescent="0.2">
      <c r="O244" s="247"/>
      <c r="P244" s="248"/>
      <c r="Q244" s="243">
        <v>1</v>
      </c>
    </row>
    <row r="245" spans="15:17" x14ac:dyDescent="0.2">
      <c r="O245" s="247"/>
      <c r="P245" s="248"/>
      <c r="Q245" s="243">
        <v>1</v>
      </c>
    </row>
    <row r="246" spans="15:17" x14ac:dyDescent="0.2">
      <c r="O246" s="247"/>
      <c r="P246" s="248"/>
      <c r="Q246" s="243">
        <v>1</v>
      </c>
    </row>
  </sheetData>
  <mergeCells count="42">
    <mergeCell ref="C44:D44"/>
    <mergeCell ref="E44:H44"/>
    <mergeCell ref="E46:F46"/>
    <mergeCell ref="C47:H47"/>
    <mergeCell ref="C41:E41"/>
    <mergeCell ref="F41:H41"/>
    <mergeCell ref="C42:D42"/>
    <mergeCell ref="E42:H42"/>
    <mergeCell ref="C43:D43"/>
    <mergeCell ref="E43:H43"/>
    <mergeCell ref="K2:M2"/>
    <mergeCell ref="E36:H36"/>
    <mergeCell ref="C39:H39"/>
    <mergeCell ref="E38:F38"/>
    <mergeCell ref="C36:D36"/>
    <mergeCell ref="D25:F26"/>
    <mergeCell ref="G25:G26"/>
    <mergeCell ref="E34:H34"/>
    <mergeCell ref="C33:E33"/>
    <mergeCell ref="F33:H33"/>
    <mergeCell ref="K30:M31"/>
    <mergeCell ref="D28:G29"/>
    <mergeCell ref="K28:M29"/>
    <mergeCell ref="E35:H35"/>
    <mergeCell ref="C35:D35"/>
    <mergeCell ref="C34:D34"/>
    <mergeCell ref="S2:T2"/>
    <mergeCell ref="S4:S5"/>
    <mergeCell ref="T4:T5"/>
    <mergeCell ref="H22:H23"/>
    <mergeCell ref="C21:D21"/>
    <mergeCell ref="F21:G21"/>
    <mergeCell ref="O4:Q5"/>
    <mergeCell ref="O2:Q2"/>
    <mergeCell ref="H4:H5"/>
    <mergeCell ref="C6:E6"/>
    <mergeCell ref="F6:H6"/>
    <mergeCell ref="E22:E23"/>
    <mergeCell ref="K6:M7"/>
    <mergeCell ref="K4:M5"/>
    <mergeCell ref="C4:G5"/>
    <mergeCell ref="C2:H2"/>
  </mergeCells>
  <phoneticPr fontId="0" type="noConversion"/>
  <conditionalFormatting sqref="D6:E23 C6 C8:C23">
    <cfRule type="expression" dxfId="153" priority="5" stopIfTrue="1">
      <formula>AND($H$4="Kg")</formula>
    </cfRule>
  </conditionalFormatting>
  <conditionalFormatting sqref="F6:H9 F21:H23">
    <cfRule type="expression" dxfId="152" priority="6" stopIfTrue="1">
      <formula>AND($H$4="Lb")</formula>
    </cfRule>
  </conditionalFormatting>
  <conditionalFormatting sqref="F10:G20">
    <cfRule type="expression" dxfId="151" priority="4" stopIfTrue="1">
      <formula>AND($H$4="Lb")</formula>
    </cfRule>
  </conditionalFormatting>
  <conditionalFormatting sqref="F24:G24">
    <cfRule type="expression" dxfId="150" priority="3" stopIfTrue="1">
      <formula>AND($H$4="Lb")</formula>
    </cfRule>
  </conditionalFormatting>
  <conditionalFormatting sqref="H10:H20">
    <cfRule type="expression" dxfId="149" priority="2" stopIfTrue="1">
      <formula>AND($H$4="Lb")</formula>
    </cfRule>
  </conditionalFormatting>
  <conditionalFormatting sqref="C24:D24">
    <cfRule type="expression" dxfId="148" priority="1" stopIfTrue="1">
      <formula>AND($H$4="Kg")</formula>
    </cfRule>
  </conditionalFormatting>
  <dataValidations xWindow="324" yWindow="610" count="15">
    <dataValidation type="list" allowBlank="1" showInputMessage="1" showErrorMessage="1" sqref="O2 D2" xr:uid="{00000000-0002-0000-0000-000000000000}">
      <formula1>$BB$1:$BF$1</formula1>
    </dataValidation>
    <dataValidation type="list" allowBlank="1" showInputMessage="1" showErrorMessage="1" sqref="C10:C12 C14 F14 F10:F11 J24:J25" xr:uid="{00000000-0002-0000-0000-000001000000}">
      <formula1>"0,2,4,6,8,10,12,14,16,18,20"</formula1>
    </dataValidation>
    <dataValidation type="list" allowBlank="1" showInputMessage="1" showErrorMessage="1" sqref="J26:J28 C13 C15:C18 F13 F15:F18" xr:uid="{00000000-0002-0000-0000-000002000000}">
      <formula1>"2,4,6,8,10,12,14,16,18,20"</formula1>
    </dataValidation>
    <dataValidation type="list" allowBlank="1" showInputMessage="1" showErrorMessage="1" sqref="H4:H5" xr:uid="{00000000-0002-0000-0000-000003000000}">
      <formula1>"Lb,Kg"</formula1>
    </dataValidation>
    <dataValidation type="list" allowBlank="1" showInputMessage="1" showErrorMessage="1" promptTitle="Weigh In scales" prompt="Select Kg (kilograms) or Lb (pounds) depending on the scales used at weigh -in" sqref="K6:M7" xr:uid="{00000000-0002-0000-0000-000004000000}">
      <formula1>"BWt (Kg),BWt (Lb)"</formula1>
    </dataValidation>
    <dataValidation type="list" allowBlank="1" showInputMessage="1" showErrorMessage="1" promptTitle="Coefficients" prompt="Select Best Lifter Formula from list" sqref="K30:M31" xr:uid="{00000000-0002-0000-0000-000005000000}">
      <formula1>"Wilks,Schwartz,Schwartz/Malone,Glossbrenner,Reshel"</formula1>
    </dataValidation>
    <dataValidation type="list" errorStyle="information" allowBlank="1" showInputMessage="1" showErrorMessage="1" errorTitle="New Weight Class" error="The program will use this value as the upper lkimit for the class." promptTitle="Wt Class" prompt="Start with the lightest weight class and finish with SHW. _x000a_You may choose weight classes that are not on the list and the program will use the value you enter as the upper limit for the class._x000a_" sqref="K9:K23 M9:M23" xr:uid="{00000000-0002-0000-0000-000006000000}">
      <formula1>INDIRECT($L$1)</formula1>
    </dataValidation>
    <dataValidation type="list" allowBlank="1" showInputMessage="1" showErrorMessage="1" promptTitle="Weight of bar &amp; collars" prompt="select the weight of the Bar plus collars from the pulldown list" sqref="D22:D24" xr:uid="{00000000-0002-0000-0000-000007000000}">
      <formula1>"45,50,55,65,70"</formula1>
    </dataValidation>
    <dataValidation type="list" allowBlank="1" showInputMessage="1" showErrorMessage="1" promptTitle="Weight of bar &amp; collars" prompt="select the weight of the Bar plus collars from the pulldown list" sqref="G22:G24" xr:uid="{00000000-0002-0000-0000-000008000000}">
      <formula1>"20,22.5,25,27.5,30,32.5,35"</formula1>
    </dataValidation>
    <dataValidation type="list" allowBlank="1" showInputMessage="1" showErrorMessage="1" sqref="G25:G26" xr:uid="{00000000-0002-0000-0000-000009000000}">
      <formula1>"yes,no"</formula1>
    </dataValidation>
    <dataValidation type="list" allowBlank="1" showInputMessage="1" showErrorMessage="1" sqref="F33:H33 F41:H41" xr:uid="{00000000-0002-0000-0000-00000A000000}">
      <formula1>"Enable,Disable"</formula1>
    </dataValidation>
    <dataValidation type="list" allowBlank="1" showInputMessage="1" showErrorMessage="1" sqref="C42:D42" xr:uid="{00000000-0002-0000-0000-00000B000000}">
      <formula1>$X$2:$X$3</formula1>
    </dataValidation>
    <dataValidation type="list" allowBlank="1" showInputMessage="1" showErrorMessage="1" sqref="F12" xr:uid="{00000000-0002-0000-0000-00000C000000}">
      <formula1>"0,2,4,6,8,10,12,14,16,18,20,22,24"</formula1>
    </dataValidation>
    <dataValidation type="custom" allowBlank="1" showInputMessage="1" showErrorMessage="1" promptTitle="Division Abbreviation" prompt="First letter must be M or F to for the program to compute coefficients_x000a_Then a few letters or numbers to identify the division_x000a_Example M-M1 = Men's Master 40-45" sqref="O7:O246" xr:uid="{00000000-0002-0000-0000-00000D000000}">
      <formula1>OR(LEFT(O7,1)="M",LEFT(O7,1)="F")</formula1>
    </dataValidation>
    <dataValidation type="list" allowBlank="1" showInputMessage="1" showErrorMessage="1" promptTitle="Determine place using" prompt="1 = Division, Wt Class &amp; total_x000a_2 = Division &amp; Total x Coef_x000a_3 = Division &amp; Total x Coef x Age Coef" sqref="Q7:Q246" xr:uid="{00000000-0002-0000-0000-00000E000000}">
      <formula1>"1,2,3"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CK101"/>
  <sheetViews>
    <sheetView zoomScaleNormal="100"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89" s="121" customFormat="1" ht="24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89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17</v>
      </c>
      <c r="H2" s="90" t="s">
        <v>18</v>
      </c>
      <c r="I2" s="90" t="s">
        <v>19</v>
      </c>
      <c r="J2" s="90" t="s">
        <v>20</v>
      </c>
      <c r="K2" s="279" t="s">
        <v>21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  <row r="3" spans="1:89" s="244" customFormat="1" x14ac:dyDescent="0.2">
      <c r="A3"/>
      <c r="B3" s="5"/>
      <c r="C3" s="5"/>
      <c r="D3" s="5"/>
      <c r="E3" s="5"/>
      <c r="F3" s="5"/>
      <c r="G3" s="5"/>
      <c r="H3" s="5"/>
      <c r="I3" s="5"/>
      <c r="J3" s="5"/>
      <c r="K3" s="281"/>
      <c r="L3" s="281"/>
      <c r="M3" s="281"/>
      <c r="N3" s="277"/>
      <c r="O3" s="277"/>
      <c r="P3" s="5"/>
      <c r="Q3" s="5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</row>
    <row r="4" spans="1:89" x14ac:dyDescent="0.2"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</row>
    <row r="5" spans="1:89" x14ac:dyDescent="0.2">
      <c r="A5" s="244"/>
      <c r="B5" s="283"/>
      <c r="C5" s="283"/>
      <c r="D5" s="283"/>
      <c r="E5" s="283"/>
      <c r="F5" s="283"/>
      <c r="G5" s="283"/>
      <c r="H5" s="283"/>
      <c r="I5" s="283"/>
      <c r="J5" s="283"/>
      <c r="K5" s="287"/>
      <c r="L5" s="287"/>
      <c r="M5" s="287"/>
      <c r="N5" s="285"/>
      <c r="O5" s="285"/>
      <c r="P5" s="283"/>
      <c r="Q5" s="283"/>
    </row>
    <row r="10" spans="1:89" s="244" customFormat="1" x14ac:dyDescent="0.2">
      <c r="B10" s="283"/>
      <c r="C10" s="283"/>
      <c r="D10" s="283"/>
      <c r="E10" s="283"/>
      <c r="F10" s="283"/>
      <c r="G10" s="283"/>
      <c r="H10" s="283"/>
      <c r="I10" s="283"/>
      <c r="J10" s="283"/>
      <c r="K10" s="287"/>
      <c r="L10" s="287"/>
      <c r="M10" s="287"/>
      <c r="N10" s="285"/>
      <c r="O10" s="285"/>
      <c r="P10" s="283"/>
      <c r="Q10" s="283"/>
    </row>
    <row r="11" spans="1:89" s="245" customFormat="1" x14ac:dyDescent="0.2">
      <c r="B11" s="284"/>
      <c r="C11" s="284"/>
      <c r="D11" s="284"/>
      <c r="E11" s="284"/>
      <c r="F11" s="284"/>
      <c r="G11" s="284"/>
      <c r="H11" s="284"/>
      <c r="I11" s="284"/>
      <c r="J11" s="284"/>
      <c r="K11" s="288"/>
      <c r="L11" s="288"/>
      <c r="M11" s="288"/>
      <c r="N11" s="286"/>
      <c r="O11" s="286"/>
      <c r="P11" s="284"/>
      <c r="Q11" s="284"/>
    </row>
    <row r="12" spans="1:89" s="121" customFormat="1" ht="23.25" x14ac:dyDescent="0.2">
      <c r="B12" s="274"/>
      <c r="C12" s="274"/>
      <c r="D12" s="274"/>
      <c r="E12" s="274"/>
      <c r="F12" s="274"/>
      <c r="G12" s="274"/>
      <c r="H12" s="274"/>
      <c r="I12" s="274"/>
      <c r="J12" s="274"/>
      <c r="K12" s="278"/>
      <c r="L12" s="278"/>
      <c r="M12" s="278"/>
      <c r="N12" s="275"/>
      <c r="O12" s="275"/>
      <c r="P12" s="274"/>
      <c r="Q12" s="274"/>
    </row>
    <row r="13" spans="1:89" s="121" customFormat="1" ht="23.25" x14ac:dyDescent="0.2">
      <c r="B13" s="274"/>
      <c r="C13" s="274"/>
      <c r="D13" s="274"/>
      <c r="E13" s="274"/>
      <c r="F13" s="274"/>
      <c r="G13" s="274"/>
      <c r="H13" s="274"/>
      <c r="I13" s="274"/>
      <c r="J13" s="274"/>
      <c r="K13" s="278"/>
      <c r="L13" s="278"/>
      <c r="M13" s="278"/>
      <c r="N13" s="275"/>
      <c r="O13" s="275"/>
      <c r="P13" s="274"/>
      <c r="Q13" s="274"/>
    </row>
    <row r="15" spans="1:89" s="244" customFormat="1" x14ac:dyDescent="0.2">
      <c r="B15" s="283"/>
      <c r="C15" s="283"/>
      <c r="D15" s="283"/>
      <c r="E15" s="283"/>
      <c r="F15" s="283"/>
      <c r="G15" s="283"/>
      <c r="H15" s="283"/>
      <c r="I15" s="283"/>
      <c r="J15" s="283"/>
      <c r="K15" s="287"/>
      <c r="L15" s="287"/>
      <c r="M15" s="287"/>
      <c r="N15" s="285"/>
      <c r="O15" s="285"/>
      <c r="P15" s="283"/>
      <c r="Q15" s="283"/>
    </row>
    <row r="30" spans="2:17" s="244" customFormat="1" x14ac:dyDescent="0.2">
      <c r="B30" s="283"/>
      <c r="C30" s="283"/>
      <c r="D30" s="283"/>
      <c r="E30" s="283"/>
      <c r="F30" s="283"/>
      <c r="G30" s="283"/>
      <c r="H30" s="283"/>
      <c r="I30" s="283"/>
      <c r="J30" s="283"/>
      <c r="K30" s="287"/>
      <c r="L30" s="287"/>
      <c r="M30" s="287"/>
      <c r="N30" s="285"/>
      <c r="O30" s="285"/>
      <c r="P30" s="283"/>
      <c r="Q30" s="283"/>
    </row>
    <row r="37" spans="2:17" s="245" customFormat="1" x14ac:dyDescent="0.2">
      <c r="B37" s="284"/>
      <c r="C37" s="284"/>
      <c r="D37" s="284"/>
      <c r="E37" s="284"/>
      <c r="F37" s="284"/>
      <c r="G37" s="284"/>
      <c r="H37" s="284"/>
      <c r="I37" s="284"/>
      <c r="J37" s="284"/>
      <c r="K37" s="288"/>
      <c r="L37" s="288"/>
      <c r="M37" s="288"/>
      <c r="N37" s="286"/>
      <c r="O37" s="286"/>
      <c r="P37" s="284"/>
      <c r="Q37" s="284"/>
    </row>
    <row r="51" spans="2:17" s="244" customFormat="1" x14ac:dyDescent="0.2">
      <c r="B51" s="283"/>
      <c r="C51" s="283"/>
      <c r="D51" s="283"/>
      <c r="E51" s="283"/>
      <c r="F51" s="283"/>
      <c r="G51" s="283"/>
      <c r="H51" s="283"/>
      <c r="I51" s="283"/>
      <c r="J51" s="283"/>
      <c r="K51" s="287"/>
      <c r="L51" s="287"/>
      <c r="M51" s="287"/>
      <c r="N51" s="285"/>
      <c r="O51" s="285"/>
      <c r="P51" s="283"/>
      <c r="Q51" s="283"/>
    </row>
    <row r="55" spans="2:17" s="244" customFormat="1" x14ac:dyDescent="0.2">
      <c r="B55" s="283"/>
      <c r="C55" s="283"/>
      <c r="D55" s="283"/>
      <c r="E55" s="283"/>
      <c r="F55" s="283"/>
      <c r="G55" s="283"/>
      <c r="H55" s="283"/>
      <c r="I55" s="283"/>
      <c r="J55" s="283"/>
      <c r="K55" s="287"/>
      <c r="L55" s="287"/>
      <c r="M55" s="287"/>
      <c r="N55" s="285"/>
      <c r="O55" s="285"/>
      <c r="P55" s="283"/>
      <c r="Q55" s="283"/>
    </row>
    <row r="88" spans="2:17" s="244" customFormat="1" x14ac:dyDescent="0.2">
      <c r="B88" s="283"/>
      <c r="C88" s="283"/>
      <c r="D88" s="283"/>
      <c r="E88" s="283"/>
      <c r="F88" s="283"/>
      <c r="G88" s="283"/>
      <c r="H88" s="283"/>
      <c r="I88" s="283"/>
      <c r="J88" s="283"/>
      <c r="K88" s="287"/>
      <c r="L88" s="287"/>
      <c r="M88" s="287"/>
      <c r="N88" s="285"/>
      <c r="O88" s="285"/>
      <c r="P88" s="283"/>
      <c r="Q88" s="283"/>
    </row>
    <row r="89" spans="2:17" s="245" customFormat="1" x14ac:dyDescent="0.2">
      <c r="B89" s="284"/>
      <c r="C89" s="284"/>
      <c r="D89" s="284"/>
      <c r="E89" s="284"/>
      <c r="F89" s="284"/>
      <c r="G89" s="284"/>
      <c r="H89" s="284"/>
      <c r="I89" s="284"/>
      <c r="J89" s="284"/>
      <c r="K89" s="288"/>
      <c r="L89" s="288"/>
      <c r="M89" s="288"/>
      <c r="N89" s="286"/>
      <c r="O89" s="286"/>
      <c r="P89" s="284"/>
      <c r="Q89" s="284"/>
    </row>
    <row r="101" spans="2:17" s="121" customFormat="1" ht="23.25" x14ac:dyDescent="0.2">
      <c r="B101" s="274"/>
      <c r="C101" s="274"/>
      <c r="D101" s="274"/>
      <c r="E101" s="274"/>
      <c r="F101" s="274"/>
      <c r="G101" s="274"/>
      <c r="H101" s="274"/>
      <c r="I101" s="274"/>
      <c r="J101" s="274"/>
      <c r="K101" s="278"/>
      <c r="L101" s="278"/>
      <c r="M101" s="278"/>
      <c r="N101" s="275"/>
      <c r="O101" s="275"/>
      <c r="P101" s="274"/>
      <c r="Q101" s="274"/>
    </row>
  </sheetData>
  <phoneticPr fontId="0" type="noConversion"/>
  <conditionalFormatting sqref="G2:J2">
    <cfRule type="cellIs" dxfId="13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Y1910"/>
  <sheetViews>
    <sheetView workbookViewId="0"/>
  </sheetViews>
  <sheetFormatPr defaultRowHeight="12.75" x14ac:dyDescent="0.2"/>
  <cols>
    <col min="1" max="2" width="9.140625" style="5"/>
    <col min="5" max="5" width="8.28515625" customWidth="1"/>
    <col min="6" max="6" width="9.42578125" customWidth="1"/>
    <col min="7" max="7" width="16.5703125" customWidth="1"/>
    <col min="8" max="8" width="9.28515625" customWidth="1"/>
    <col min="9" max="9" width="6.7109375" customWidth="1"/>
    <col min="12" max="22" width="9.140625" style="2"/>
  </cols>
  <sheetData>
    <row r="1" spans="1:22" ht="26.25" x14ac:dyDescent="0.2">
      <c r="A1" s="43" t="s">
        <v>1</v>
      </c>
      <c r="B1" s="43" t="s">
        <v>3</v>
      </c>
      <c r="E1" s="69" t="s">
        <v>40</v>
      </c>
      <c r="F1" s="69"/>
      <c r="G1" s="69"/>
      <c r="H1" s="69"/>
      <c r="L1" s="92" t="s">
        <v>82</v>
      </c>
      <c r="M1" s="124" t="s">
        <v>115</v>
      </c>
      <c r="N1" s="124" t="s">
        <v>116</v>
      </c>
      <c r="O1" s="93" t="s">
        <v>120</v>
      </c>
      <c r="P1" s="93" t="s">
        <v>119</v>
      </c>
      <c r="Q1" s="92" t="s">
        <v>91</v>
      </c>
      <c r="R1" s="92" t="s">
        <v>92</v>
      </c>
      <c r="S1" s="93" t="s">
        <v>117</v>
      </c>
      <c r="T1" s="93" t="s">
        <v>118</v>
      </c>
      <c r="U1" s="93" t="s">
        <v>153</v>
      </c>
      <c r="V1" s="93" t="s">
        <v>154</v>
      </c>
    </row>
    <row r="2" spans="1:22" x14ac:dyDescent="0.2">
      <c r="A2" s="44">
        <v>14</v>
      </c>
      <c r="B2" s="44">
        <v>1.23</v>
      </c>
      <c r="C2" s="424" t="s">
        <v>72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 x14ac:dyDescent="0.2">
      <c r="A3" s="44">
        <v>15</v>
      </c>
      <c r="B3" s="44">
        <v>1.18</v>
      </c>
      <c r="C3" s="424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 x14ac:dyDescent="0.2">
      <c r="A4" s="44">
        <v>16</v>
      </c>
      <c r="B4" s="44">
        <v>1.1299999999999999</v>
      </c>
      <c r="C4" s="424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 x14ac:dyDescent="0.2">
      <c r="A5" s="45">
        <v>17</v>
      </c>
      <c r="B5" s="45">
        <v>1.08</v>
      </c>
      <c r="C5" s="424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 x14ac:dyDescent="0.2">
      <c r="A6" s="45">
        <v>18</v>
      </c>
      <c r="B6" s="45">
        <v>1.06</v>
      </c>
      <c r="C6" s="424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 x14ac:dyDescent="0.2">
      <c r="A7" s="45">
        <v>19</v>
      </c>
      <c r="B7" s="45">
        <v>1.04</v>
      </c>
      <c r="C7" s="424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 x14ac:dyDescent="0.2">
      <c r="A8" s="45">
        <v>20</v>
      </c>
      <c r="B8" s="45">
        <v>1.03</v>
      </c>
      <c r="C8" s="424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 x14ac:dyDescent="0.2">
      <c r="A9" s="45">
        <v>21</v>
      </c>
      <c r="B9" s="45">
        <v>1.02</v>
      </c>
      <c r="C9" s="424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 x14ac:dyDescent="0.2">
      <c r="A10" s="45">
        <v>22</v>
      </c>
      <c r="B10" s="45">
        <v>1.01</v>
      </c>
      <c r="C10" s="424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 x14ac:dyDescent="0.2">
      <c r="A11" s="2">
        <v>23</v>
      </c>
      <c r="B11" s="2">
        <v>1</v>
      </c>
      <c r="C11" s="424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75" customHeight="1" x14ac:dyDescent="0.2">
      <c r="A12" s="2">
        <v>30</v>
      </c>
      <c r="B12" s="2">
        <v>1</v>
      </c>
      <c r="D12" s="70"/>
      <c r="E12" s="422" t="s">
        <v>39</v>
      </c>
      <c r="F12" s="423"/>
      <c r="G12" s="71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 x14ac:dyDescent="0.2">
      <c r="A13" s="46">
        <v>40</v>
      </c>
      <c r="B13" s="46">
        <v>1</v>
      </c>
      <c r="C13" s="425" t="s">
        <v>73</v>
      </c>
      <c r="D13" s="64"/>
      <c r="E13" s="72" t="s">
        <v>82</v>
      </c>
      <c r="F13" s="74" t="s">
        <v>83</v>
      </c>
      <c r="G13" s="3" t="s">
        <v>132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 x14ac:dyDescent="0.2">
      <c r="A14" s="46">
        <v>41</v>
      </c>
      <c r="B14" s="46">
        <v>1.01</v>
      </c>
      <c r="C14" s="425"/>
      <c r="D14" s="64"/>
      <c r="E14" s="72">
        <v>44</v>
      </c>
      <c r="F14" s="74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 x14ac:dyDescent="0.2">
      <c r="A15" s="46">
        <v>42</v>
      </c>
      <c r="B15" s="46">
        <v>1.02</v>
      </c>
      <c r="C15" s="425"/>
      <c r="D15" s="64"/>
      <c r="E15" s="72">
        <v>48</v>
      </c>
      <c r="F15" s="74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 x14ac:dyDescent="0.2">
      <c r="A16" s="46">
        <v>43</v>
      </c>
      <c r="B16" s="46">
        <v>1.0309999999999999</v>
      </c>
      <c r="C16" s="425"/>
      <c r="D16" s="64"/>
      <c r="E16" s="72">
        <v>52</v>
      </c>
      <c r="F16" s="74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5" x14ac:dyDescent="0.2">
      <c r="A17" s="46">
        <v>44</v>
      </c>
      <c r="B17" s="46">
        <v>1.0429999999999999</v>
      </c>
      <c r="C17" s="425"/>
      <c r="D17" s="64"/>
      <c r="E17" s="72">
        <v>56</v>
      </c>
      <c r="F17" s="74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5" ht="12.75" customHeight="1" x14ac:dyDescent="0.2">
      <c r="A18" s="46">
        <v>45</v>
      </c>
      <c r="B18" s="46">
        <v>1.0549999999999999</v>
      </c>
      <c r="C18" s="425"/>
      <c r="D18" s="64"/>
      <c r="E18" s="72">
        <v>60</v>
      </c>
      <c r="F18" s="74">
        <v>132</v>
      </c>
      <c r="G18" s="3">
        <v>132.27600000000001</v>
      </c>
      <c r="J18" s="63"/>
      <c r="K18" s="63"/>
      <c r="L18" s="94">
        <v>41.7</v>
      </c>
      <c r="M18" s="94">
        <v>1.2562500000000001</v>
      </c>
      <c r="N18" s="94">
        <v>1.3065</v>
      </c>
      <c r="O18" s="94">
        <v>1.2466999999999999</v>
      </c>
      <c r="P18" s="94">
        <v>1.1578999999999999</v>
      </c>
      <c r="Q18" s="94">
        <v>1.2658</v>
      </c>
      <c r="R18" s="94">
        <v>1.4574</v>
      </c>
      <c r="S18" s="2">
        <v>1.2562500000000001</v>
      </c>
      <c r="T18" s="2">
        <v>1.3065</v>
      </c>
      <c r="V18" s="2">
        <v>2.9018000000000002</v>
      </c>
      <c r="W18" s="63"/>
      <c r="X18" s="64"/>
      <c r="Y18" s="64"/>
    </row>
    <row r="19" spans="1:25" ht="12.75" customHeight="1" x14ac:dyDescent="0.2">
      <c r="A19" s="46">
        <v>46</v>
      </c>
      <c r="B19" s="46">
        <v>1.0680000000000001</v>
      </c>
      <c r="C19" s="425"/>
      <c r="D19" s="64"/>
      <c r="E19" s="72">
        <v>67.5</v>
      </c>
      <c r="F19" s="74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5" ht="12.75" customHeight="1" x14ac:dyDescent="0.2">
      <c r="A20" s="46">
        <v>47</v>
      </c>
      <c r="B20" s="46">
        <v>1.0820000000000001</v>
      </c>
      <c r="C20" s="425"/>
      <c r="D20" s="64"/>
      <c r="E20" s="72">
        <v>75</v>
      </c>
      <c r="F20" s="74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5" x14ac:dyDescent="0.2">
      <c r="A21" s="46">
        <v>48</v>
      </c>
      <c r="B21" s="46">
        <v>1.097</v>
      </c>
      <c r="C21" s="425"/>
      <c r="D21" s="64"/>
      <c r="E21" s="72">
        <v>82.5</v>
      </c>
      <c r="F21" s="74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5" x14ac:dyDescent="0.2">
      <c r="A22" s="46">
        <v>49</v>
      </c>
      <c r="B22" s="46">
        <v>1.113</v>
      </c>
      <c r="C22" s="425"/>
      <c r="D22" s="64"/>
      <c r="E22" s="72">
        <v>90</v>
      </c>
      <c r="F22" s="74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5" x14ac:dyDescent="0.2">
      <c r="A23" s="46">
        <v>50</v>
      </c>
      <c r="B23" s="46">
        <v>1.1299999999999999</v>
      </c>
      <c r="D23" s="64"/>
      <c r="E23" s="72">
        <v>100</v>
      </c>
      <c r="F23" s="74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5" x14ac:dyDescent="0.2">
      <c r="A24" s="46">
        <v>51</v>
      </c>
      <c r="B24" s="46">
        <v>1.147</v>
      </c>
      <c r="D24" s="64"/>
      <c r="E24" s="72">
        <v>110</v>
      </c>
      <c r="F24" s="74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5" x14ac:dyDescent="0.2">
      <c r="A25" s="46">
        <v>52</v>
      </c>
      <c r="B25" s="46">
        <v>1.165</v>
      </c>
      <c r="D25" s="64"/>
      <c r="E25" s="72">
        <v>125</v>
      </c>
      <c r="F25" s="74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5" x14ac:dyDescent="0.2">
      <c r="A26" s="46">
        <v>53</v>
      </c>
      <c r="B26" s="46">
        <v>1.1839999999999999</v>
      </c>
      <c r="D26" s="64"/>
      <c r="E26" s="72">
        <v>140</v>
      </c>
      <c r="F26" s="74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5" x14ac:dyDescent="0.2">
      <c r="A27" s="46">
        <v>54</v>
      </c>
      <c r="B27" s="46">
        <v>1.204</v>
      </c>
      <c r="D27" s="64"/>
      <c r="E27" s="72">
        <v>145</v>
      </c>
      <c r="F27" s="74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5" x14ac:dyDescent="0.2">
      <c r="A28" s="46">
        <v>55</v>
      </c>
      <c r="B28" s="46">
        <v>1.2250000000000001</v>
      </c>
      <c r="D28" s="64"/>
      <c r="E28" s="73" t="s">
        <v>81</v>
      </c>
      <c r="F28" s="75" t="s">
        <v>81</v>
      </c>
      <c r="G28" s="171" t="s">
        <v>133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5" x14ac:dyDescent="0.2">
      <c r="A29" s="46">
        <v>56</v>
      </c>
      <c r="B29" s="46">
        <v>1.246</v>
      </c>
      <c r="D29" s="64"/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5" x14ac:dyDescent="0.2">
      <c r="A30" s="47">
        <v>57</v>
      </c>
      <c r="B30" s="47">
        <v>1.268</v>
      </c>
      <c r="D30" s="64"/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5" x14ac:dyDescent="0.2">
      <c r="A31" s="48">
        <v>58</v>
      </c>
      <c r="B31" s="48">
        <v>1.2909999999999999</v>
      </c>
      <c r="D31" s="64"/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5" x14ac:dyDescent="0.2">
      <c r="A32" s="48">
        <v>59</v>
      </c>
      <c r="B32" s="48">
        <v>1.3149999999999999</v>
      </c>
      <c r="D32" s="64"/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75" customHeight="1" x14ac:dyDescent="0.2">
      <c r="A33" s="48">
        <v>60</v>
      </c>
      <c r="B33" s="48">
        <v>1.34</v>
      </c>
      <c r="D33" s="64"/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75" customHeight="1" x14ac:dyDescent="0.2">
      <c r="A34" s="48">
        <v>61</v>
      </c>
      <c r="B34" s="48">
        <v>1.3660000000000001</v>
      </c>
      <c r="D34" s="64"/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75" customHeight="1" x14ac:dyDescent="0.2">
      <c r="A35" s="48">
        <v>62</v>
      </c>
      <c r="B35" s="48">
        <v>1.393</v>
      </c>
      <c r="D35" s="64"/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75" customHeight="1" x14ac:dyDescent="0.2">
      <c r="A36" s="48">
        <v>63</v>
      </c>
      <c r="B36" s="48">
        <v>1.421</v>
      </c>
      <c r="D36" s="64"/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 x14ac:dyDescent="0.2">
      <c r="A37" s="48">
        <v>64</v>
      </c>
      <c r="B37" s="48">
        <v>1.45</v>
      </c>
      <c r="D37" s="64"/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75" customHeight="1" x14ac:dyDescent="0.2">
      <c r="A38" s="48">
        <v>65</v>
      </c>
      <c r="B38" s="48">
        <v>1.48</v>
      </c>
      <c r="D38" s="64"/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 x14ac:dyDescent="0.2">
      <c r="A39" s="48">
        <v>66</v>
      </c>
      <c r="B39" s="48">
        <v>1.5109999999999999</v>
      </c>
      <c r="D39" s="64"/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75" customHeight="1" x14ac:dyDescent="0.2">
      <c r="A40" s="48">
        <v>67</v>
      </c>
      <c r="B40" s="48">
        <v>1.5429999999999999</v>
      </c>
      <c r="D40" s="64"/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75" customHeight="1" x14ac:dyDescent="0.2">
      <c r="A41" s="48">
        <v>68</v>
      </c>
      <c r="B41" s="48">
        <v>1.5760000000000001</v>
      </c>
      <c r="D41" s="64"/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 x14ac:dyDescent="0.2">
      <c r="A42" s="48">
        <v>69</v>
      </c>
      <c r="B42" s="48">
        <v>1.61</v>
      </c>
      <c r="D42" s="64"/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 x14ac:dyDescent="0.2">
      <c r="A43" s="48">
        <v>70</v>
      </c>
      <c r="B43" s="48">
        <v>1.645</v>
      </c>
      <c r="D43" s="64"/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 x14ac:dyDescent="0.2">
      <c r="A44" s="48">
        <v>71</v>
      </c>
      <c r="B44" s="48">
        <v>1.681</v>
      </c>
      <c r="D44" s="64"/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 x14ac:dyDescent="0.2">
      <c r="A45" s="48">
        <v>72</v>
      </c>
      <c r="B45" s="48">
        <v>1.718</v>
      </c>
      <c r="D45" s="64"/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 x14ac:dyDescent="0.2">
      <c r="A46" s="48">
        <v>73</v>
      </c>
      <c r="B46" s="48">
        <v>1.756</v>
      </c>
      <c r="D46" s="64"/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 x14ac:dyDescent="0.2">
      <c r="A47" s="48">
        <v>74</v>
      </c>
      <c r="B47" s="48">
        <v>1.7949999999999999</v>
      </c>
      <c r="D47" s="64"/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 x14ac:dyDescent="0.2">
      <c r="A48" s="48">
        <v>75</v>
      </c>
      <c r="B48" s="48">
        <v>1.835</v>
      </c>
      <c r="D48" s="64"/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 x14ac:dyDescent="0.2">
      <c r="A49" s="48">
        <v>76</v>
      </c>
      <c r="B49" s="48">
        <v>1.8759999999999999</v>
      </c>
      <c r="D49" s="64"/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 x14ac:dyDescent="0.2">
      <c r="A50" s="48">
        <v>77</v>
      </c>
      <c r="B50" s="48">
        <v>1.9179999999999999</v>
      </c>
      <c r="D50" s="64"/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 x14ac:dyDescent="0.2">
      <c r="A51" s="48">
        <v>78</v>
      </c>
      <c r="B51" s="48">
        <v>1.9610000000000001</v>
      </c>
      <c r="D51" s="64"/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 x14ac:dyDescent="0.2">
      <c r="A52" s="48">
        <v>79</v>
      </c>
      <c r="B52" s="48">
        <v>2.0049999999999999</v>
      </c>
      <c r="D52" s="64"/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 x14ac:dyDescent="0.2">
      <c r="A53" s="48">
        <v>80</v>
      </c>
      <c r="B53" s="48">
        <v>2.0499999999999998</v>
      </c>
      <c r="D53" s="64"/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 x14ac:dyDescent="0.2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 x14ac:dyDescent="0.2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 x14ac:dyDescent="0.2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 x14ac:dyDescent="0.2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 x14ac:dyDescent="0.2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 x14ac:dyDescent="0.2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 x14ac:dyDescent="0.2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 x14ac:dyDescent="0.2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 x14ac:dyDescent="0.2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 x14ac:dyDescent="0.2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 x14ac:dyDescent="0.2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 x14ac:dyDescent="0.2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 x14ac:dyDescent="0.2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 x14ac:dyDescent="0.2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 x14ac:dyDescent="0.2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 x14ac:dyDescent="0.2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 x14ac:dyDescent="0.2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 x14ac:dyDescent="0.2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 x14ac:dyDescent="0.2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 x14ac:dyDescent="0.2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 x14ac:dyDescent="0.2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 x14ac:dyDescent="0.2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 x14ac:dyDescent="0.2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 x14ac:dyDescent="0.2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 x14ac:dyDescent="0.2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 x14ac:dyDescent="0.2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 x14ac:dyDescent="0.2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 x14ac:dyDescent="0.2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 x14ac:dyDescent="0.2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 x14ac:dyDescent="0.2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 x14ac:dyDescent="0.2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 x14ac:dyDescent="0.2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 x14ac:dyDescent="0.2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 x14ac:dyDescent="0.2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 x14ac:dyDescent="0.2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 x14ac:dyDescent="0.2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 x14ac:dyDescent="0.2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 x14ac:dyDescent="0.2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 x14ac:dyDescent="0.2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 x14ac:dyDescent="0.2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 x14ac:dyDescent="0.2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 x14ac:dyDescent="0.2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 x14ac:dyDescent="0.2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 x14ac:dyDescent="0.2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 x14ac:dyDescent="0.2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 x14ac:dyDescent="0.2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 x14ac:dyDescent="0.2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 x14ac:dyDescent="0.2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 x14ac:dyDescent="0.2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 x14ac:dyDescent="0.2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 x14ac:dyDescent="0.2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 x14ac:dyDescent="0.2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 x14ac:dyDescent="0.2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 x14ac:dyDescent="0.2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 x14ac:dyDescent="0.2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 x14ac:dyDescent="0.2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 x14ac:dyDescent="0.2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 x14ac:dyDescent="0.2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 x14ac:dyDescent="0.2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 x14ac:dyDescent="0.2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 x14ac:dyDescent="0.2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 x14ac:dyDescent="0.2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 x14ac:dyDescent="0.2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 x14ac:dyDescent="0.2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 x14ac:dyDescent="0.2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 x14ac:dyDescent="0.2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 x14ac:dyDescent="0.2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 x14ac:dyDescent="0.2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 x14ac:dyDescent="0.2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 x14ac:dyDescent="0.2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 x14ac:dyDescent="0.2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 x14ac:dyDescent="0.2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 x14ac:dyDescent="0.2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 x14ac:dyDescent="0.2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 x14ac:dyDescent="0.2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 x14ac:dyDescent="0.2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 x14ac:dyDescent="0.2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 x14ac:dyDescent="0.2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 x14ac:dyDescent="0.2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 x14ac:dyDescent="0.2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 x14ac:dyDescent="0.2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 x14ac:dyDescent="0.2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 x14ac:dyDescent="0.2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 x14ac:dyDescent="0.2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 x14ac:dyDescent="0.2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 x14ac:dyDescent="0.2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 x14ac:dyDescent="0.2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 x14ac:dyDescent="0.2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 x14ac:dyDescent="0.2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 x14ac:dyDescent="0.2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 x14ac:dyDescent="0.2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 x14ac:dyDescent="0.2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 x14ac:dyDescent="0.2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 x14ac:dyDescent="0.2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 x14ac:dyDescent="0.2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 x14ac:dyDescent="0.2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 x14ac:dyDescent="0.2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 x14ac:dyDescent="0.2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 x14ac:dyDescent="0.2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 x14ac:dyDescent="0.2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 x14ac:dyDescent="0.2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 x14ac:dyDescent="0.2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 x14ac:dyDescent="0.2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 x14ac:dyDescent="0.2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 x14ac:dyDescent="0.2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 x14ac:dyDescent="0.2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 x14ac:dyDescent="0.2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 x14ac:dyDescent="0.2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 x14ac:dyDescent="0.2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 x14ac:dyDescent="0.2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 x14ac:dyDescent="0.2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 x14ac:dyDescent="0.2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 x14ac:dyDescent="0.2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 x14ac:dyDescent="0.2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 x14ac:dyDescent="0.2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 x14ac:dyDescent="0.2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 x14ac:dyDescent="0.2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 x14ac:dyDescent="0.2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 x14ac:dyDescent="0.2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 x14ac:dyDescent="0.2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 x14ac:dyDescent="0.2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 x14ac:dyDescent="0.2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 x14ac:dyDescent="0.2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 x14ac:dyDescent="0.2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 x14ac:dyDescent="0.2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 x14ac:dyDescent="0.2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 x14ac:dyDescent="0.2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 x14ac:dyDescent="0.2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 x14ac:dyDescent="0.2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 x14ac:dyDescent="0.2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 x14ac:dyDescent="0.2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 x14ac:dyDescent="0.2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 x14ac:dyDescent="0.2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 x14ac:dyDescent="0.2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 x14ac:dyDescent="0.2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 x14ac:dyDescent="0.2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 x14ac:dyDescent="0.2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 x14ac:dyDescent="0.2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 x14ac:dyDescent="0.2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 x14ac:dyDescent="0.2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 x14ac:dyDescent="0.2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 x14ac:dyDescent="0.2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 x14ac:dyDescent="0.2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 x14ac:dyDescent="0.2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 x14ac:dyDescent="0.2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 x14ac:dyDescent="0.2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 x14ac:dyDescent="0.2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 x14ac:dyDescent="0.2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 x14ac:dyDescent="0.2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 x14ac:dyDescent="0.2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 x14ac:dyDescent="0.2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 x14ac:dyDescent="0.2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 x14ac:dyDescent="0.2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 x14ac:dyDescent="0.2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 x14ac:dyDescent="0.2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 x14ac:dyDescent="0.2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 x14ac:dyDescent="0.2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 x14ac:dyDescent="0.2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 x14ac:dyDescent="0.2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 x14ac:dyDescent="0.2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 x14ac:dyDescent="0.2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 x14ac:dyDescent="0.2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 x14ac:dyDescent="0.2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 x14ac:dyDescent="0.2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 x14ac:dyDescent="0.2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 x14ac:dyDescent="0.2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 x14ac:dyDescent="0.2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 x14ac:dyDescent="0.2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 x14ac:dyDescent="0.2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 x14ac:dyDescent="0.2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 x14ac:dyDescent="0.2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 x14ac:dyDescent="0.2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 x14ac:dyDescent="0.2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 x14ac:dyDescent="0.2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 x14ac:dyDescent="0.2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 x14ac:dyDescent="0.2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 x14ac:dyDescent="0.2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 x14ac:dyDescent="0.2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 x14ac:dyDescent="0.2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 x14ac:dyDescent="0.2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 x14ac:dyDescent="0.2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 x14ac:dyDescent="0.2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 x14ac:dyDescent="0.2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 x14ac:dyDescent="0.2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 x14ac:dyDescent="0.2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 x14ac:dyDescent="0.2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 x14ac:dyDescent="0.2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 x14ac:dyDescent="0.2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 x14ac:dyDescent="0.2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 x14ac:dyDescent="0.2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 x14ac:dyDescent="0.2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 x14ac:dyDescent="0.2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 x14ac:dyDescent="0.2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 x14ac:dyDescent="0.2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 x14ac:dyDescent="0.2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 x14ac:dyDescent="0.2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 x14ac:dyDescent="0.2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 x14ac:dyDescent="0.2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 x14ac:dyDescent="0.2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 x14ac:dyDescent="0.2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 x14ac:dyDescent="0.2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 x14ac:dyDescent="0.2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 x14ac:dyDescent="0.2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 x14ac:dyDescent="0.2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 x14ac:dyDescent="0.2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 x14ac:dyDescent="0.2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 x14ac:dyDescent="0.2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 x14ac:dyDescent="0.2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 x14ac:dyDescent="0.2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 x14ac:dyDescent="0.2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 x14ac:dyDescent="0.2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 x14ac:dyDescent="0.2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 x14ac:dyDescent="0.2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 x14ac:dyDescent="0.2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 x14ac:dyDescent="0.2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 x14ac:dyDescent="0.2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 x14ac:dyDescent="0.2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 x14ac:dyDescent="0.2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 x14ac:dyDescent="0.2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 x14ac:dyDescent="0.2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 x14ac:dyDescent="0.2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 x14ac:dyDescent="0.2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 x14ac:dyDescent="0.2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 x14ac:dyDescent="0.2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 x14ac:dyDescent="0.2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 x14ac:dyDescent="0.2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 x14ac:dyDescent="0.2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 x14ac:dyDescent="0.2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 x14ac:dyDescent="0.2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 x14ac:dyDescent="0.2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 x14ac:dyDescent="0.2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 x14ac:dyDescent="0.2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 x14ac:dyDescent="0.2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 x14ac:dyDescent="0.2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 x14ac:dyDescent="0.2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 x14ac:dyDescent="0.2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 x14ac:dyDescent="0.2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 x14ac:dyDescent="0.2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 x14ac:dyDescent="0.2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 x14ac:dyDescent="0.2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 x14ac:dyDescent="0.2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 x14ac:dyDescent="0.2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 x14ac:dyDescent="0.2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 x14ac:dyDescent="0.2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 x14ac:dyDescent="0.2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 x14ac:dyDescent="0.2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 x14ac:dyDescent="0.2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 x14ac:dyDescent="0.2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 x14ac:dyDescent="0.2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 x14ac:dyDescent="0.2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 x14ac:dyDescent="0.2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 x14ac:dyDescent="0.2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 x14ac:dyDescent="0.2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 x14ac:dyDescent="0.2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 x14ac:dyDescent="0.2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 x14ac:dyDescent="0.2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 x14ac:dyDescent="0.2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 x14ac:dyDescent="0.2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 x14ac:dyDescent="0.2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 x14ac:dyDescent="0.2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 x14ac:dyDescent="0.2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 x14ac:dyDescent="0.2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 x14ac:dyDescent="0.2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 x14ac:dyDescent="0.2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 x14ac:dyDescent="0.2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 x14ac:dyDescent="0.2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 x14ac:dyDescent="0.2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 x14ac:dyDescent="0.2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 x14ac:dyDescent="0.2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 x14ac:dyDescent="0.2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 x14ac:dyDescent="0.2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 x14ac:dyDescent="0.2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 x14ac:dyDescent="0.2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 x14ac:dyDescent="0.2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 x14ac:dyDescent="0.2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 x14ac:dyDescent="0.2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 x14ac:dyDescent="0.2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 x14ac:dyDescent="0.2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 x14ac:dyDescent="0.2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 x14ac:dyDescent="0.2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 x14ac:dyDescent="0.2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 x14ac:dyDescent="0.2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 x14ac:dyDescent="0.2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 x14ac:dyDescent="0.2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 x14ac:dyDescent="0.2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 x14ac:dyDescent="0.2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 x14ac:dyDescent="0.2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 x14ac:dyDescent="0.2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 x14ac:dyDescent="0.2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 x14ac:dyDescent="0.2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 x14ac:dyDescent="0.2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 x14ac:dyDescent="0.2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 x14ac:dyDescent="0.2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 x14ac:dyDescent="0.2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 x14ac:dyDescent="0.2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 x14ac:dyDescent="0.2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 x14ac:dyDescent="0.2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 x14ac:dyDescent="0.2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 x14ac:dyDescent="0.2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 x14ac:dyDescent="0.2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 x14ac:dyDescent="0.2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 x14ac:dyDescent="0.2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 x14ac:dyDescent="0.2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 x14ac:dyDescent="0.2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 x14ac:dyDescent="0.2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 x14ac:dyDescent="0.2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 x14ac:dyDescent="0.2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 x14ac:dyDescent="0.2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 x14ac:dyDescent="0.2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 x14ac:dyDescent="0.2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 x14ac:dyDescent="0.2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 x14ac:dyDescent="0.2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 x14ac:dyDescent="0.2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 x14ac:dyDescent="0.2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 x14ac:dyDescent="0.2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 x14ac:dyDescent="0.2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 x14ac:dyDescent="0.2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 x14ac:dyDescent="0.2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 x14ac:dyDescent="0.2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 x14ac:dyDescent="0.2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 x14ac:dyDescent="0.2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 x14ac:dyDescent="0.2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 x14ac:dyDescent="0.2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 x14ac:dyDescent="0.2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 x14ac:dyDescent="0.2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 x14ac:dyDescent="0.2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 x14ac:dyDescent="0.2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 x14ac:dyDescent="0.2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 x14ac:dyDescent="0.2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 x14ac:dyDescent="0.2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 x14ac:dyDescent="0.2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 x14ac:dyDescent="0.2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 x14ac:dyDescent="0.2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 x14ac:dyDescent="0.2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 x14ac:dyDescent="0.2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 x14ac:dyDescent="0.2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 x14ac:dyDescent="0.2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 x14ac:dyDescent="0.2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 x14ac:dyDescent="0.2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 x14ac:dyDescent="0.2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 x14ac:dyDescent="0.2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 x14ac:dyDescent="0.2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 x14ac:dyDescent="0.2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 x14ac:dyDescent="0.2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 x14ac:dyDescent="0.2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 x14ac:dyDescent="0.2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 x14ac:dyDescent="0.2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 x14ac:dyDescent="0.2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 x14ac:dyDescent="0.2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 x14ac:dyDescent="0.2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 x14ac:dyDescent="0.2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 x14ac:dyDescent="0.2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 x14ac:dyDescent="0.2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 x14ac:dyDescent="0.2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 x14ac:dyDescent="0.2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 x14ac:dyDescent="0.2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 x14ac:dyDescent="0.2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 x14ac:dyDescent="0.2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 x14ac:dyDescent="0.2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 x14ac:dyDescent="0.2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 x14ac:dyDescent="0.2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 x14ac:dyDescent="0.2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 x14ac:dyDescent="0.2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 x14ac:dyDescent="0.2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 x14ac:dyDescent="0.2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 x14ac:dyDescent="0.2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 x14ac:dyDescent="0.2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 x14ac:dyDescent="0.2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 x14ac:dyDescent="0.2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 x14ac:dyDescent="0.2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 x14ac:dyDescent="0.2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 x14ac:dyDescent="0.2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 x14ac:dyDescent="0.2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 x14ac:dyDescent="0.2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 x14ac:dyDescent="0.2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 x14ac:dyDescent="0.2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 x14ac:dyDescent="0.2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 x14ac:dyDescent="0.2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 x14ac:dyDescent="0.2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 x14ac:dyDescent="0.2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 x14ac:dyDescent="0.2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 x14ac:dyDescent="0.2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 x14ac:dyDescent="0.2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 x14ac:dyDescent="0.2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 x14ac:dyDescent="0.2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 x14ac:dyDescent="0.2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 x14ac:dyDescent="0.2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 x14ac:dyDescent="0.2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 x14ac:dyDescent="0.2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 x14ac:dyDescent="0.2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 x14ac:dyDescent="0.2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 x14ac:dyDescent="0.2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 x14ac:dyDescent="0.2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 x14ac:dyDescent="0.2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 x14ac:dyDescent="0.2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 x14ac:dyDescent="0.2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 x14ac:dyDescent="0.2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 x14ac:dyDescent="0.2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 x14ac:dyDescent="0.2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 x14ac:dyDescent="0.2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 x14ac:dyDescent="0.2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 x14ac:dyDescent="0.2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 x14ac:dyDescent="0.2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 x14ac:dyDescent="0.2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 x14ac:dyDescent="0.2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 x14ac:dyDescent="0.2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 x14ac:dyDescent="0.2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 x14ac:dyDescent="0.2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 x14ac:dyDescent="0.2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 x14ac:dyDescent="0.2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 x14ac:dyDescent="0.2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 x14ac:dyDescent="0.2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 x14ac:dyDescent="0.2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 x14ac:dyDescent="0.2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 x14ac:dyDescent="0.2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 x14ac:dyDescent="0.2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 x14ac:dyDescent="0.2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 x14ac:dyDescent="0.2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 x14ac:dyDescent="0.2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 x14ac:dyDescent="0.2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 x14ac:dyDescent="0.2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 x14ac:dyDescent="0.2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 x14ac:dyDescent="0.2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 x14ac:dyDescent="0.2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 x14ac:dyDescent="0.2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 x14ac:dyDescent="0.2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 x14ac:dyDescent="0.2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 x14ac:dyDescent="0.2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 x14ac:dyDescent="0.2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 x14ac:dyDescent="0.2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 x14ac:dyDescent="0.2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 x14ac:dyDescent="0.2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 x14ac:dyDescent="0.2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 x14ac:dyDescent="0.2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 x14ac:dyDescent="0.2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 x14ac:dyDescent="0.2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 x14ac:dyDescent="0.2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 x14ac:dyDescent="0.2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 x14ac:dyDescent="0.2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 x14ac:dyDescent="0.2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 x14ac:dyDescent="0.2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 x14ac:dyDescent="0.2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 x14ac:dyDescent="0.2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 x14ac:dyDescent="0.2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 x14ac:dyDescent="0.2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 x14ac:dyDescent="0.2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 x14ac:dyDescent="0.2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 x14ac:dyDescent="0.2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 x14ac:dyDescent="0.2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 x14ac:dyDescent="0.2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 x14ac:dyDescent="0.2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 x14ac:dyDescent="0.2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 x14ac:dyDescent="0.2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 x14ac:dyDescent="0.2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 x14ac:dyDescent="0.2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 x14ac:dyDescent="0.2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 x14ac:dyDescent="0.2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 x14ac:dyDescent="0.2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 x14ac:dyDescent="0.2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 x14ac:dyDescent="0.2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 x14ac:dyDescent="0.2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 x14ac:dyDescent="0.2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 x14ac:dyDescent="0.2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 x14ac:dyDescent="0.2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 x14ac:dyDescent="0.2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 x14ac:dyDescent="0.2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 x14ac:dyDescent="0.2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 x14ac:dyDescent="0.2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 x14ac:dyDescent="0.2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 x14ac:dyDescent="0.2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 x14ac:dyDescent="0.2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 x14ac:dyDescent="0.2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 x14ac:dyDescent="0.2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 x14ac:dyDescent="0.2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 x14ac:dyDescent="0.2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 x14ac:dyDescent="0.2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 x14ac:dyDescent="0.2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 x14ac:dyDescent="0.2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 x14ac:dyDescent="0.2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 x14ac:dyDescent="0.2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 x14ac:dyDescent="0.2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 x14ac:dyDescent="0.2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 x14ac:dyDescent="0.2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 x14ac:dyDescent="0.2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 x14ac:dyDescent="0.2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 x14ac:dyDescent="0.2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 x14ac:dyDescent="0.2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 x14ac:dyDescent="0.2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 x14ac:dyDescent="0.2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 x14ac:dyDescent="0.2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 x14ac:dyDescent="0.2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 x14ac:dyDescent="0.2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 x14ac:dyDescent="0.2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 x14ac:dyDescent="0.2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 x14ac:dyDescent="0.2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 x14ac:dyDescent="0.2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 x14ac:dyDescent="0.2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 x14ac:dyDescent="0.2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 x14ac:dyDescent="0.2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 x14ac:dyDescent="0.2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 x14ac:dyDescent="0.2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 x14ac:dyDescent="0.2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 x14ac:dyDescent="0.2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 x14ac:dyDescent="0.2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 x14ac:dyDescent="0.2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 x14ac:dyDescent="0.2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 x14ac:dyDescent="0.2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 x14ac:dyDescent="0.2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 x14ac:dyDescent="0.2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 x14ac:dyDescent="0.2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 x14ac:dyDescent="0.2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 x14ac:dyDescent="0.2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 x14ac:dyDescent="0.2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 x14ac:dyDescent="0.2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 x14ac:dyDescent="0.2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 x14ac:dyDescent="0.2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 x14ac:dyDescent="0.2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 x14ac:dyDescent="0.2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 x14ac:dyDescent="0.2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 x14ac:dyDescent="0.2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 x14ac:dyDescent="0.2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 x14ac:dyDescent="0.2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 x14ac:dyDescent="0.2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 x14ac:dyDescent="0.2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 x14ac:dyDescent="0.2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 x14ac:dyDescent="0.2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 x14ac:dyDescent="0.2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 x14ac:dyDescent="0.2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 x14ac:dyDescent="0.2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 x14ac:dyDescent="0.2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 x14ac:dyDescent="0.2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 x14ac:dyDescent="0.2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 x14ac:dyDescent="0.2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 x14ac:dyDescent="0.2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 x14ac:dyDescent="0.2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 x14ac:dyDescent="0.2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 x14ac:dyDescent="0.2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 x14ac:dyDescent="0.2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 x14ac:dyDescent="0.2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 x14ac:dyDescent="0.2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 x14ac:dyDescent="0.2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 x14ac:dyDescent="0.2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 x14ac:dyDescent="0.2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 x14ac:dyDescent="0.2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 x14ac:dyDescent="0.2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 x14ac:dyDescent="0.2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 x14ac:dyDescent="0.2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 x14ac:dyDescent="0.2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 x14ac:dyDescent="0.2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 x14ac:dyDescent="0.2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 x14ac:dyDescent="0.2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 x14ac:dyDescent="0.2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 x14ac:dyDescent="0.2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 x14ac:dyDescent="0.2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 x14ac:dyDescent="0.2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 x14ac:dyDescent="0.2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 x14ac:dyDescent="0.2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 x14ac:dyDescent="0.2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 x14ac:dyDescent="0.2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 x14ac:dyDescent="0.2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 x14ac:dyDescent="0.2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 x14ac:dyDescent="0.2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 x14ac:dyDescent="0.2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 x14ac:dyDescent="0.2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 x14ac:dyDescent="0.2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 x14ac:dyDescent="0.2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 x14ac:dyDescent="0.2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 x14ac:dyDescent="0.2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 x14ac:dyDescent="0.2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 x14ac:dyDescent="0.2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 x14ac:dyDescent="0.2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 x14ac:dyDescent="0.2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 x14ac:dyDescent="0.2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 x14ac:dyDescent="0.2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 x14ac:dyDescent="0.2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 x14ac:dyDescent="0.2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 x14ac:dyDescent="0.2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 x14ac:dyDescent="0.2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 x14ac:dyDescent="0.2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 x14ac:dyDescent="0.2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 x14ac:dyDescent="0.2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 x14ac:dyDescent="0.2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 x14ac:dyDescent="0.2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 x14ac:dyDescent="0.2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 x14ac:dyDescent="0.2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 x14ac:dyDescent="0.2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 x14ac:dyDescent="0.2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 x14ac:dyDescent="0.2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 x14ac:dyDescent="0.2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 x14ac:dyDescent="0.2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 x14ac:dyDescent="0.2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 x14ac:dyDescent="0.2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 x14ac:dyDescent="0.2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 x14ac:dyDescent="0.2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 x14ac:dyDescent="0.2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 x14ac:dyDescent="0.2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 x14ac:dyDescent="0.2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 x14ac:dyDescent="0.2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 x14ac:dyDescent="0.2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 x14ac:dyDescent="0.2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 x14ac:dyDescent="0.2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 x14ac:dyDescent="0.2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 x14ac:dyDescent="0.2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 x14ac:dyDescent="0.2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 x14ac:dyDescent="0.2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 x14ac:dyDescent="0.2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 x14ac:dyDescent="0.2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 x14ac:dyDescent="0.2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 x14ac:dyDescent="0.2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 x14ac:dyDescent="0.2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 x14ac:dyDescent="0.2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 x14ac:dyDescent="0.2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 x14ac:dyDescent="0.2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 x14ac:dyDescent="0.2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 x14ac:dyDescent="0.2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 x14ac:dyDescent="0.2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 x14ac:dyDescent="0.2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 x14ac:dyDescent="0.2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 x14ac:dyDescent="0.2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 x14ac:dyDescent="0.2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 x14ac:dyDescent="0.2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 x14ac:dyDescent="0.2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 x14ac:dyDescent="0.2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 x14ac:dyDescent="0.2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 x14ac:dyDescent="0.2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 x14ac:dyDescent="0.2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 x14ac:dyDescent="0.2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 x14ac:dyDescent="0.2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 x14ac:dyDescent="0.2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 x14ac:dyDescent="0.2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 x14ac:dyDescent="0.2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 x14ac:dyDescent="0.2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 x14ac:dyDescent="0.2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 x14ac:dyDescent="0.2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 x14ac:dyDescent="0.2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 x14ac:dyDescent="0.2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 x14ac:dyDescent="0.2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 x14ac:dyDescent="0.2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 x14ac:dyDescent="0.2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 x14ac:dyDescent="0.2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 x14ac:dyDescent="0.2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 x14ac:dyDescent="0.2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 x14ac:dyDescent="0.2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 x14ac:dyDescent="0.2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 x14ac:dyDescent="0.2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 x14ac:dyDescent="0.2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 x14ac:dyDescent="0.2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 x14ac:dyDescent="0.2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 x14ac:dyDescent="0.2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 x14ac:dyDescent="0.2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 x14ac:dyDescent="0.2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 x14ac:dyDescent="0.2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 x14ac:dyDescent="0.2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 x14ac:dyDescent="0.2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 x14ac:dyDescent="0.2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 x14ac:dyDescent="0.2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 x14ac:dyDescent="0.2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 x14ac:dyDescent="0.2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 x14ac:dyDescent="0.2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127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 x14ac:dyDescent="0.2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127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 x14ac:dyDescent="0.2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127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 x14ac:dyDescent="0.2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127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 x14ac:dyDescent="0.2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127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 x14ac:dyDescent="0.2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127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 x14ac:dyDescent="0.2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127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 x14ac:dyDescent="0.2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127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 x14ac:dyDescent="0.2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127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 x14ac:dyDescent="0.2">
      <c r="L721" s="2">
        <v>112</v>
      </c>
      <c r="M721" s="2">
        <v>0.55974999999999997</v>
      </c>
      <c r="N721" s="2">
        <v>0.6885</v>
      </c>
      <c r="O721" s="2">
        <v>0.53420000000000001</v>
      </c>
      <c r="P721" s="127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 x14ac:dyDescent="0.2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127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 x14ac:dyDescent="0.2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127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 x14ac:dyDescent="0.2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127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 x14ac:dyDescent="0.2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127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 x14ac:dyDescent="0.2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127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 x14ac:dyDescent="0.2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127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 x14ac:dyDescent="0.2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127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 x14ac:dyDescent="0.2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127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 x14ac:dyDescent="0.2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127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 x14ac:dyDescent="0.2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127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 x14ac:dyDescent="0.2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127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 x14ac:dyDescent="0.2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127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 x14ac:dyDescent="0.2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127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 x14ac:dyDescent="0.2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127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 x14ac:dyDescent="0.2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127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 x14ac:dyDescent="0.2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127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 x14ac:dyDescent="0.2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127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 x14ac:dyDescent="0.2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127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 x14ac:dyDescent="0.2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127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 x14ac:dyDescent="0.2">
      <c r="L741" s="2">
        <v>114</v>
      </c>
      <c r="M741" s="2">
        <v>0.55735000000000001</v>
      </c>
      <c r="N741" s="2">
        <v>0.68564999999999998</v>
      </c>
      <c r="O741" s="2">
        <v>0.5323</v>
      </c>
      <c r="P741" s="127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 x14ac:dyDescent="0.2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127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 x14ac:dyDescent="0.2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127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 x14ac:dyDescent="0.2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127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 x14ac:dyDescent="0.2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127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 x14ac:dyDescent="0.2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127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 x14ac:dyDescent="0.2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127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 x14ac:dyDescent="0.2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127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 x14ac:dyDescent="0.2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127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 x14ac:dyDescent="0.2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127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 x14ac:dyDescent="0.2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127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 x14ac:dyDescent="0.2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127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 x14ac:dyDescent="0.2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127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 x14ac:dyDescent="0.2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127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 x14ac:dyDescent="0.2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127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 x14ac:dyDescent="0.2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127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 x14ac:dyDescent="0.2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127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 x14ac:dyDescent="0.2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127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 x14ac:dyDescent="0.2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127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 x14ac:dyDescent="0.2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127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 x14ac:dyDescent="0.2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127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 x14ac:dyDescent="0.2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127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 x14ac:dyDescent="0.2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127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 x14ac:dyDescent="0.2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127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 x14ac:dyDescent="0.2">
      <c r="L765" s="2">
        <v>116.4</v>
      </c>
      <c r="M765" s="2">
        <v>0.55469999999999997</v>
      </c>
      <c r="N765" s="2">
        <v>0.6825</v>
      </c>
      <c r="O765" s="2">
        <v>0.5302</v>
      </c>
      <c r="P765" s="127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 x14ac:dyDescent="0.2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127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 x14ac:dyDescent="0.2">
      <c r="L767" s="2">
        <v>116.6</v>
      </c>
      <c r="M767" s="2">
        <v>0.55449999999999999</v>
      </c>
      <c r="N767" s="2">
        <v>0.68220000000000003</v>
      </c>
      <c r="O767" s="2">
        <v>0.53</v>
      </c>
      <c r="P767" s="127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 x14ac:dyDescent="0.2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127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 x14ac:dyDescent="0.2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127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 x14ac:dyDescent="0.2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127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 x14ac:dyDescent="0.2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127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 x14ac:dyDescent="0.2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127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 x14ac:dyDescent="0.2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127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 x14ac:dyDescent="0.2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127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 x14ac:dyDescent="0.2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127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 x14ac:dyDescent="0.2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127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 x14ac:dyDescent="0.2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127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 x14ac:dyDescent="0.2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127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 x14ac:dyDescent="0.2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127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 x14ac:dyDescent="0.2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127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 x14ac:dyDescent="0.2">
      <c r="L781" s="2">
        <v>118</v>
      </c>
      <c r="M781" s="2">
        <v>0.55300000000000005</v>
      </c>
      <c r="N781" s="2">
        <v>0.6804</v>
      </c>
      <c r="O781" s="2">
        <v>0.52880000000000005</v>
      </c>
      <c r="P781" s="127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 x14ac:dyDescent="0.2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127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 x14ac:dyDescent="0.2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127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 x14ac:dyDescent="0.2">
      <c r="L784" s="2">
        <v>118.3</v>
      </c>
      <c r="M784" s="2">
        <v>0.55269999999999997</v>
      </c>
      <c r="N784" s="2">
        <v>0.68</v>
      </c>
      <c r="O784" s="2">
        <v>0.52849999999999997</v>
      </c>
      <c r="P784" s="127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 x14ac:dyDescent="0.2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127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 x14ac:dyDescent="0.2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127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 x14ac:dyDescent="0.2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127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 x14ac:dyDescent="0.2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127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 x14ac:dyDescent="0.2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127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 x14ac:dyDescent="0.2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127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 x14ac:dyDescent="0.2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127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 x14ac:dyDescent="0.2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127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 x14ac:dyDescent="0.2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127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 x14ac:dyDescent="0.2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127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 x14ac:dyDescent="0.2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127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 x14ac:dyDescent="0.2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127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 x14ac:dyDescent="0.2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127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 x14ac:dyDescent="0.2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127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 x14ac:dyDescent="0.2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127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 x14ac:dyDescent="0.2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127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 x14ac:dyDescent="0.2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127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 x14ac:dyDescent="0.2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127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 x14ac:dyDescent="0.2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127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 x14ac:dyDescent="0.2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127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 x14ac:dyDescent="0.2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127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 x14ac:dyDescent="0.2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127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 x14ac:dyDescent="0.2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127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 x14ac:dyDescent="0.2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127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 x14ac:dyDescent="0.2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127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 x14ac:dyDescent="0.2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127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 x14ac:dyDescent="0.2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127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 x14ac:dyDescent="0.2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127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 x14ac:dyDescent="0.2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127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 x14ac:dyDescent="0.2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127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 x14ac:dyDescent="0.2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127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 x14ac:dyDescent="0.2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127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 x14ac:dyDescent="0.2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127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 x14ac:dyDescent="0.2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127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 x14ac:dyDescent="0.2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127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 x14ac:dyDescent="0.2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127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 x14ac:dyDescent="0.2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127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 x14ac:dyDescent="0.2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127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 x14ac:dyDescent="0.2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127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 x14ac:dyDescent="0.2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127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 x14ac:dyDescent="0.2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127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 x14ac:dyDescent="0.2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127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 x14ac:dyDescent="0.2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127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 x14ac:dyDescent="0.2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127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 x14ac:dyDescent="0.2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127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 x14ac:dyDescent="0.2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127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 x14ac:dyDescent="0.2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127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 x14ac:dyDescent="0.2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127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 x14ac:dyDescent="0.2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127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 x14ac:dyDescent="0.2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127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 x14ac:dyDescent="0.2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127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 x14ac:dyDescent="0.2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127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 x14ac:dyDescent="0.2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127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 x14ac:dyDescent="0.2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127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 x14ac:dyDescent="0.2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127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 x14ac:dyDescent="0.2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127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 x14ac:dyDescent="0.2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127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 x14ac:dyDescent="0.2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127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 x14ac:dyDescent="0.2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127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 x14ac:dyDescent="0.2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127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 x14ac:dyDescent="0.2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127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 x14ac:dyDescent="0.2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127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 x14ac:dyDescent="0.2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127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 x14ac:dyDescent="0.2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127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 x14ac:dyDescent="0.2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127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 x14ac:dyDescent="0.2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127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 x14ac:dyDescent="0.2">
      <c r="L851" s="2">
        <v>125</v>
      </c>
      <c r="M851" s="2">
        <v>0.5454</v>
      </c>
      <c r="N851" s="2">
        <v>0.67169999999999996</v>
      </c>
      <c r="O851" s="2">
        <v>0.52100000000000002</v>
      </c>
      <c r="P851" s="127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 x14ac:dyDescent="0.2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127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 x14ac:dyDescent="0.2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127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 x14ac:dyDescent="0.2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127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 x14ac:dyDescent="0.2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127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 x14ac:dyDescent="0.2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127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 x14ac:dyDescent="0.2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127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 x14ac:dyDescent="0.2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127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 x14ac:dyDescent="0.2">
      <c r="L859" s="2">
        <v>125.8</v>
      </c>
      <c r="M859" s="2">
        <v>0.54455000000000009</v>
      </c>
      <c r="N859" s="2">
        <v>0.67074999999999996</v>
      </c>
      <c r="O859" s="2">
        <v>0.52</v>
      </c>
      <c r="P859" s="127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 x14ac:dyDescent="0.2">
      <c r="L860" s="2">
        <v>125.9</v>
      </c>
      <c r="M860" s="2" t="e">
        <v>#VALUE!</v>
      </c>
      <c r="N860" s="2">
        <v>0.67064999999999997</v>
      </c>
      <c r="O860" s="2" t="s">
        <v>93</v>
      </c>
      <c r="P860" s="127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 x14ac:dyDescent="0.2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127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 x14ac:dyDescent="0.2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127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 x14ac:dyDescent="0.2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127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 x14ac:dyDescent="0.2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127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 x14ac:dyDescent="0.2">
      <c r="L865" s="2">
        <v>126.4</v>
      </c>
      <c r="M865" s="2">
        <v>0.54394999999999993</v>
      </c>
      <c r="N865" s="2">
        <v>0.67</v>
      </c>
      <c r="O865" s="2">
        <v>0.51929999999999998</v>
      </c>
      <c r="P865" s="127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 x14ac:dyDescent="0.2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127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 x14ac:dyDescent="0.2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127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 x14ac:dyDescent="0.2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127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 x14ac:dyDescent="0.2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127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 x14ac:dyDescent="0.2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127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 x14ac:dyDescent="0.2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127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 x14ac:dyDescent="0.2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127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 x14ac:dyDescent="0.2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127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 x14ac:dyDescent="0.2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127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 x14ac:dyDescent="0.2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127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 x14ac:dyDescent="0.2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127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 x14ac:dyDescent="0.2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127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 x14ac:dyDescent="0.2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127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 x14ac:dyDescent="0.2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127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 x14ac:dyDescent="0.2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127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 x14ac:dyDescent="0.2">
      <c r="L881" s="2">
        <v>128</v>
      </c>
      <c r="M881" s="2">
        <v>0.5423</v>
      </c>
      <c r="N881" s="2">
        <v>0.66810000000000003</v>
      </c>
      <c r="O881" s="2">
        <v>0.51739999999999997</v>
      </c>
      <c r="P881" s="127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 x14ac:dyDescent="0.2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127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 x14ac:dyDescent="0.2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127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 x14ac:dyDescent="0.2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127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 x14ac:dyDescent="0.2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127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 x14ac:dyDescent="0.2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127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 x14ac:dyDescent="0.2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127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 x14ac:dyDescent="0.2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127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 x14ac:dyDescent="0.2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127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 x14ac:dyDescent="0.2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127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 x14ac:dyDescent="0.2">
      <c r="L891" s="2">
        <v>129</v>
      </c>
      <c r="M891" s="2">
        <v>0.5413</v>
      </c>
      <c r="N891" s="2">
        <v>0.66690000000000005</v>
      </c>
      <c r="O891" s="2">
        <v>0.51619999999999999</v>
      </c>
      <c r="P891" s="127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 x14ac:dyDescent="0.2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127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 x14ac:dyDescent="0.2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127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 x14ac:dyDescent="0.2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127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 x14ac:dyDescent="0.2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127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 x14ac:dyDescent="0.2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127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 x14ac:dyDescent="0.2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127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 x14ac:dyDescent="0.2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127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 x14ac:dyDescent="0.2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127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 x14ac:dyDescent="0.2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127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 x14ac:dyDescent="0.2">
      <c r="L901" s="2">
        <v>130</v>
      </c>
      <c r="M901" s="2">
        <v>0.5403</v>
      </c>
      <c r="N901" s="2">
        <v>0.66569999999999996</v>
      </c>
      <c r="O901" s="2">
        <v>0.51500000000000001</v>
      </c>
      <c r="P901" s="127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 x14ac:dyDescent="0.2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127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 x14ac:dyDescent="0.2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127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 x14ac:dyDescent="0.2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127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 x14ac:dyDescent="0.2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127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 x14ac:dyDescent="0.2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127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 x14ac:dyDescent="0.2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127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 x14ac:dyDescent="0.2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127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 x14ac:dyDescent="0.2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127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 x14ac:dyDescent="0.2">
      <c r="L910" s="2">
        <v>130.9</v>
      </c>
      <c r="M910" s="2">
        <v>0.54</v>
      </c>
      <c r="N910" s="2">
        <v>0.66464999999999996</v>
      </c>
      <c r="O910" s="2">
        <v>0.5151</v>
      </c>
      <c r="P910" s="127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 x14ac:dyDescent="0.2">
      <c r="L911" s="2">
        <v>131</v>
      </c>
      <c r="M911" s="2">
        <v>0.5393</v>
      </c>
      <c r="N911" s="2">
        <v>0.66454999999999997</v>
      </c>
      <c r="O911" s="2">
        <v>0.51380000000000003</v>
      </c>
      <c r="P911" s="127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 x14ac:dyDescent="0.2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127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 x14ac:dyDescent="0.2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127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 x14ac:dyDescent="0.2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127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 x14ac:dyDescent="0.2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127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 x14ac:dyDescent="0.2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127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 x14ac:dyDescent="0.2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127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 x14ac:dyDescent="0.2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127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 x14ac:dyDescent="0.2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127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 x14ac:dyDescent="0.2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127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 x14ac:dyDescent="0.2">
      <c r="L921" s="2">
        <v>132</v>
      </c>
      <c r="M921" s="2">
        <v>0.53835</v>
      </c>
      <c r="N921" s="2">
        <v>0.66335</v>
      </c>
      <c r="O921" s="2">
        <v>0.51259999999999994</v>
      </c>
      <c r="P921" s="127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 x14ac:dyDescent="0.2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127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 x14ac:dyDescent="0.2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127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 x14ac:dyDescent="0.2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127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 x14ac:dyDescent="0.2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127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 x14ac:dyDescent="0.2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127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 x14ac:dyDescent="0.2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127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 x14ac:dyDescent="0.2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127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 x14ac:dyDescent="0.2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127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 x14ac:dyDescent="0.2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127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 x14ac:dyDescent="0.2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127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 x14ac:dyDescent="0.2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127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 x14ac:dyDescent="0.2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127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 x14ac:dyDescent="0.2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127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 x14ac:dyDescent="0.2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127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 x14ac:dyDescent="0.2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127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 x14ac:dyDescent="0.2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127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 x14ac:dyDescent="0.2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127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 x14ac:dyDescent="0.2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127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 x14ac:dyDescent="0.2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127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 x14ac:dyDescent="0.2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127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 x14ac:dyDescent="0.2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127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 x14ac:dyDescent="0.2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127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 x14ac:dyDescent="0.2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127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 x14ac:dyDescent="0.2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127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 x14ac:dyDescent="0.2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127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 x14ac:dyDescent="0.2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127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 x14ac:dyDescent="0.2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127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 x14ac:dyDescent="0.2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127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 x14ac:dyDescent="0.2">
      <c r="L950" s="2">
        <v>134.9</v>
      </c>
      <c r="M950" s="2">
        <v>0.53615000000000002</v>
      </c>
      <c r="N950" s="2">
        <v>0.66</v>
      </c>
      <c r="O950" s="2">
        <v>0.51029999999999998</v>
      </c>
      <c r="P950" s="127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 x14ac:dyDescent="0.2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127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 x14ac:dyDescent="0.2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127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 x14ac:dyDescent="0.2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127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 x14ac:dyDescent="0.2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127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 x14ac:dyDescent="0.2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127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 x14ac:dyDescent="0.2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127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 x14ac:dyDescent="0.2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127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 x14ac:dyDescent="0.2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127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 x14ac:dyDescent="0.2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127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 x14ac:dyDescent="0.2">
      <c r="L960" s="2">
        <v>135.9</v>
      </c>
      <c r="M960" s="2">
        <v>0.53525</v>
      </c>
      <c r="N960" s="2">
        <v>0.65885000000000005</v>
      </c>
      <c r="O960" s="2">
        <v>0.5091</v>
      </c>
      <c r="P960" s="127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 x14ac:dyDescent="0.2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127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 x14ac:dyDescent="0.2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127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 x14ac:dyDescent="0.2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127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 x14ac:dyDescent="0.2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127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 x14ac:dyDescent="0.2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127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 x14ac:dyDescent="0.2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127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 x14ac:dyDescent="0.2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127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 x14ac:dyDescent="0.2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127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 x14ac:dyDescent="0.2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127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 x14ac:dyDescent="0.2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127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 x14ac:dyDescent="0.2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127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 x14ac:dyDescent="0.2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127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 x14ac:dyDescent="0.2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127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 x14ac:dyDescent="0.2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127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 x14ac:dyDescent="0.2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127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 x14ac:dyDescent="0.2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127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 x14ac:dyDescent="0.2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127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 x14ac:dyDescent="0.2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127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 x14ac:dyDescent="0.2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127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 x14ac:dyDescent="0.2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127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 x14ac:dyDescent="0.2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127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 x14ac:dyDescent="0.2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127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 x14ac:dyDescent="0.2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127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 x14ac:dyDescent="0.2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127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 x14ac:dyDescent="0.2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127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 x14ac:dyDescent="0.2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127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 x14ac:dyDescent="0.2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127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 x14ac:dyDescent="0.2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127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 x14ac:dyDescent="0.2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127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 x14ac:dyDescent="0.2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127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 x14ac:dyDescent="0.2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127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 x14ac:dyDescent="0.2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127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 x14ac:dyDescent="0.2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127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 x14ac:dyDescent="0.2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127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 x14ac:dyDescent="0.2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127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 x14ac:dyDescent="0.2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127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 x14ac:dyDescent="0.2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127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 x14ac:dyDescent="0.2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127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 x14ac:dyDescent="0.2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127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 x14ac:dyDescent="0.2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127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 x14ac:dyDescent="0.2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127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 x14ac:dyDescent="0.2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127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 x14ac:dyDescent="0.2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127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 x14ac:dyDescent="0.2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127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 x14ac:dyDescent="0.2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127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 x14ac:dyDescent="0.2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127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 x14ac:dyDescent="0.2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127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 x14ac:dyDescent="0.2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127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 x14ac:dyDescent="0.2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127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 x14ac:dyDescent="0.2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127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 x14ac:dyDescent="0.2">
      <c r="L1011" s="2">
        <v>141</v>
      </c>
      <c r="M1011" s="2">
        <v>0.53025</v>
      </c>
      <c r="N1011" s="2">
        <v>0.6532</v>
      </c>
      <c r="O1011" s="2">
        <v>0.50229999999999997</v>
      </c>
      <c r="P1011" s="127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 x14ac:dyDescent="0.2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127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 x14ac:dyDescent="0.2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127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 x14ac:dyDescent="0.2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127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 x14ac:dyDescent="0.2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127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 x14ac:dyDescent="0.2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127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 x14ac:dyDescent="0.2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127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 x14ac:dyDescent="0.2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127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 x14ac:dyDescent="0.2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127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 x14ac:dyDescent="0.2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127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 x14ac:dyDescent="0.2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127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 x14ac:dyDescent="0.2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127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 x14ac:dyDescent="0.2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127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 x14ac:dyDescent="0.2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127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 x14ac:dyDescent="0.2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127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 x14ac:dyDescent="0.2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127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 x14ac:dyDescent="0.2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127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 x14ac:dyDescent="0.2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127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 x14ac:dyDescent="0.2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127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 x14ac:dyDescent="0.2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127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 x14ac:dyDescent="0.2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127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 x14ac:dyDescent="0.2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127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 x14ac:dyDescent="0.2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127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 x14ac:dyDescent="0.2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127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 x14ac:dyDescent="0.2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127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 x14ac:dyDescent="0.2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127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 x14ac:dyDescent="0.2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127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 x14ac:dyDescent="0.2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127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 x14ac:dyDescent="0.2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127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 x14ac:dyDescent="0.2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127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 x14ac:dyDescent="0.2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127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 x14ac:dyDescent="0.2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127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 x14ac:dyDescent="0.2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127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 x14ac:dyDescent="0.2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127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 x14ac:dyDescent="0.2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127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 x14ac:dyDescent="0.2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127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 x14ac:dyDescent="0.2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127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 x14ac:dyDescent="0.2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127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 x14ac:dyDescent="0.2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127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 x14ac:dyDescent="0.2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127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 x14ac:dyDescent="0.2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127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 x14ac:dyDescent="0.2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127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 x14ac:dyDescent="0.2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127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 x14ac:dyDescent="0.2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127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 x14ac:dyDescent="0.2">
      <c r="L1055" s="2">
        <v>145.4</v>
      </c>
      <c r="M1055" s="2">
        <v>0.52659999999999996</v>
      </c>
      <c r="N1055" s="2">
        <v>0.64881</v>
      </c>
      <c r="O1055" s="2">
        <v>0.4975</v>
      </c>
      <c r="P1055" s="127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 x14ac:dyDescent="0.2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127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 x14ac:dyDescent="0.2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127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 x14ac:dyDescent="0.2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127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 x14ac:dyDescent="0.2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127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 x14ac:dyDescent="0.2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127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 x14ac:dyDescent="0.2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127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 x14ac:dyDescent="0.2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127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 x14ac:dyDescent="0.2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127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 x14ac:dyDescent="0.2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127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 x14ac:dyDescent="0.2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127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 x14ac:dyDescent="0.2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127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 x14ac:dyDescent="0.2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127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 x14ac:dyDescent="0.2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127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 x14ac:dyDescent="0.2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127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 x14ac:dyDescent="0.2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127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 x14ac:dyDescent="0.2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127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 x14ac:dyDescent="0.2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127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 x14ac:dyDescent="0.2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127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 x14ac:dyDescent="0.2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127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 x14ac:dyDescent="0.2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127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 x14ac:dyDescent="0.2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127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 x14ac:dyDescent="0.2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127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 x14ac:dyDescent="0.2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127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 x14ac:dyDescent="0.2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127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 x14ac:dyDescent="0.2">
      <c r="L1080" s="2">
        <v>147.9</v>
      </c>
      <c r="M1080" s="2">
        <v>0.5252</v>
      </c>
      <c r="N1080" s="2">
        <v>0.64661000000000002</v>
      </c>
      <c r="O1080" s="2">
        <v>0.496</v>
      </c>
      <c r="P1080" s="127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 x14ac:dyDescent="0.2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127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 x14ac:dyDescent="0.2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127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 x14ac:dyDescent="0.2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127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 x14ac:dyDescent="0.2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127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 x14ac:dyDescent="0.2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127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 x14ac:dyDescent="0.2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127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 x14ac:dyDescent="0.2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127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 x14ac:dyDescent="0.2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127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 x14ac:dyDescent="0.2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127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 x14ac:dyDescent="0.2">
      <c r="L1090" s="2">
        <v>148.9</v>
      </c>
      <c r="M1090" s="2">
        <v>0.52444999999999997</v>
      </c>
      <c r="N1090" s="2">
        <v>0.64581</v>
      </c>
      <c r="O1090" s="2">
        <v>0.495</v>
      </c>
      <c r="P1090" s="127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 x14ac:dyDescent="0.2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127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 x14ac:dyDescent="0.2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127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 x14ac:dyDescent="0.2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127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 x14ac:dyDescent="0.2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127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 x14ac:dyDescent="0.2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127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 x14ac:dyDescent="0.2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127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 x14ac:dyDescent="0.2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127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 x14ac:dyDescent="0.2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127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 x14ac:dyDescent="0.2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127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 x14ac:dyDescent="0.2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127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 x14ac:dyDescent="0.2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127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 x14ac:dyDescent="0.2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127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 x14ac:dyDescent="0.2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127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 x14ac:dyDescent="0.2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127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 x14ac:dyDescent="0.2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127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 x14ac:dyDescent="0.2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127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 x14ac:dyDescent="0.2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127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 x14ac:dyDescent="0.2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127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 x14ac:dyDescent="0.2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127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 x14ac:dyDescent="0.2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127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 x14ac:dyDescent="0.2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127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 x14ac:dyDescent="0.2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127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 x14ac:dyDescent="0.2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127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 x14ac:dyDescent="0.2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127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 x14ac:dyDescent="0.2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127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 x14ac:dyDescent="0.2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127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 x14ac:dyDescent="0.2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127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 x14ac:dyDescent="0.2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127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 x14ac:dyDescent="0.2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127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 x14ac:dyDescent="0.2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127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 x14ac:dyDescent="0.2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127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 x14ac:dyDescent="0.2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127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 x14ac:dyDescent="0.2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127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 x14ac:dyDescent="0.2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127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 x14ac:dyDescent="0.2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127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 x14ac:dyDescent="0.2">
      <c r="L1126" s="2">
        <v>152.5</v>
      </c>
      <c r="M1126" s="2">
        <v>0.5212</v>
      </c>
      <c r="N1126" s="2">
        <v>0.64307999999999998</v>
      </c>
      <c r="O1126" s="2">
        <v>0.4904</v>
      </c>
      <c r="P1126" s="127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 x14ac:dyDescent="0.2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127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 x14ac:dyDescent="0.2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127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 x14ac:dyDescent="0.2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127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 x14ac:dyDescent="0.2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127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 x14ac:dyDescent="0.2">
      <c r="L1131" s="2">
        <v>153</v>
      </c>
      <c r="M1131" s="2">
        <v>0.52085000000000004</v>
      </c>
      <c r="N1131" s="2">
        <v>0.64271</v>
      </c>
      <c r="O1131" s="2">
        <v>0.4899</v>
      </c>
      <c r="P1131" s="127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 x14ac:dyDescent="0.2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127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 x14ac:dyDescent="0.2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127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 x14ac:dyDescent="0.2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127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 x14ac:dyDescent="0.2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127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 x14ac:dyDescent="0.2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127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 x14ac:dyDescent="0.2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127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 x14ac:dyDescent="0.2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127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 x14ac:dyDescent="0.2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127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 x14ac:dyDescent="0.2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127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 x14ac:dyDescent="0.2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127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 x14ac:dyDescent="0.2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127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 x14ac:dyDescent="0.2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127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 x14ac:dyDescent="0.2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127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 x14ac:dyDescent="0.2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127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 x14ac:dyDescent="0.2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127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 x14ac:dyDescent="0.2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127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 x14ac:dyDescent="0.2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127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 x14ac:dyDescent="0.2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127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 x14ac:dyDescent="0.2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127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 x14ac:dyDescent="0.2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127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 x14ac:dyDescent="0.2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127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 x14ac:dyDescent="0.2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127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 x14ac:dyDescent="0.2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127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 x14ac:dyDescent="0.2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127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 x14ac:dyDescent="0.2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127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 x14ac:dyDescent="0.2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127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 x14ac:dyDescent="0.2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127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 x14ac:dyDescent="0.2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127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 x14ac:dyDescent="0.2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127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 x14ac:dyDescent="0.2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127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 x14ac:dyDescent="0.2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127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 x14ac:dyDescent="0.2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127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 x14ac:dyDescent="0.2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127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 x14ac:dyDescent="0.2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127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 x14ac:dyDescent="0.2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127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 x14ac:dyDescent="0.2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127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 x14ac:dyDescent="0.2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127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 x14ac:dyDescent="0.2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127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 x14ac:dyDescent="0.2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127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 x14ac:dyDescent="0.2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127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 x14ac:dyDescent="0.2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127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 x14ac:dyDescent="0.2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127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 x14ac:dyDescent="0.2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127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 x14ac:dyDescent="0.2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127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 x14ac:dyDescent="0.2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127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 x14ac:dyDescent="0.2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127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 x14ac:dyDescent="0.2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127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 x14ac:dyDescent="0.2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127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 x14ac:dyDescent="0.2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127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 x14ac:dyDescent="0.2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127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 x14ac:dyDescent="0.2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127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 x14ac:dyDescent="0.2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127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 x14ac:dyDescent="0.2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127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 x14ac:dyDescent="0.2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127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 x14ac:dyDescent="0.2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127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 x14ac:dyDescent="0.2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127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 x14ac:dyDescent="0.2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127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 x14ac:dyDescent="0.2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127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 x14ac:dyDescent="0.2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127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 x14ac:dyDescent="0.2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127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 x14ac:dyDescent="0.2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127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 x14ac:dyDescent="0.2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127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 x14ac:dyDescent="0.2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127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 x14ac:dyDescent="0.2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127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 x14ac:dyDescent="0.2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127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 x14ac:dyDescent="0.2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127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 x14ac:dyDescent="0.2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127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 x14ac:dyDescent="0.2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127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 x14ac:dyDescent="0.2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127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 x14ac:dyDescent="0.2">
      <c r="L1201" s="2">
        <v>160</v>
      </c>
      <c r="M1201" s="2">
        <v>0.51580000000000004</v>
      </c>
      <c r="N1201" s="2">
        <v>0.63771</v>
      </c>
      <c r="O1201" s="2">
        <v>0.4834</v>
      </c>
      <c r="P1201" s="127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 x14ac:dyDescent="0.2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127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 x14ac:dyDescent="0.2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127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 x14ac:dyDescent="0.2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127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 x14ac:dyDescent="0.2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127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 x14ac:dyDescent="0.2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127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 x14ac:dyDescent="0.2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127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 x14ac:dyDescent="0.2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127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 x14ac:dyDescent="0.2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127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 x14ac:dyDescent="0.2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127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 x14ac:dyDescent="0.2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127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 x14ac:dyDescent="0.2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127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 x14ac:dyDescent="0.2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127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 x14ac:dyDescent="0.2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127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 x14ac:dyDescent="0.2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127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 x14ac:dyDescent="0.2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127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 x14ac:dyDescent="0.2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127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 x14ac:dyDescent="0.2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127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 x14ac:dyDescent="0.2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127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 x14ac:dyDescent="0.2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127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 x14ac:dyDescent="0.2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127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 x14ac:dyDescent="0.2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127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 x14ac:dyDescent="0.2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127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 x14ac:dyDescent="0.2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127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 x14ac:dyDescent="0.2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127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 x14ac:dyDescent="0.2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127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 x14ac:dyDescent="0.2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127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 x14ac:dyDescent="0.2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127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 x14ac:dyDescent="0.2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127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 x14ac:dyDescent="0.2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127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 x14ac:dyDescent="0.2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127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 x14ac:dyDescent="0.2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127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 x14ac:dyDescent="0.2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127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 x14ac:dyDescent="0.2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127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 x14ac:dyDescent="0.2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127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 x14ac:dyDescent="0.2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127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 x14ac:dyDescent="0.2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127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 x14ac:dyDescent="0.2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127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 x14ac:dyDescent="0.2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127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 x14ac:dyDescent="0.2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127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 x14ac:dyDescent="0.2">
      <c r="L1241" s="2">
        <v>164</v>
      </c>
      <c r="M1241" s="2">
        <v>0.51300000000000001</v>
      </c>
      <c r="N1241" s="2">
        <v>0.63488</v>
      </c>
      <c r="O1241" s="2">
        <v>0.4798</v>
      </c>
      <c r="P1241" s="127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 x14ac:dyDescent="0.2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127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 x14ac:dyDescent="0.2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127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 x14ac:dyDescent="0.2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127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 x14ac:dyDescent="0.2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127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 x14ac:dyDescent="0.2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127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 x14ac:dyDescent="0.2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127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 x14ac:dyDescent="0.2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127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 x14ac:dyDescent="0.2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127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 x14ac:dyDescent="0.2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127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 x14ac:dyDescent="0.2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127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 x14ac:dyDescent="0.2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127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 x14ac:dyDescent="0.2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127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 x14ac:dyDescent="0.2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127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 x14ac:dyDescent="0.2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127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 x14ac:dyDescent="0.2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127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 x14ac:dyDescent="0.2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127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 x14ac:dyDescent="0.2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127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 x14ac:dyDescent="0.2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127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 x14ac:dyDescent="0.2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127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 x14ac:dyDescent="0.2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127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 x14ac:dyDescent="0.2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127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 x14ac:dyDescent="0.2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127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 x14ac:dyDescent="0.2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127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 x14ac:dyDescent="0.2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127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 x14ac:dyDescent="0.2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127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 x14ac:dyDescent="0.2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127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 x14ac:dyDescent="0.2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127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 x14ac:dyDescent="0.2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127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 x14ac:dyDescent="0.2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127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 x14ac:dyDescent="0.2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127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 x14ac:dyDescent="0.2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127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 x14ac:dyDescent="0.2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127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 x14ac:dyDescent="0.2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127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 x14ac:dyDescent="0.2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127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 x14ac:dyDescent="0.2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127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 x14ac:dyDescent="0.2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127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 x14ac:dyDescent="0.2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127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 x14ac:dyDescent="0.2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127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 x14ac:dyDescent="0.2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127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 x14ac:dyDescent="0.2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127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 x14ac:dyDescent="0.2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127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 x14ac:dyDescent="0.2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127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 x14ac:dyDescent="0.2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127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 x14ac:dyDescent="0.2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127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 x14ac:dyDescent="0.2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127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 x14ac:dyDescent="0.2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127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 x14ac:dyDescent="0.2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127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 x14ac:dyDescent="0.2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127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 x14ac:dyDescent="0.2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127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 x14ac:dyDescent="0.2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127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 x14ac:dyDescent="0.2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127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 x14ac:dyDescent="0.2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127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 x14ac:dyDescent="0.2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127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 x14ac:dyDescent="0.2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127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 x14ac:dyDescent="0.2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127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 x14ac:dyDescent="0.2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127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 x14ac:dyDescent="0.2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127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 x14ac:dyDescent="0.2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127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 x14ac:dyDescent="0.2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127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 x14ac:dyDescent="0.2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127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 x14ac:dyDescent="0.2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127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 x14ac:dyDescent="0.2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127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 x14ac:dyDescent="0.2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127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 x14ac:dyDescent="0.2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127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 x14ac:dyDescent="0.2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127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 x14ac:dyDescent="0.2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127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 x14ac:dyDescent="0.2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127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 x14ac:dyDescent="0.2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127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 x14ac:dyDescent="0.2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127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 x14ac:dyDescent="0.2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127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 x14ac:dyDescent="0.2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127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 x14ac:dyDescent="0.2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127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 x14ac:dyDescent="0.2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127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 x14ac:dyDescent="0.2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127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 x14ac:dyDescent="0.2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127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 x14ac:dyDescent="0.2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127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 x14ac:dyDescent="0.2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127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 x14ac:dyDescent="0.2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127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 x14ac:dyDescent="0.2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127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 x14ac:dyDescent="0.2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127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 x14ac:dyDescent="0.2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127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 x14ac:dyDescent="0.2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127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 x14ac:dyDescent="0.2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127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 x14ac:dyDescent="0.2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127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 x14ac:dyDescent="0.2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127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 x14ac:dyDescent="0.2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127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 x14ac:dyDescent="0.2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127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 x14ac:dyDescent="0.2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127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 x14ac:dyDescent="0.2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127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 x14ac:dyDescent="0.2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127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 x14ac:dyDescent="0.2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127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 x14ac:dyDescent="0.2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127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 x14ac:dyDescent="0.2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127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 x14ac:dyDescent="0.2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127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 x14ac:dyDescent="0.2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127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 x14ac:dyDescent="0.2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127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 x14ac:dyDescent="0.2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127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 x14ac:dyDescent="0.2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127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 x14ac:dyDescent="0.2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127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 x14ac:dyDescent="0.2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127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 x14ac:dyDescent="0.2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127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 x14ac:dyDescent="0.2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127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 x14ac:dyDescent="0.2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127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 x14ac:dyDescent="0.2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127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 x14ac:dyDescent="0.2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127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 x14ac:dyDescent="0.2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127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 x14ac:dyDescent="0.2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127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 x14ac:dyDescent="0.2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127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 x14ac:dyDescent="0.2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127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 x14ac:dyDescent="0.2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127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 x14ac:dyDescent="0.2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127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 x14ac:dyDescent="0.2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127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 x14ac:dyDescent="0.2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127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 x14ac:dyDescent="0.2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127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 x14ac:dyDescent="0.2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127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 x14ac:dyDescent="0.2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127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 x14ac:dyDescent="0.2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127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 x14ac:dyDescent="0.2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127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 x14ac:dyDescent="0.2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127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 x14ac:dyDescent="0.2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127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 x14ac:dyDescent="0.2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127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 x14ac:dyDescent="0.2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127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 x14ac:dyDescent="0.2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127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 x14ac:dyDescent="0.2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127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 x14ac:dyDescent="0.2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127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 x14ac:dyDescent="0.2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127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 x14ac:dyDescent="0.2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127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 x14ac:dyDescent="0.2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127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 x14ac:dyDescent="0.2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127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 x14ac:dyDescent="0.2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127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 x14ac:dyDescent="0.2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127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 x14ac:dyDescent="0.2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127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 x14ac:dyDescent="0.2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127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 x14ac:dyDescent="0.2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127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 x14ac:dyDescent="0.2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127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 x14ac:dyDescent="0.2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127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 x14ac:dyDescent="0.2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127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 x14ac:dyDescent="0.2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127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 x14ac:dyDescent="0.2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127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 x14ac:dyDescent="0.2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127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 x14ac:dyDescent="0.2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127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 x14ac:dyDescent="0.2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127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 x14ac:dyDescent="0.2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127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 x14ac:dyDescent="0.2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127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 x14ac:dyDescent="0.2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127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 x14ac:dyDescent="0.2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127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 x14ac:dyDescent="0.2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127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 x14ac:dyDescent="0.2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127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 x14ac:dyDescent="0.2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127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 x14ac:dyDescent="0.2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127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 x14ac:dyDescent="0.2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127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 x14ac:dyDescent="0.2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127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 x14ac:dyDescent="0.2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127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 x14ac:dyDescent="0.2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127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 x14ac:dyDescent="0.2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127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 x14ac:dyDescent="0.2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127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 x14ac:dyDescent="0.2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127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 x14ac:dyDescent="0.2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127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 x14ac:dyDescent="0.2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127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 x14ac:dyDescent="0.2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127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 x14ac:dyDescent="0.2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127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 x14ac:dyDescent="0.2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127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 x14ac:dyDescent="0.2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127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 x14ac:dyDescent="0.2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127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 x14ac:dyDescent="0.2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127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 x14ac:dyDescent="0.2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127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 x14ac:dyDescent="0.2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127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 x14ac:dyDescent="0.2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127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 x14ac:dyDescent="0.2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127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 x14ac:dyDescent="0.2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127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 x14ac:dyDescent="0.2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127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 x14ac:dyDescent="0.2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127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 x14ac:dyDescent="0.2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127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 x14ac:dyDescent="0.2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127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 x14ac:dyDescent="0.2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127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 x14ac:dyDescent="0.2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127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 x14ac:dyDescent="0.2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127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 x14ac:dyDescent="0.2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127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 x14ac:dyDescent="0.2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127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 x14ac:dyDescent="0.2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127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 x14ac:dyDescent="0.2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127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 x14ac:dyDescent="0.2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127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 x14ac:dyDescent="0.2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127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 x14ac:dyDescent="0.2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127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 x14ac:dyDescent="0.2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127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 x14ac:dyDescent="0.2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127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 x14ac:dyDescent="0.2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127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 x14ac:dyDescent="0.2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127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 x14ac:dyDescent="0.2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127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 x14ac:dyDescent="0.2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127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 x14ac:dyDescent="0.2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127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 x14ac:dyDescent="0.2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127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 x14ac:dyDescent="0.2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127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 x14ac:dyDescent="0.2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127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 x14ac:dyDescent="0.2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127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 x14ac:dyDescent="0.2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127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 x14ac:dyDescent="0.2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127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 x14ac:dyDescent="0.2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127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 x14ac:dyDescent="0.2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127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 x14ac:dyDescent="0.2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127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 x14ac:dyDescent="0.2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127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 x14ac:dyDescent="0.2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127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 x14ac:dyDescent="0.2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127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 x14ac:dyDescent="0.2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127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 x14ac:dyDescent="0.2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127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 x14ac:dyDescent="0.2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127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 x14ac:dyDescent="0.2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127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 x14ac:dyDescent="0.2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127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 x14ac:dyDescent="0.2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127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 x14ac:dyDescent="0.2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127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 x14ac:dyDescent="0.2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127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 x14ac:dyDescent="0.2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127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 x14ac:dyDescent="0.2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127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 x14ac:dyDescent="0.2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127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 x14ac:dyDescent="0.2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127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 x14ac:dyDescent="0.2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127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 x14ac:dyDescent="0.2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127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 x14ac:dyDescent="0.2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127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 x14ac:dyDescent="0.2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127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 x14ac:dyDescent="0.2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127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 x14ac:dyDescent="0.2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127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 x14ac:dyDescent="0.2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127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 x14ac:dyDescent="0.2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127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 x14ac:dyDescent="0.2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127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 x14ac:dyDescent="0.2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127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 x14ac:dyDescent="0.2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127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 x14ac:dyDescent="0.2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127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 x14ac:dyDescent="0.2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127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 x14ac:dyDescent="0.2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127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 x14ac:dyDescent="0.2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127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 x14ac:dyDescent="0.2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127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 x14ac:dyDescent="0.2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127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 x14ac:dyDescent="0.2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127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 x14ac:dyDescent="0.2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127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 x14ac:dyDescent="0.2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127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 x14ac:dyDescent="0.2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127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 x14ac:dyDescent="0.2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127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 x14ac:dyDescent="0.2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127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 x14ac:dyDescent="0.2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127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 x14ac:dyDescent="0.2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127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 x14ac:dyDescent="0.2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127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 x14ac:dyDescent="0.2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127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 x14ac:dyDescent="0.2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127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 x14ac:dyDescent="0.2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127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 x14ac:dyDescent="0.2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127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 x14ac:dyDescent="0.2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127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 x14ac:dyDescent="0.2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127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 x14ac:dyDescent="0.2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127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 x14ac:dyDescent="0.2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127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 x14ac:dyDescent="0.2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127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 x14ac:dyDescent="0.2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127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 x14ac:dyDescent="0.2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127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 x14ac:dyDescent="0.2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127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 x14ac:dyDescent="0.2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127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 x14ac:dyDescent="0.2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127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 x14ac:dyDescent="0.2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127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 x14ac:dyDescent="0.2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127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 x14ac:dyDescent="0.2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127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 x14ac:dyDescent="0.2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127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 x14ac:dyDescent="0.2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127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 x14ac:dyDescent="0.2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127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 x14ac:dyDescent="0.2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127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 x14ac:dyDescent="0.2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127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 x14ac:dyDescent="0.2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127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 x14ac:dyDescent="0.2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127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 x14ac:dyDescent="0.2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127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 x14ac:dyDescent="0.2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127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 x14ac:dyDescent="0.2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127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 x14ac:dyDescent="0.2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127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 x14ac:dyDescent="0.2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127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 x14ac:dyDescent="0.2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127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 x14ac:dyDescent="0.2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127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 x14ac:dyDescent="0.2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127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 x14ac:dyDescent="0.2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127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 x14ac:dyDescent="0.2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127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 x14ac:dyDescent="0.2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127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 x14ac:dyDescent="0.2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127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 x14ac:dyDescent="0.2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127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 x14ac:dyDescent="0.2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127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 x14ac:dyDescent="0.2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127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 x14ac:dyDescent="0.2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127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 x14ac:dyDescent="0.2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127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 x14ac:dyDescent="0.2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127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 x14ac:dyDescent="0.2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127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 x14ac:dyDescent="0.2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127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 x14ac:dyDescent="0.2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127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 x14ac:dyDescent="0.2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127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 x14ac:dyDescent="0.2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127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 x14ac:dyDescent="0.2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127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 x14ac:dyDescent="0.2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127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 x14ac:dyDescent="0.2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127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 x14ac:dyDescent="0.2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127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 x14ac:dyDescent="0.2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127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 x14ac:dyDescent="0.2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127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 x14ac:dyDescent="0.2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127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 x14ac:dyDescent="0.2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127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 x14ac:dyDescent="0.2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127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 x14ac:dyDescent="0.2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127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 x14ac:dyDescent="0.2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127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 x14ac:dyDescent="0.2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127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 x14ac:dyDescent="0.2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127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 x14ac:dyDescent="0.2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127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 x14ac:dyDescent="0.2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127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 x14ac:dyDescent="0.2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127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 x14ac:dyDescent="0.2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127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 x14ac:dyDescent="0.2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127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 x14ac:dyDescent="0.2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127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 x14ac:dyDescent="0.2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127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 x14ac:dyDescent="0.2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127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 x14ac:dyDescent="0.2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127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 x14ac:dyDescent="0.2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127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 x14ac:dyDescent="0.2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127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 x14ac:dyDescent="0.2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127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 x14ac:dyDescent="0.2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127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 x14ac:dyDescent="0.2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127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 x14ac:dyDescent="0.2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127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 x14ac:dyDescent="0.2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127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 x14ac:dyDescent="0.2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127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 x14ac:dyDescent="0.2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127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 x14ac:dyDescent="0.2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127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 x14ac:dyDescent="0.2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127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 x14ac:dyDescent="0.2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127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 x14ac:dyDescent="0.2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127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 x14ac:dyDescent="0.2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127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 x14ac:dyDescent="0.2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127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 x14ac:dyDescent="0.2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127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 x14ac:dyDescent="0.2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127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 x14ac:dyDescent="0.2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127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 x14ac:dyDescent="0.2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127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 x14ac:dyDescent="0.2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127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 x14ac:dyDescent="0.2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127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 x14ac:dyDescent="0.2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127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 x14ac:dyDescent="0.2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127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 x14ac:dyDescent="0.2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127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 x14ac:dyDescent="0.2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127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 x14ac:dyDescent="0.2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127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 x14ac:dyDescent="0.2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127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 x14ac:dyDescent="0.2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127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 x14ac:dyDescent="0.2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127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 x14ac:dyDescent="0.2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127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 x14ac:dyDescent="0.2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127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 x14ac:dyDescent="0.2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127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 x14ac:dyDescent="0.2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127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 x14ac:dyDescent="0.2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127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 x14ac:dyDescent="0.2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127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 x14ac:dyDescent="0.2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127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 x14ac:dyDescent="0.2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127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 x14ac:dyDescent="0.2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127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 x14ac:dyDescent="0.2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127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 x14ac:dyDescent="0.2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127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 x14ac:dyDescent="0.2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127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 x14ac:dyDescent="0.2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127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 x14ac:dyDescent="0.2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127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 x14ac:dyDescent="0.2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127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 x14ac:dyDescent="0.2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127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 x14ac:dyDescent="0.2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127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 x14ac:dyDescent="0.2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127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 x14ac:dyDescent="0.2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127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 x14ac:dyDescent="0.2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127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 x14ac:dyDescent="0.2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127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 x14ac:dyDescent="0.2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127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 x14ac:dyDescent="0.2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127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 x14ac:dyDescent="0.2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127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 x14ac:dyDescent="0.2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127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 x14ac:dyDescent="0.2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127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 x14ac:dyDescent="0.2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127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 x14ac:dyDescent="0.2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127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 x14ac:dyDescent="0.2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127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 x14ac:dyDescent="0.2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127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 x14ac:dyDescent="0.2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127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 x14ac:dyDescent="0.2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127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 x14ac:dyDescent="0.2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127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 x14ac:dyDescent="0.2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127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 x14ac:dyDescent="0.2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127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 x14ac:dyDescent="0.2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127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 x14ac:dyDescent="0.2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127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 x14ac:dyDescent="0.2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127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 x14ac:dyDescent="0.2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127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 x14ac:dyDescent="0.2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127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 x14ac:dyDescent="0.2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127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 x14ac:dyDescent="0.2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127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 x14ac:dyDescent="0.2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127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 x14ac:dyDescent="0.2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127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 x14ac:dyDescent="0.2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127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 x14ac:dyDescent="0.2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127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 x14ac:dyDescent="0.2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127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 x14ac:dyDescent="0.2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127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 x14ac:dyDescent="0.2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127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 x14ac:dyDescent="0.2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127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 x14ac:dyDescent="0.2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127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 x14ac:dyDescent="0.2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127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 x14ac:dyDescent="0.2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127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 x14ac:dyDescent="0.2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127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 x14ac:dyDescent="0.2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127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 x14ac:dyDescent="0.2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127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 x14ac:dyDescent="0.2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127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 x14ac:dyDescent="0.2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127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 x14ac:dyDescent="0.2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127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 x14ac:dyDescent="0.2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127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 x14ac:dyDescent="0.2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127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 x14ac:dyDescent="0.2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127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 x14ac:dyDescent="0.2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127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 x14ac:dyDescent="0.2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127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 x14ac:dyDescent="0.2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127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 x14ac:dyDescent="0.2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127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 x14ac:dyDescent="0.2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127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 x14ac:dyDescent="0.2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127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 x14ac:dyDescent="0.2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127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 x14ac:dyDescent="0.2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127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 x14ac:dyDescent="0.2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127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 x14ac:dyDescent="0.2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127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 x14ac:dyDescent="0.2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127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 x14ac:dyDescent="0.2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127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 x14ac:dyDescent="0.2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127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 x14ac:dyDescent="0.2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127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 x14ac:dyDescent="0.2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127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 x14ac:dyDescent="0.2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127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 x14ac:dyDescent="0.2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127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 x14ac:dyDescent="0.2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127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 x14ac:dyDescent="0.2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127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 x14ac:dyDescent="0.2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127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 x14ac:dyDescent="0.2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127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 x14ac:dyDescent="0.2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127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 x14ac:dyDescent="0.2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127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 x14ac:dyDescent="0.2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127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 x14ac:dyDescent="0.2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127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 x14ac:dyDescent="0.2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127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 x14ac:dyDescent="0.2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127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 x14ac:dyDescent="0.2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127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 x14ac:dyDescent="0.2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127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 x14ac:dyDescent="0.2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127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 x14ac:dyDescent="0.2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127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 x14ac:dyDescent="0.2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127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 x14ac:dyDescent="0.2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127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 x14ac:dyDescent="0.2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127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 x14ac:dyDescent="0.2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127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 x14ac:dyDescent="0.2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127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 x14ac:dyDescent="0.2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127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 x14ac:dyDescent="0.2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127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 x14ac:dyDescent="0.2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127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 x14ac:dyDescent="0.2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127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 x14ac:dyDescent="0.2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127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 x14ac:dyDescent="0.2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127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 x14ac:dyDescent="0.2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127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 x14ac:dyDescent="0.2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127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 x14ac:dyDescent="0.2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127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 x14ac:dyDescent="0.2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127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 x14ac:dyDescent="0.2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127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 x14ac:dyDescent="0.2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127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 x14ac:dyDescent="0.2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127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 x14ac:dyDescent="0.2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127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 x14ac:dyDescent="0.2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127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 x14ac:dyDescent="0.2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127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 x14ac:dyDescent="0.2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127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 x14ac:dyDescent="0.2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127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 x14ac:dyDescent="0.2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127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 x14ac:dyDescent="0.2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127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 x14ac:dyDescent="0.2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127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 x14ac:dyDescent="0.2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127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 x14ac:dyDescent="0.2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127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 x14ac:dyDescent="0.2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127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 x14ac:dyDescent="0.2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127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 x14ac:dyDescent="0.2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127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 x14ac:dyDescent="0.2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127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 x14ac:dyDescent="0.2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127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 x14ac:dyDescent="0.2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127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 x14ac:dyDescent="0.2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127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 x14ac:dyDescent="0.2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127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 x14ac:dyDescent="0.2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127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 x14ac:dyDescent="0.2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127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 x14ac:dyDescent="0.2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127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 x14ac:dyDescent="0.2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127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 x14ac:dyDescent="0.2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127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 x14ac:dyDescent="0.2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127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 x14ac:dyDescent="0.2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127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 x14ac:dyDescent="0.2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127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 x14ac:dyDescent="0.2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127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 x14ac:dyDescent="0.2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127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 x14ac:dyDescent="0.2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127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 x14ac:dyDescent="0.2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127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 x14ac:dyDescent="0.2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127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 x14ac:dyDescent="0.2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127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 x14ac:dyDescent="0.2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127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 x14ac:dyDescent="0.2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127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 x14ac:dyDescent="0.2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127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 x14ac:dyDescent="0.2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127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 x14ac:dyDescent="0.2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127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 x14ac:dyDescent="0.2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127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 x14ac:dyDescent="0.2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127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 x14ac:dyDescent="0.2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127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 x14ac:dyDescent="0.2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127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 x14ac:dyDescent="0.2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127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 x14ac:dyDescent="0.2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127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 x14ac:dyDescent="0.2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127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 x14ac:dyDescent="0.2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127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 x14ac:dyDescent="0.2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127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 x14ac:dyDescent="0.2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127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 x14ac:dyDescent="0.2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127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 x14ac:dyDescent="0.2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127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 x14ac:dyDescent="0.2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127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 x14ac:dyDescent="0.2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127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 x14ac:dyDescent="0.2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127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 x14ac:dyDescent="0.2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127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 x14ac:dyDescent="0.2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127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 x14ac:dyDescent="0.2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127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 x14ac:dyDescent="0.2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127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 x14ac:dyDescent="0.2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127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 x14ac:dyDescent="0.2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127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 x14ac:dyDescent="0.2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127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 x14ac:dyDescent="0.2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127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 x14ac:dyDescent="0.2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127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 x14ac:dyDescent="0.2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127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 x14ac:dyDescent="0.2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127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 x14ac:dyDescent="0.2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127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 x14ac:dyDescent="0.2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127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 x14ac:dyDescent="0.2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127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 x14ac:dyDescent="0.2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127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 x14ac:dyDescent="0.2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127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 x14ac:dyDescent="0.2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127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 x14ac:dyDescent="0.2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127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 x14ac:dyDescent="0.2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127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 x14ac:dyDescent="0.2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127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 x14ac:dyDescent="0.2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127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 x14ac:dyDescent="0.2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127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 x14ac:dyDescent="0.2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127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 x14ac:dyDescent="0.2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127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 x14ac:dyDescent="0.2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127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 x14ac:dyDescent="0.2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127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 x14ac:dyDescent="0.2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127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 x14ac:dyDescent="0.2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127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 x14ac:dyDescent="0.2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127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 x14ac:dyDescent="0.2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127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 x14ac:dyDescent="0.2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127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 x14ac:dyDescent="0.2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127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 x14ac:dyDescent="0.2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127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 x14ac:dyDescent="0.2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127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 x14ac:dyDescent="0.2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127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 x14ac:dyDescent="0.2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127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 x14ac:dyDescent="0.2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127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 x14ac:dyDescent="0.2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127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 x14ac:dyDescent="0.2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127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 x14ac:dyDescent="0.2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127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 x14ac:dyDescent="0.2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127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 x14ac:dyDescent="0.2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127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 x14ac:dyDescent="0.2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127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 x14ac:dyDescent="0.2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127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 x14ac:dyDescent="0.2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127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 x14ac:dyDescent="0.2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127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 x14ac:dyDescent="0.2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127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 x14ac:dyDescent="0.2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127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 x14ac:dyDescent="0.2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127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 x14ac:dyDescent="0.2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127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 x14ac:dyDescent="0.2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127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 x14ac:dyDescent="0.2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127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 x14ac:dyDescent="0.2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127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 x14ac:dyDescent="0.2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127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 x14ac:dyDescent="0.2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127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 x14ac:dyDescent="0.2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127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 x14ac:dyDescent="0.2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127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 x14ac:dyDescent="0.2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127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 x14ac:dyDescent="0.2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127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 x14ac:dyDescent="0.2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127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 x14ac:dyDescent="0.2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127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 x14ac:dyDescent="0.2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127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 x14ac:dyDescent="0.2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127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 x14ac:dyDescent="0.2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127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 x14ac:dyDescent="0.2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127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 x14ac:dyDescent="0.2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127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 x14ac:dyDescent="0.2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127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 x14ac:dyDescent="0.2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127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 x14ac:dyDescent="0.2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127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 x14ac:dyDescent="0.2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127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 x14ac:dyDescent="0.2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127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 x14ac:dyDescent="0.2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127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 x14ac:dyDescent="0.2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127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 x14ac:dyDescent="0.2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127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 x14ac:dyDescent="0.2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127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 x14ac:dyDescent="0.2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127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 x14ac:dyDescent="0.2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127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 x14ac:dyDescent="0.2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127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 x14ac:dyDescent="0.2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127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 x14ac:dyDescent="0.2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127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 x14ac:dyDescent="0.2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127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 x14ac:dyDescent="0.2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127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 x14ac:dyDescent="0.2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127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 x14ac:dyDescent="0.2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127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 x14ac:dyDescent="0.2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127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 x14ac:dyDescent="0.2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127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 x14ac:dyDescent="0.2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127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 x14ac:dyDescent="0.2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127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 x14ac:dyDescent="0.2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127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 x14ac:dyDescent="0.2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127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 x14ac:dyDescent="0.2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127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 x14ac:dyDescent="0.2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127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 x14ac:dyDescent="0.2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127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 x14ac:dyDescent="0.2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127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 x14ac:dyDescent="0.2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127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 x14ac:dyDescent="0.2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127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 x14ac:dyDescent="0.2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127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 x14ac:dyDescent="0.2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127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 x14ac:dyDescent="0.2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127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 x14ac:dyDescent="0.2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127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 x14ac:dyDescent="0.2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127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 x14ac:dyDescent="0.2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127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 x14ac:dyDescent="0.2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127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 x14ac:dyDescent="0.2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127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 x14ac:dyDescent="0.2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127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 x14ac:dyDescent="0.2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127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 x14ac:dyDescent="0.2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127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 x14ac:dyDescent="0.2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127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 x14ac:dyDescent="0.2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127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 x14ac:dyDescent="0.2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127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 x14ac:dyDescent="0.2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127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 x14ac:dyDescent="0.2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127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 x14ac:dyDescent="0.2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127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 x14ac:dyDescent="0.2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127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 x14ac:dyDescent="0.2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127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 x14ac:dyDescent="0.2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127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 x14ac:dyDescent="0.2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127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 x14ac:dyDescent="0.2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127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 x14ac:dyDescent="0.2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127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 x14ac:dyDescent="0.2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127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 x14ac:dyDescent="0.2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127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 x14ac:dyDescent="0.2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127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 x14ac:dyDescent="0.2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127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 x14ac:dyDescent="0.2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127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 x14ac:dyDescent="0.2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127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 x14ac:dyDescent="0.2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127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 x14ac:dyDescent="0.2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127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 x14ac:dyDescent="0.2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127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 x14ac:dyDescent="0.2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127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 x14ac:dyDescent="0.2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127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 x14ac:dyDescent="0.2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127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 x14ac:dyDescent="0.2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127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 x14ac:dyDescent="0.2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127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 x14ac:dyDescent="0.2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127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 x14ac:dyDescent="0.2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127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 x14ac:dyDescent="0.2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127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 x14ac:dyDescent="0.2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127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 x14ac:dyDescent="0.2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127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 x14ac:dyDescent="0.2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127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 x14ac:dyDescent="0.2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127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 x14ac:dyDescent="0.2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127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 x14ac:dyDescent="0.2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127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 x14ac:dyDescent="0.2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127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 x14ac:dyDescent="0.2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127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 x14ac:dyDescent="0.2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127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 x14ac:dyDescent="0.2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127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 x14ac:dyDescent="0.2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127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 x14ac:dyDescent="0.2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127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 x14ac:dyDescent="0.2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127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 x14ac:dyDescent="0.2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127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 x14ac:dyDescent="0.2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127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 x14ac:dyDescent="0.2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127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 x14ac:dyDescent="0.2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127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 x14ac:dyDescent="0.2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127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 x14ac:dyDescent="0.2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127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 x14ac:dyDescent="0.2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127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 x14ac:dyDescent="0.2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127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 x14ac:dyDescent="0.2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127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 x14ac:dyDescent="0.2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127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 x14ac:dyDescent="0.2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127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 x14ac:dyDescent="0.2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127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 x14ac:dyDescent="0.2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127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 x14ac:dyDescent="0.2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127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 x14ac:dyDescent="0.2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127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 x14ac:dyDescent="0.2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127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 x14ac:dyDescent="0.2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127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 x14ac:dyDescent="0.2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127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07CDF5D6-CF56-477A-AAD4-2986DB622B49}" showRuler="0">
      <pageMargins left="0.75" right="0.75" top="1" bottom="1" header="0.5" footer="0.5"/>
      <pageSetup orientation="portrait" r:id="rId1"/>
      <headerFooter alignWithMargins="0"/>
    </customSheetView>
    <customSheetView guid="{2277625D-7ADF-41CA-830E-413FDD10097D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 xr:uid="{00000000-0002-0000-0A00-000000000000}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CQ90"/>
  <sheetViews>
    <sheetView topLeftCell="A73" zoomScaleNormal="100"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6" width="7.5703125" style="5" customWidth="1"/>
    <col min="17" max="19" width="9.7109375" style="281" customWidth="1"/>
    <col min="20" max="21" width="11.7109375" style="277" customWidth="1"/>
    <col min="22" max="23" width="9.140625" style="5"/>
  </cols>
  <sheetData>
    <row r="1" spans="1:95" s="121" customFormat="1" ht="24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8"/>
      <c r="R1" s="278"/>
      <c r="S1" s="278"/>
      <c r="T1" s="275"/>
      <c r="U1" s="275"/>
      <c r="V1" s="274"/>
      <c r="W1" s="274"/>
    </row>
    <row r="2" spans="1:95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12</v>
      </c>
      <c r="H2" s="90" t="s">
        <v>13</v>
      </c>
      <c r="I2" s="90" t="s">
        <v>14</v>
      </c>
      <c r="J2" s="90" t="s">
        <v>113</v>
      </c>
      <c r="K2" s="89" t="s">
        <v>15</v>
      </c>
      <c r="L2" s="90" t="s">
        <v>17</v>
      </c>
      <c r="M2" s="90" t="s">
        <v>18</v>
      </c>
      <c r="N2" s="90" t="s">
        <v>19</v>
      </c>
      <c r="O2" s="90" t="s">
        <v>20</v>
      </c>
      <c r="P2" s="90" t="s">
        <v>21</v>
      </c>
      <c r="Q2" s="279" t="s">
        <v>67</v>
      </c>
      <c r="R2" s="280" t="s">
        <v>90</v>
      </c>
      <c r="S2" s="280" t="s">
        <v>95</v>
      </c>
      <c r="T2" s="276" t="s">
        <v>134</v>
      </c>
      <c r="U2" s="276" t="s">
        <v>30</v>
      </c>
      <c r="V2" s="89" t="s">
        <v>135</v>
      </c>
      <c r="W2" s="105" t="s">
        <v>44</v>
      </c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</row>
    <row r="5" spans="1:95" s="121" customFormat="1" ht="14.25" customHeight="1" x14ac:dyDescent="0.2">
      <c r="A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81"/>
      <c r="R5" s="281"/>
      <c r="S5" s="281"/>
      <c r="T5" s="277"/>
      <c r="U5" s="277"/>
      <c r="V5" s="5"/>
      <c r="W5" s="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</row>
    <row r="6" spans="1:95" ht="23.25" x14ac:dyDescent="0.2"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</row>
    <row r="7" spans="1:95" ht="23.25" x14ac:dyDescent="0.2">
      <c r="A7" s="121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8"/>
      <c r="R7" s="278"/>
      <c r="S7" s="278"/>
      <c r="T7" s="275"/>
      <c r="U7" s="275"/>
      <c r="V7" s="274"/>
      <c r="W7" s="274"/>
    </row>
    <row r="29" ht="12.75" customHeight="1" x14ac:dyDescent="0.2"/>
    <row r="38" ht="13.5" customHeight="1" x14ac:dyDescent="0.2"/>
    <row r="40" ht="12.75" customHeight="1" x14ac:dyDescent="0.2"/>
    <row r="51" spans="2:23" s="121" customFormat="1" ht="23.25" x14ac:dyDescent="0.2"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8"/>
      <c r="R51" s="278"/>
      <c r="S51" s="278"/>
      <c r="T51" s="275"/>
      <c r="U51" s="275"/>
      <c r="V51" s="274"/>
      <c r="W51" s="274"/>
    </row>
    <row r="90" ht="13.5" customHeight="1" x14ac:dyDescent="0.2"/>
  </sheetData>
  <phoneticPr fontId="0" type="noConversion"/>
  <conditionalFormatting sqref="G2:J2 L2:O2">
    <cfRule type="cellIs" dxfId="12" priority="1" stopIfTrue="1" operator="equal">
      <formula>#REF!</formula>
    </cfRule>
  </conditionalFormatting>
  <printOptions gridLines="1"/>
  <pageMargins left="0.75" right="0.75" top="1" bottom="1" header="0.5" footer="0.5"/>
  <pageSetup paperSize="5" scale="81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AJ464"/>
  <sheetViews>
    <sheetView topLeftCell="C1" workbookViewId="0">
      <selection activeCell="AB3" sqref="AB3"/>
    </sheetView>
  </sheetViews>
  <sheetFormatPr defaultColWidth="9.140625" defaultRowHeight="11.25" x14ac:dyDescent="0.2"/>
  <cols>
    <col min="1" max="1" width="9.140625" style="50" hidden="1" customWidth="1"/>
    <col min="2" max="2" width="3.140625" style="49" hidden="1" customWidth="1"/>
    <col min="3" max="3" width="15.85546875" style="60" customWidth="1"/>
    <col min="4" max="4" width="4.140625" style="49" customWidth="1"/>
    <col min="5" max="5" width="4.7109375" style="49" customWidth="1"/>
    <col min="6" max="6" width="5.85546875" style="49" customWidth="1"/>
    <col min="7" max="7" width="5.5703125" style="49" customWidth="1"/>
    <col min="8" max="8" width="8.28515625" style="54" customWidth="1"/>
    <col min="9" max="9" width="3.7109375" style="49" hidden="1" customWidth="1"/>
    <col min="10" max="10" width="5.7109375" style="49" hidden="1" customWidth="1"/>
    <col min="11" max="13" width="5.7109375" style="49" customWidth="1"/>
    <col min="14" max="16" width="5.7109375" style="49" hidden="1" customWidth="1"/>
    <col min="17" max="19" width="5.7109375" style="49" customWidth="1"/>
    <col min="20" max="22" width="5.7109375" style="49" hidden="1" customWidth="1"/>
    <col min="23" max="25" width="5.7109375" style="51" customWidth="1"/>
    <col min="26" max="27" width="5.7109375" style="49" hidden="1" customWidth="1"/>
    <col min="28" max="28" width="7" style="55" customWidth="1"/>
    <col min="29" max="30" width="7" style="58" customWidth="1"/>
    <col min="31" max="31" width="5.28515625" style="103" customWidth="1"/>
    <col min="32" max="32" width="7.85546875" style="103" customWidth="1"/>
    <col min="33" max="33" width="7" style="58" customWidth="1"/>
    <col min="34" max="34" width="8.7109375" style="58" customWidth="1"/>
    <col min="35" max="35" width="8.42578125" style="56" customWidth="1"/>
    <col min="36" max="36" width="9.140625" style="50" hidden="1" customWidth="1"/>
    <col min="37" max="47" width="0" style="50" hidden="1" customWidth="1"/>
    <col min="48" max="16384" width="9.140625" style="50"/>
  </cols>
  <sheetData>
    <row r="1" spans="1:35" ht="28.5" customHeight="1" thickBot="1" x14ac:dyDescent="0.45">
      <c r="C1" s="149" t="str">
        <f>Setup!K2</f>
        <v>Date</v>
      </c>
      <c r="D1" s="426" t="str">
        <f>Setup!C2</f>
        <v>Contest Name</v>
      </c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8"/>
    </row>
    <row r="2" spans="1:35" s="150" customFormat="1" ht="34.5" customHeight="1" thickBot="1" x14ac:dyDescent="0.25">
      <c r="A2" s="150" t="s">
        <v>31</v>
      </c>
      <c r="B2" s="151" t="s">
        <v>105</v>
      </c>
      <c r="C2" s="152" t="s">
        <v>0</v>
      </c>
      <c r="D2" s="153" t="s">
        <v>1</v>
      </c>
      <c r="E2" s="153" t="s">
        <v>29</v>
      </c>
      <c r="F2" s="153" t="str">
        <f>Lifting!F8</f>
        <v>BWt (Kg)</v>
      </c>
      <c r="G2" s="153" t="str">
        <f>Lifting!G8</f>
        <v>WtCls (Kg)</v>
      </c>
      <c r="H2" s="154" t="str">
        <f>Lifting!H8</f>
        <v>Glossbrenner</v>
      </c>
      <c r="I2" s="153" t="s">
        <v>2</v>
      </c>
      <c r="J2" s="153" t="s">
        <v>26</v>
      </c>
      <c r="K2" s="153" t="s">
        <v>22</v>
      </c>
      <c r="L2" s="153" t="s">
        <v>23</v>
      </c>
      <c r="M2" s="153" t="s">
        <v>24</v>
      </c>
      <c r="N2" s="153" t="s">
        <v>25</v>
      </c>
      <c r="O2" s="153" t="s">
        <v>11</v>
      </c>
      <c r="P2" s="153" t="s">
        <v>27</v>
      </c>
      <c r="Q2" s="153" t="s">
        <v>12</v>
      </c>
      <c r="R2" s="153" t="s">
        <v>13</v>
      </c>
      <c r="S2" s="153" t="s">
        <v>14</v>
      </c>
      <c r="T2" s="153" t="s">
        <v>28</v>
      </c>
      <c r="U2" s="153" t="s">
        <v>15</v>
      </c>
      <c r="V2" s="153" t="s">
        <v>16</v>
      </c>
      <c r="W2" s="153" t="s">
        <v>17</v>
      </c>
      <c r="X2" s="153" t="s">
        <v>18</v>
      </c>
      <c r="Y2" s="153" t="s">
        <v>19</v>
      </c>
      <c r="Z2" s="153" t="s">
        <v>20</v>
      </c>
      <c r="AA2" s="153" t="s">
        <v>21</v>
      </c>
      <c r="AB2" s="155" t="str">
        <f>Lifting!AB8</f>
        <v>PL Total</v>
      </c>
      <c r="AC2" s="156" t="s">
        <v>90</v>
      </c>
      <c r="AD2" s="156" t="s">
        <v>95</v>
      </c>
      <c r="AE2" s="156" t="s">
        <v>100</v>
      </c>
      <c r="AF2" s="156" t="s">
        <v>30</v>
      </c>
      <c r="AG2" s="156" t="s">
        <v>37</v>
      </c>
      <c r="AH2" s="156" t="s">
        <v>44</v>
      </c>
      <c r="AI2" s="157" t="s">
        <v>101</v>
      </c>
    </row>
    <row r="3" spans="1:35" ht="14.25" customHeight="1" x14ac:dyDescent="0.2">
      <c r="B3" s="51"/>
      <c r="C3" s="61" t="s">
        <v>177</v>
      </c>
      <c r="D3" s="51">
        <v>18</v>
      </c>
      <c r="E3" s="51" t="s">
        <v>183</v>
      </c>
      <c r="F3" s="51">
        <v>70</v>
      </c>
      <c r="G3" s="51">
        <v>74</v>
      </c>
      <c r="H3" s="52">
        <v>0.72624999999999995</v>
      </c>
      <c r="I3" s="51"/>
      <c r="J3" s="51"/>
      <c r="K3" s="51">
        <v>150</v>
      </c>
      <c r="L3" s="51">
        <v>200</v>
      </c>
      <c r="M3" s="51">
        <v>350</v>
      </c>
      <c r="N3" s="51"/>
      <c r="O3" s="51">
        <v>350</v>
      </c>
      <c r="P3" s="51"/>
      <c r="Q3" s="51">
        <v>-110</v>
      </c>
      <c r="R3" s="51">
        <v>250</v>
      </c>
      <c r="S3" s="51">
        <v>260</v>
      </c>
      <c r="T3" s="51"/>
      <c r="U3" s="51">
        <v>260</v>
      </c>
      <c r="V3" s="51">
        <v>610</v>
      </c>
      <c r="W3" s="51">
        <v>100</v>
      </c>
      <c r="X3" s="51">
        <v>250</v>
      </c>
      <c r="Y3" s="51">
        <v>300</v>
      </c>
      <c r="Z3" s="51"/>
      <c r="AA3" s="51">
        <v>300</v>
      </c>
      <c r="AB3" s="57">
        <v>0</v>
      </c>
      <c r="AC3" s="59">
        <v>0</v>
      </c>
      <c r="AD3" s="59">
        <v>0</v>
      </c>
      <c r="AE3" s="102">
        <v>1</v>
      </c>
      <c r="AF3" s="102">
        <v>0</v>
      </c>
      <c r="AG3" s="59">
        <v>0</v>
      </c>
      <c r="AH3" s="59"/>
      <c r="AI3" s="53" t="s">
        <v>176</v>
      </c>
    </row>
    <row r="4" spans="1:35" ht="14.25" customHeight="1" x14ac:dyDescent="0.2">
      <c r="B4" s="51"/>
      <c r="C4" s="61" t="s">
        <v>178</v>
      </c>
      <c r="D4" s="51">
        <v>22</v>
      </c>
      <c r="E4" s="51" t="s">
        <v>183</v>
      </c>
      <c r="F4" s="51">
        <v>70</v>
      </c>
      <c r="G4" s="51">
        <v>74</v>
      </c>
      <c r="H4" s="52">
        <v>0.72624999999999995</v>
      </c>
      <c r="I4" s="51"/>
      <c r="J4" s="51"/>
      <c r="K4" s="51">
        <v>100</v>
      </c>
      <c r="L4" s="51">
        <v>200</v>
      </c>
      <c r="M4" s="51">
        <v>300</v>
      </c>
      <c r="N4" s="51"/>
      <c r="O4" s="51">
        <v>300</v>
      </c>
      <c r="P4" s="51"/>
      <c r="Q4" s="51">
        <v>130</v>
      </c>
      <c r="R4" s="51">
        <v>300</v>
      </c>
      <c r="S4" s="51">
        <v>310</v>
      </c>
      <c r="T4" s="51"/>
      <c r="U4" s="51">
        <v>310</v>
      </c>
      <c r="V4" s="51">
        <v>610</v>
      </c>
      <c r="W4" s="51">
        <v>100</v>
      </c>
      <c r="X4" s="51">
        <v>250</v>
      </c>
      <c r="Y4" s="51">
        <v>300</v>
      </c>
      <c r="Z4" s="51"/>
      <c r="AA4" s="51">
        <v>300</v>
      </c>
      <c r="AB4" s="57">
        <v>0</v>
      </c>
      <c r="AC4" s="59">
        <v>0</v>
      </c>
      <c r="AD4" s="59">
        <v>0</v>
      </c>
      <c r="AE4" s="102">
        <v>1</v>
      </c>
      <c r="AF4" s="102">
        <v>0</v>
      </c>
      <c r="AG4" s="59">
        <v>0</v>
      </c>
      <c r="AH4" s="59"/>
      <c r="AI4" s="53" t="s">
        <v>176</v>
      </c>
    </row>
    <row r="5" spans="1:35" ht="14.25" customHeight="1" x14ac:dyDescent="0.2">
      <c r="B5" s="51"/>
      <c r="C5" s="61" t="s">
        <v>179</v>
      </c>
      <c r="D5" s="51">
        <v>25</v>
      </c>
      <c r="E5" s="51" t="s">
        <v>182</v>
      </c>
      <c r="F5" s="51">
        <v>70</v>
      </c>
      <c r="G5" s="51">
        <v>74</v>
      </c>
      <c r="H5" s="52">
        <v>0.72624999999999995</v>
      </c>
      <c r="I5" s="51"/>
      <c r="J5" s="51"/>
      <c r="K5" s="51">
        <v>190</v>
      </c>
      <c r="L5" s="51">
        <v>252</v>
      </c>
      <c r="M5" s="51">
        <v>300</v>
      </c>
      <c r="N5" s="51"/>
      <c r="O5" s="51">
        <v>300</v>
      </c>
      <c r="P5" s="51"/>
      <c r="Q5" s="51">
        <v>150</v>
      </c>
      <c r="R5" s="51">
        <v>300</v>
      </c>
      <c r="S5" s="51">
        <v>320</v>
      </c>
      <c r="T5" s="51"/>
      <c r="U5" s="51">
        <v>320</v>
      </c>
      <c r="V5" s="51">
        <v>620</v>
      </c>
      <c r="W5" s="51">
        <v>110</v>
      </c>
      <c r="X5" s="51">
        <v>300</v>
      </c>
      <c r="Y5" s="51">
        <v>350</v>
      </c>
      <c r="Z5" s="51"/>
      <c r="AA5" s="51">
        <v>350</v>
      </c>
      <c r="AB5" s="57">
        <v>0</v>
      </c>
      <c r="AC5" s="59">
        <v>0</v>
      </c>
      <c r="AD5" s="59">
        <v>0</v>
      </c>
      <c r="AE5" s="102">
        <v>1</v>
      </c>
      <c r="AF5" s="102">
        <v>0</v>
      </c>
      <c r="AG5" s="59">
        <v>0</v>
      </c>
      <c r="AH5" s="59"/>
      <c r="AI5" s="53" t="s">
        <v>176</v>
      </c>
    </row>
    <row r="6" spans="1:35" ht="14.25" customHeight="1" x14ac:dyDescent="0.2">
      <c r="B6" s="51"/>
      <c r="C6" s="61" t="s">
        <v>181</v>
      </c>
      <c r="D6" s="51">
        <v>19</v>
      </c>
      <c r="E6" s="51" t="s">
        <v>182</v>
      </c>
      <c r="F6" s="51">
        <v>70</v>
      </c>
      <c r="G6" s="51">
        <v>74</v>
      </c>
      <c r="H6" s="52">
        <v>0.72624999999999995</v>
      </c>
      <c r="I6" s="51"/>
      <c r="J6" s="51"/>
      <c r="K6" s="51">
        <v>200</v>
      </c>
      <c r="L6" s="51">
        <v>-250</v>
      </c>
      <c r="M6" s="51">
        <v>300</v>
      </c>
      <c r="N6" s="51"/>
      <c r="O6" s="51">
        <v>300</v>
      </c>
      <c r="P6" s="51"/>
      <c r="Q6" s="51">
        <v>-190</v>
      </c>
      <c r="R6" s="51">
        <v>300</v>
      </c>
      <c r="S6" s="51">
        <v>330</v>
      </c>
      <c r="T6" s="51"/>
      <c r="U6" s="51">
        <v>330</v>
      </c>
      <c r="V6" s="51">
        <v>630</v>
      </c>
      <c r="W6" s="51">
        <v>400</v>
      </c>
      <c r="X6" s="51">
        <v>450</v>
      </c>
      <c r="Y6" s="51">
        <v>-460</v>
      </c>
      <c r="Z6" s="51"/>
      <c r="AA6" s="51">
        <v>450</v>
      </c>
      <c r="AB6" s="57">
        <v>0</v>
      </c>
      <c r="AC6" s="59">
        <v>0</v>
      </c>
      <c r="AD6" s="59">
        <v>0</v>
      </c>
      <c r="AE6" s="102">
        <v>1</v>
      </c>
      <c r="AF6" s="102">
        <v>0</v>
      </c>
      <c r="AG6" s="59">
        <v>0</v>
      </c>
      <c r="AH6" s="59"/>
      <c r="AI6" s="53" t="s">
        <v>176</v>
      </c>
    </row>
    <row r="7" spans="1:35" ht="14.25" customHeight="1" x14ac:dyDescent="0.2">
      <c r="B7" s="51"/>
      <c r="C7" s="61" t="s">
        <v>180</v>
      </c>
      <c r="D7" s="51">
        <v>17</v>
      </c>
      <c r="E7" s="51" t="s">
        <v>184</v>
      </c>
      <c r="F7" s="51">
        <v>70</v>
      </c>
      <c r="G7" s="51">
        <v>74</v>
      </c>
      <c r="H7" s="52">
        <v>0.72624999999999995</v>
      </c>
      <c r="I7" s="51"/>
      <c r="J7" s="51"/>
      <c r="K7" s="51">
        <v>160</v>
      </c>
      <c r="L7" s="51">
        <v>-250</v>
      </c>
      <c r="M7" s="51">
        <v>300</v>
      </c>
      <c r="N7" s="51"/>
      <c r="O7" s="51">
        <v>300</v>
      </c>
      <c r="P7" s="51"/>
      <c r="Q7" s="51">
        <v>-100</v>
      </c>
      <c r="R7" s="51">
        <v>200</v>
      </c>
      <c r="S7" s="51">
        <v>-250</v>
      </c>
      <c r="T7" s="51"/>
      <c r="U7" s="51">
        <v>200</v>
      </c>
      <c r="V7" s="51">
        <v>500</v>
      </c>
      <c r="W7" s="51">
        <v>300</v>
      </c>
      <c r="X7" s="51">
        <v>450</v>
      </c>
      <c r="Y7" s="51">
        <v>-470</v>
      </c>
      <c r="Z7" s="51"/>
      <c r="AA7" s="51">
        <v>450</v>
      </c>
      <c r="AB7" s="57">
        <v>0</v>
      </c>
      <c r="AC7" s="59">
        <v>0</v>
      </c>
      <c r="AD7" s="59">
        <v>0</v>
      </c>
      <c r="AE7" s="102">
        <v>1</v>
      </c>
      <c r="AF7" s="102">
        <v>0</v>
      </c>
      <c r="AG7" s="59">
        <v>0</v>
      </c>
      <c r="AH7" s="59"/>
      <c r="AI7" s="53" t="s">
        <v>176</v>
      </c>
    </row>
    <row r="8" spans="1:35" ht="14.25" customHeight="1" x14ac:dyDescent="0.2">
      <c r="B8" s="51"/>
      <c r="C8" s="61"/>
      <c r="D8" s="51"/>
      <c r="E8" s="51"/>
      <c r="F8" s="51"/>
      <c r="G8" s="51"/>
      <c r="H8" s="52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Z8" s="51"/>
      <c r="AA8" s="51"/>
      <c r="AB8" s="57"/>
      <c r="AC8" s="59"/>
      <c r="AD8" s="59"/>
      <c r="AE8" s="102"/>
      <c r="AF8" s="102"/>
      <c r="AG8" s="59"/>
      <c r="AH8" s="59"/>
      <c r="AI8" s="53"/>
    </row>
    <row r="9" spans="1:35" ht="14.25" customHeight="1" x14ac:dyDescent="0.2">
      <c r="B9" s="51"/>
      <c r="C9" s="61"/>
      <c r="D9" s="51"/>
      <c r="E9" s="51"/>
      <c r="F9" s="51"/>
      <c r="G9" s="51"/>
      <c r="H9" s="52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Z9" s="51"/>
      <c r="AA9" s="51"/>
      <c r="AB9" s="57"/>
      <c r="AC9" s="59"/>
      <c r="AD9" s="59"/>
      <c r="AE9" s="102"/>
      <c r="AF9" s="102"/>
      <c r="AG9" s="59"/>
      <c r="AH9" s="59"/>
      <c r="AI9" s="53"/>
    </row>
    <row r="10" spans="1:35" ht="14.25" customHeight="1" x14ac:dyDescent="0.2">
      <c r="B10" s="51"/>
      <c r="C10" s="61"/>
      <c r="D10" s="51"/>
      <c r="E10" s="51"/>
      <c r="F10" s="51"/>
      <c r="G10" s="51"/>
      <c r="H10" s="52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Z10" s="51"/>
      <c r="AA10" s="51"/>
      <c r="AB10" s="57"/>
      <c r="AC10" s="59"/>
      <c r="AD10" s="59"/>
      <c r="AE10" s="102"/>
      <c r="AF10" s="102"/>
      <c r="AG10" s="59"/>
      <c r="AH10" s="59"/>
      <c r="AI10" s="53"/>
    </row>
    <row r="11" spans="1:35" ht="14.25" customHeight="1" x14ac:dyDescent="0.2">
      <c r="B11" s="51"/>
      <c r="C11" s="61"/>
      <c r="D11" s="51"/>
      <c r="E11" s="51"/>
      <c r="F11" s="51"/>
      <c r="G11" s="51"/>
      <c r="H11" s="52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Z11" s="51"/>
      <c r="AA11" s="51"/>
      <c r="AB11" s="57"/>
      <c r="AC11" s="59"/>
      <c r="AD11" s="59"/>
      <c r="AE11" s="102"/>
      <c r="AF11" s="102"/>
      <c r="AG11" s="59"/>
      <c r="AH11" s="59"/>
      <c r="AI11" s="53"/>
    </row>
    <row r="12" spans="1:35" ht="14.25" customHeight="1" x14ac:dyDescent="0.2">
      <c r="B12" s="51"/>
      <c r="C12" s="61"/>
      <c r="D12" s="51"/>
      <c r="E12" s="51"/>
      <c r="F12" s="51"/>
      <c r="G12" s="51"/>
      <c r="H12" s="52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Z12" s="51"/>
      <c r="AA12" s="51"/>
      <c r="AB12" s="57"/>
      <c r="AC12" s="59"/>
      <c r="AD12" s="59"/>
      <c r="AE12" s="102"/>
      <c r="AF12" s="102"/>
      <c r="AG12" s="59"/>
      <c r="AH12" s="59"/>
      <c r="AI12" s="53"/>
    </row>
    <row r="13" spans="1:35" ht="14.25" customHeight="1" x14ac:dyDescent="0.2">
      <c r="B13" s="51"/>
      <c r="C13" s="61"/>
      <c r="D13" s="51"/>
      <c r="E13" s="51"/>
      <c r="F13" s="51"/>
      <c r="G13" s="51"/>
      <c r="H13" s="52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Z13" s="51"/>
      <c r="AA13" s="51"/>
      <c r="AB13" s="57"/>
      <c r="AC13" s="59"/>
      <c r="AD13" s="59"/>
      <c r="AE13" s="102"/>
      <c r="AF13" s="102"/>
      <c r="AG13" s="59"/>
      <c r="AH13" s="59"/>
      <c r="AI13" s="53"/>
    </row>
    <row r="14" spans="1:35" ht="14.25" customHeight="1" x14ac:dyDescent="0.2">
      <c r="B14" s="51"/>
      <c r="C14" s="61"/>
      <c r="D14" s="51"/>
      <c r="E14" s="51"/>
      <c r="F14" s="51"/>
      <c r="G14" s="51"/>
      <c r="H14" s="52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Z14" s="51"/>
      <c r="AA14" s="51"/>
      <c r="AB14" s="57"/>
      <c r="AC14" s="59"/>
      <c r="AD14" s="59"/>
      <c r="AE14" s="102"/>
      <c r="AF14" s="102"/>
      <c r="AG14" s="59"/>
      <c r="AH14" s="59"/>
      <c r="AI14" s="53"/>
    </row>
    <row r="15" spans="1:35" ht="14.25" customHeight="1" x14ac:dyDescent="0.2">
      <c r="B15" s="51"/>
      <c r="C15" s="61"/>
      <c r="D15" s="51"/>
      <c r="E15" s="51"/>
      <c r="F15" s="51"/>
      <c r="G15" s="51"/>
      <c r="H15" s="52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Z15" s="51"/>
      <c r="AA15" s="51"/>
      <c r="AB15" s="57"/>
      <c r="AC15" s="59"/>
      <c r="AD15" s="59"/>
      <c r="AE15" s="102"/>
      <c r="AF15" s="102"/>
      <c r="AG15" s="59"/>
      <c r="AH15" s="59"/>
      <c r="AI15" s="53"/>
    </row>
    <row r="16" spans="1:35" ht="14.25" customHeight="1" x14ac:dyDescent="0.2">
      <c r="B16" s="51"/>
      <c r="C16" s="61"/>
      <c r="D16" s="51"/>
      <c r="E16" s="51"/>
      <c r="F16" s="51"/>
      <c r="G16" s="51"/>
      <c r="H16" s="52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Z16" s="51"/>
      <c r="AA16" s="51"/>
      <c r="AB16" s="57"/>
      <c r="AC16" s="59"/>
      <c r="AD16" s="59"/>
      <c r="AE16" s="102"/>
      <c r="AF16" s="102"/>
      <c r="AG16" s="59"/>
      <c r="AH16" s="59"/>
      <c r="AI16" s="53"/>
    </row>
    <row r="17" spans="2:35" ht="14.25" customHeight="1" x14ac:dyDescent="0.2">
      <c r="B17" s="51"/>
      <c r="C17" s="61"/>
      <c r="D17" s="51"/>
      <c r="E17" s="51"/>
      <c r="F17" s="51"/>
      <c r="G17" s="51"/>
      <c r="H17" s="52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Z17" s="51"/>
      <c r="AA17" s="51"/>
      <c r="AB17" s="57"/>
      <c r="AC17" s="59"/>
      <c r="AD17" s="59"/>
      <c r="AE17" s="102"/>
      <c r="AF17" s="102"/>
      <c r="AG17" s="59"/>
      <c r="AH17" s="59"/>
      <c r="AI17" s="53"/>
    </row>
    <row r="18" spans="2:35" ht="14.25" customHeight="1" x14ac:dyDescent="0.2">
      <c r="B18" s="51"/>
      <c r="C18" s="61"/>
      <c r="D18" s="51"/>
      <c r="E18" s="51"/>
      <c r="F18" s="51"/>
      <c r="G18" s="51"/>
      <c r="H18" s="52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Z18" s="51"/>
      <c r="AA18" s="51"/>
      <c r="AB18" s="57"/>
      <c r="AC18" s="59"/>
      <c r="AD18" s="59"/>
      <c r="AE18" s="102"/>
      <c r="AF18" s="102"/>
      <c r="AG18" s="59"/>
      <c r="AH18" s="59"/>
      <c r="AI18" s="53"/>
    </row>
    <row r="19" spans="2:35" ht="14.25" customHeight="1" x14ac:dyDescent="0.2">
      <c r="B19" s="51"/>
      <c r="C19" s="61"/>
      <c r="D19" s="51"/>
      <c r="E19" s="51"/>
      <c r="F19" s="51"/>
      <c r="G19" s="51"/>
      <c r="H19" s="52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Z19" s="51"/>
      <c r="AA19" s="51"/>
      <c r="AB19" s="57"/>
      <c r="AC19" s="59"/>
      <c r="AD19" s="59"/>
      <c r="AE19" s="102"/>
      <c r="AF19" s="102"/>
      <c r="AG19" s="59"/>
      <c r="AH19" s="59"/>
      <c r="AI19" s="53"/>
    </row>
    <row r="20" spans="2:35" ht="14.25" customHeight="1" x14ac:dyDescent="0.2">
      <c r="B20" s="51"/>
      <c r="C20" s="61"/>
      <c r="D20" s="51"/>
      <c r="E20" s="51"/>
      <c r="F20" s="51"/>
      <c r="G20" s="51"/>
      <c r="H20" s="52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Z20" s="51"/>
      <c r="AA20" s="51"/>
      <c r="AB20" s="57"/>
      <c r="AC20" s="59"/>
      <c r="AD20" s="59"/>
      <c r="AE20" s="102"/>
      <c r="AF20" s="102"/>
      <c r="AG20" s="59"/>
      <c r="AH20" s="59"/>
      <c r="AI20" s="53"/>
    </row>
    <row r="21" spans="2:35" ht="14.25" customHeight="1" x14ac:dyDescent="0.2">
      <c r="B21" s="51"/>
      <c r="C21" s="6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Z21" s="51"/>
      <c r="AA21" s="51"/>
      <c r="AB21" s="57"/>
      <c r="AC21" s="59"/>
      <c r="AD21" s="59"/>
      <c r="AE21" s="102"/>
      <c r="AF21" s="102"/>
      <c r="AG21" s="59"/>
      <c r="AH21" s="59"/>
      <c r="AI21" s="53"/>
    </row>
    <row r="22" spans="2:35" ht="14.25" customHeight="1" x14ac:dyDescent="0.2">
      <c r="B22" s="51"/>
      <c r="C22" s="61"/>
      <c r="D22" s="51"/>
      <c r="E22" s="51"/>
      <c r="F22" s="51"/>
      <c r="G22" s="51"/>
      <c r="H22" s="52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Z22" s="51"/>
      <c r="AA22" s="51"/>
      <c r="AB22" s="57"/>
      <c r="AC22" s="59"/>
      <c r="AD22" s="59"/>
      <c r="AE22" s="102"/>
      <c r="AF22" s="102"/>
      <c r="AG22" s="59"/>
      <c r="AH22" s="59"/>
      <c r="AI22" s="53"/>
    </row>
    <row r="23" spans="2:35" ht="14.25" customHeight="1" x14ac:dyDescent="0.2">
      <c r="B23" s="51"/>
      <c r="C23" s="61"/>
      <c r="D23" s="51"/>
      <c r="E23" s="51"/>
      <c r="F23" s="51"/>
      <c r="G23" s="51"/>
      <c r="H23" s="52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Z23" s="51"/>
      <c r="AA23" s="51"/>
      <c r="AB23" s="57"/>
      <c r="AC23" s="59"/>
      <c r="AD23" s="59"/>
      <c r="AE23" s="102"/>
      <c r="AF23" s="102"/>
      <c r="AG23" s="59"/>
      <c r="AH23" s="59"/>
      <c r="AI23" s="53"/>
    </row>
    <row r="24" spans="2:35" ht="14.25" customHeight="1" x14ac:dyDescent="0.2">
      <c r="B24" s="51"/>
      <c r="C24" s="61"/>
      <c r="D24" s="51"/>
      <c r="E24" s="51"/>
      <c r="F24" s="51"/>
      <c r="G24" s="51"/>
      <c r="H24" s="52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Z24" s="51"/>
      <c r="AA24" s="51"/>
      <c r="AB24" s="57"/>
      <c r="AC24" s="59"/>
      <c r="AD24" s="59"/>
      <c r="AE24" s="102"/>
      <c r="AF24" s="102"/>
      <c r="AG24" s="59"/>
      <c r="AH24" s="59"/>
      <c r="AI24" s="53"/>
    </row>
    <row r="25" spans="2:35" ht="14.25" customHeight="1" x14ac:dyDescent="0.2">
      <c r="B25" s="51"/>
      <c r="C25" s="61"/>
      <c r="D25" s="51"/>
      <c r="E25" s="51"/>
      <c r="F25" s="51"/>
      <c r="G25" s="51"/>
      <c r="H25" s="52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Z25" s="51"/>
      <c r="AA25" s="51"/>
      <c r="AB25" s="57"/>
      <c r="AC25" s="59"/>
      <c r="AD25" s="59"/>
      <c r="AE25" s="102"/>
      <c r="AF25" s="102"/>
      <c r="AG25" s="59"/>
      <c r="AH25" s="59"/>
      <c r="AI25" s="53"/>
    </row>
    <row r="26" spans="2:35" ht="14.25" customHeight="1" x14ac:dyDescent="0.2">
      <c r="B26" s="51"/>
      <c r="C26" s="61"/>
      <c r="D26" s="51"/>
      <c r="E26" s="51"/>
      <c r="F26" s="51"/>
      <c r="G26" s="51"/>
      <c r="H26" s="52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Z26" s="51"/>
      <c r="AA26" s="51"/>
      <c r="AB26" s="57"/>
      <c r="AC26" s="59"/>
      <c r="AD26" s="59"/>
      <c r="AE26" s="102"/>
      <c r="AF26" s="102"/>
      <c r="AG26" s="59"/>
      <c r="AH26" s="59"/>
      <c r="AI26" s="53"/>
    </row>
    <row r="27" spans="2:35" ht="14.25" customHeight="1" x14ac:dyDescent="0.2">
      <c r="B27" s="51"/>
      <c r="C27" s="61"/>
      <c r="D27" s="51"/>
      <c r="E27" s="51"/>
      <c r="F27" s="51"/>
      <c r="G27" s="51"/>
      <c r="H27" s="52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Z27" s="51"/>
      <c r="AA27" s="51"/>
      <c r="AB27" s="57"/>
      <c r="AC27" s="59"/>
      <c r="AD27" s="59"/>
      <c r="AE27" s="102"/>
      <c r="AF27" s="102"/>
      <c r="AG27" s="59"/>
      <c r="AH27" s="59"/>
      <c r="AI27" s="53"/>
    </row>
    <row r="28" spans="2:35" ht="14.25" customHeight="1" x14ac:dyDescent="0.2">
      <c r="B28" s="51"/>
      <c r="C28" s="61"/>
      <c r="D28" s="51"/>
      <c r="E28" s="51"/>
      <c r="F28" s="51"/>
      <c r="G28" s="51"/>
      <c r="H28" s="52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Z28" s="51"/>
      <c r="AA28" s="51"/>
      <c r="AB28" s="57"/>
      <c r="AC28" s="59"/>
      <c r="AD28" s="59"/>
      <c r="AE28" s="102"/>
      <c r="AF28" s="102"/>
      <c r="AG28" s="59"/>
      <c r="AH28" s="59"/>
      <c r="AI28" s="53"/>
    </row>
    <row r="29" spans="2:35" ht="14.25" customHeight="1" x14ac:dyDescent="0.2">
      <c r="B29" s="51"/>
      <c r="C29" s="61"/>
      <c r="D29" s="51"/>
      <c r="E29" s="51"/>
      <c r="F29" s="51"/>
      <c r="G29" s="51"/>
      <c r="H29" s="52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Z29" s="51"/>
      <c r="AA29" s="51"/>
      <c r="AB29" s="57"/>
      <c r="AC29" s="59"/>
      <c r="AD29" s="59"/>
      <c r="AE29" s="102"/>
      <c r="AF29" s="102"/>
      <c r="AG29" s="59"/>
      <c r="AH29" s="59"/>
      <c r="AI29" s="53"/>
    </row>
    <row r="30" spans="2:35" ht="14.25" customHeight="1" x14ac:dyDescent="0.2">
      <c r="B30" s="51"/>
      <c r="C30" s="61"/>
      <c r="D30" s="51"/>
      <c r="E30" s="51"/>
      <c r="F30" s="51"/>
      <c r="G30" s="51"/>
      <c r="H30" s="52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Z30" s="51"/>
      <c r="AA30" s="51"/>
      <c r="AB30" s="57"/>
      <c r="AC30" s="59"/>
      <c r="AD30" s="59"/>
      <c r="AE30" s="102"/>
      <c r="AF30" s="102"/>
      <c r="AG30" s="59"/>
      <c r="AH30" s="59"/>
      <c r="AI30" s="53"/>
    </row>
    <row r="31" spans="2:35" ht="14.25" customHeight="1" x14ac:dyDescent="0.2">
      <c r="B31" s="51"/>
      <c r="C31" s="61"/>
      <c r="D31" s="51"/>
      <c r="E31" s="51"/>
      <c r="F31" s="51"/>
      <c r="G31" s="51"/>
      <c r="H31" s="52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Z31" s="51"/>
      <c r="AA31" s="51"/>
      <c r="AB31" s="57"/>
      <c r="AC31" s="59"/>
      <c r="AD31" s="59"/>
      <c r="AE31" s="102"/>
      <c r="AF31" s="102"/>
      <c r="AG31" s="59"/>
      <c r="AH31" s="59"/>
      <c r="AI31" s="53"/>
    </row>
    <row r="32" spans="2:35" ht="14.25" customHeight="1" x14ac:dyDescent="0.2">
      <c r="B32" s="51"/>
      <c r="C32" s="61"/>
      <c r="D32" s="51"/>
      <c r="E32" s="51"/>
      <c r="F32" s="51"/>
      <c r="G32" s="51"/>
      <c r="H32" s="52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Z32" s="51"/>
      <c r="AA32" s="51"/>
      <c r="AB32" s="57"/>
      <c r="AC32" s="59"/>
      <c r="AD32" s="59"/>
      <c r="AE32" s="102"/>
      <c r="AF32" s="102"/>
      <c r="AG32" s="59"/>
      <c r="AH32" s="59"/>
      <c r="AI32" s="53"/>
    </row>
    <row r="33" spans="2:35" ht="14.25" customHeight="1" x14ac:dyDescent="0.2">
      <c r="B33" s="51"/>
      <c r="C33" s="61"/>
      <c r="D33" s="51"/>
      <c r="E33" s="51"/>
      <c r="F33" s="51"/>
      <c r="G33" s="51"/>
      <c r="H33" s="52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Z33" s="51"/>
      <c r="AA33" s="51"/>
      <c r="AB33" s="57"/>
      <c r="AC33" s="59"/>
      <c r="AD33" s="59"/>
      <c r="AE33" s="102"/>
      <c r="AF33" s="102"/>
      <c r="AG33" s="59"/>
      <c r="AH33" s="59"/>
      <c r="AI33" s="53"/>
    </row>
    <row r="34" spans="2:35" ht="14.25" customHeight="1" x14ac:dyDescent="0.2">
      <c r="B34" s="51"/>
      <c r="C34" s="61"/>
      <c r="D34" s="51"/>
      <c r="E34" s="51"/>
      <c r="F34" s="51"/>
      <c r="G34" s="51"/>
      <c r="H34" s="52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Z34" s="51"/>
      <c r="AA34" s="51"/>
      <c r="AB34" s="57"/>
      <c r="AC34" s="59"/>
      <c r="AD34" s="59"/>
      <c r="AE34" s="102"/>
      <c r="AF34" s="102"/>
      <c r="AG34" s="59"/>
      <c r="AH34" s="59"/>
      <c r="AI34" s="53"/>
    </row>
    <row r="35" spans="2:35" ht="14.25" customHeight="1" x14ac:dyDescent="0.2">
      <c r="B35" s="51"/>
      <c r="C35" s="61"/>
      <c r="D35" s="51"/>
      <c r="E35" s="51"/>
      <c r="F35" s="51"/>
      <c r="G35" s="51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Z35" s="51"/>
      <c r="AA35" s="51"/>
      <c r="AB35" s="57"/>
      <c r="AC35" s="59"/>
      <c r="AD35" s="59"/>
      <c r="AE35" s="102"/>
      <c r="AF35" s="102"/>
      <c r="AG35" s="59"/>
      <c r="AH35" s="59"/>
      <c r="AI35" s="53"/>
    </row>
    <row r="36" spans="2:35" ht="14.25" customHeight="1" x14ac:dyDescent="0.2">
      <c r="B36" s="51"/>
      <c r="C36" s="61"/>
      <c r="D36" s="51"/>
      <c r="E36" s="51"/>
      <c r="F36" s="51"/>
      <c r="G36" s="51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Z36" s="51"/>
      <c r="AA36" s="51"/>
      <c r="AB36" s="57"/>
      <c r="AC36" s="59"/>
      <c r="AD36" s="59"/>
      <c r="AE36" s="102"/>
      <c r="AF36" s="102"/>
      <c r="AG36" s="59"/>
      <c r="AH36" s="59"/>
      <c r="AI36" s="53"/>
    </row>
    <row r="37" spans="2:35" ht="14.25" customHeight="1" x14ac:dyDescent="0.2">
      <c r="B37" s="51"/>
      <c r="C37" s="61"/>
      <c r="D37" s="51"/>
      <c r="E37" s="51"/>
      <c r="F37" s="51"/>
      <c r="G37" s="51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Z37" s="51"/>
      <c r="AA37" s="51"/>
      <c r="AB37" s="57"/>
      <c r="AC37" s="59"/>
      <c r="AD37" s="59"/>
      <c r="AE37" s="102"/>
      <c r="AF37" s="102"/>
      <c r="AG37" s="59"/>
      <c r="AH37" s="59"/>
      <c r="AI37" s="53"/>
    </row>
    <row r="38" spans="2:35" ht="14.25" customHeight="1" x14ac:dyDescent="0.2">
      <c r="B38" s="51"/>
      <c r="C38" s="61"/>
      <c r="D38" s="51"/>
      <c r="E38" s="51"/>
      <c r="F38" s="51"/>
      <c r="G38" s="51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Z38" s="51"/>
      <c r="AA38" s="51"/>
      <c r="AB38" s="57"/>
      <c r="AC38" s="59"/>
      <c r="AD38" s="59"/>
      <c r="AE38" s="102"/>
      <c r="AF38" s="102"/>
      <c r="AG38" s="59"/>
      <c r="AH38" s="59"/>
      <c r="AI38" s="53"/>
    </row>
    <row r="39" spans="2:35" ht="14.25" customHeight="1" x14ac:dyDescent="0.2">
      <c r="B39" s="51"/>
      <c r="C39" s="61"/>
      <c r="D39" s="51"/>
      <c r="E39" s="51"/>
      <c r="F39" s="51"/>
      <c r="G39" s="51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Z39" s="51"/>
      <c r="AA39" s="51"/>
      <c r="AB39" s="57"/>
      <c r="AC39" s="59"/>
      <c r="AD39" s="59"/>
      <c r="AE39" s="102"/>
      <c r="AF39" s="102"/>
      <c r="AG39" s="59"/>
      <c r="AH39" s="59"/>
      <c r="AI39" s="53"/>
    </row>
    <row r="40" spans="2:35" ht="14.25" customHeight="1" x14ac:dyDescent="0.2">
      <c r="B40" s="51"/>
      <c r="C40" s="61"/>
      <c r="D40" s="51"/>
      <c r="E40" s="51"/>
      <c r="F40" s="51"/>
      <c r="G40" s="51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Z40" s="51"/>
      <c r="AA40" s="51"/>
      <c r="AB40" s="57"/>
      <c r="AC40" s="59"/>
      <c r="AD40" s="59"/>
      <c r="AE40" s="102"/>
      <c r="AF40" s="102"/>
      <c r="AG40" s="59"/>
      <c r="AH40" s="59"/>
      <c r="AI40" s="53"/>
    </row>
    <row r="41" spans="2:35" ht="14.25" customHeight="1" x14ac:dyDescent="0.2">
      <c r="B41" s="51"/>
      <c r="C41" s="61"/>
      <c r="D41" s="51"/>
      <c r="E41" s="51"/>
      <c r="F41" s="51"/>
      <c r="G41" s="51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Z41" s="51"/>
      <c r="AA41" s="51"/>
      <c r="AB41" s="57"/>
      <c r="AC41" s="59"/>
      <c r="AD41" s="59"/>
      <c r="AE41" s="102"/>
      <c r="AF41" s="102"/>
      <c r="AG41" s="59"/>
      <c r="AH41" s="59"/>
      <c r="AI41" s="53"/>
    </row>
    <row r="42" spans="2:35" ht="14.25" customHeight="1" x14ac:dyDescent="0.2">
      <c r="B42" s="51"/>
      <c r="C42" s="61"/>
      <c r="D42" s="51"/>
      <c r="E42" s="51"/>
      <c r="F42" s="51"/>
      <c r="G42" s="51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Z42" s="51"/>
      <c r="AA42" s="51"/>
      <c r="AB42" s="57"/>
      <c r="AC42" s="59"/>
      <c r="AD42" s="59"/>
      <c r="AE42" s="102"/>
      <c r="AF42" s="102"/>
      <c r="AG42" s="59"/>
      <c r="AH42" s="59"/>
      <c r="AI42" s="53"/>
    </row>
    <row r="43" spans="2:35" ht="14.25" customHeight="1" x14ac:dyDescent="0.2">
      <c r="B43" s="51"/>
      <c r="C43" s="61"/>
      <c r="D43" s="51"/>
      <c r="E43" s="51"/>
      <c r="F43" s="51"/>
      <c r="G43" s="51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Z43" s="51"/>
      <c r="AA43" s="51"/>
      <c r="AB43" s="57"/>
      <c r="AC43" s="59"/>
      <c r="AD43" s="59"/>
      <c r="AE43" s="102"/>
      <c r="AF43" s="102"/>
      <c r="AG43" s="59"/>
      <c r="AH43" s="59"/>
      <c r="AI43" s="53"/>
    </row>
    <row r="44" spans="2:35" ht="14.25" customHeight="1" x14ac:dyDescent="0.2">
      <c r="B44" s="51"/>
      <c r="C44" s="61"/>
      <c r="D44" s="51"/>
      <c r="E44" s="51"/>
      <c r="F44" s="51"/>
      <c r="G44" s="51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Z44" s="51"/>
      <c r="AA44" s="51"/>
      <c r="AB44" s="57"/>
      <c r="AC44" s="59"/>
      <c r="AD44" s="59"/>
      <c r="AE44" s="102"/>
      <c r="AF44" s="102"/>
      <c r="AG44" s="59"/>
      <c r="AH44" s="59"/>
      <c r="AI44" s="53"/>
    </row>
    <row r="45" spans="2:35" ht="14.25" customHeight="1" x14ac:dyDescent="0.2">
      <c r="B45" s="51"/>
      <c r="C45" s="61"/>
      <c r="D45" s="51"/>
      <c r="E45" s="51"/>
      <c r="F45" s="51"/>
      <c r="G45" s="51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Z45" s="51"/>
      <c r="AA45" s="51"/>
      <c r="AB45" s="57"/>
      <c r="AC45" s="59"/>
      <c r="AD45" s="59"/>
      <c r="AE45" s="102"/>
      <c r="AF45" s="102"/>
      <c r="AG45" s="59"/>
      <c r="AH45" s="59"/>
      <c r="AI45" s="53"/>
    </row>
    <row r="46" spans="2:35" ht="14.25" customHeight="1" x14ac:dyDescent="0.2">
      <c r="B46" s="51"/>
      <c r="C46" s="61"/>
      <c r="D46" s="51"/>
      <c r="E46" s="51"/>
      <c r="F46" s="51"/>
      <c r="G46" s="51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Z46" s="51"/>
      <c r="AA46" s="51"/>
      <c r="AB46" s="57"/>
      <c r="AC46" s="59"/>
      <c r="AD46" s="59"/>
      <c r="AE46" s="102"/>
      <c r="AF46" s="102"/>
      <c r="AG46" s="59"/>
      <c r="AH46" s="59"/>
      <c r="AI46" s="53"/>
    </row>
    <row r="47" spans="2:35" ht="14.25" customHeight="1" x14ac:dyDescent="0.2">
      <c r="B47" s="51"/>
      <c r="C47" s="61"/>
      <c r="D47" s="51"/>
      <c r="E47" s="51"/>
      <c r="F47" s="51"/>
      <c r="G47" s="51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Z47" s="51"/>
      <c r="AA47" s="51"/>
      <c r="AB47" s="57"/>
      <c r="AC47" s="59"/>
      <c r="AD47" s="59"/>
      <c r="AE47" s="102"/>
      <c r="AF47" s="102"/>
      <c r="AG47" s="59"/>
      <c r="AH47" s="59"/>
      <c r="AI47" s="53"/>
    </row>
    <row r="48" spans="2:35" ht="14.25" customHeight="1" x14ac:dyDescent="0.2">
      <c r="B48" s="51"/>
      <c r="C48" s="61"/>
      <c r="D48" s="51"/>
      <c r="E48" s="51"/>
      <c r="F48" s="51"/>
      <c r="G48" s="51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Z48" s="51"/>
      <c r="AA48" s="51"/>
      <c r="AB48" s="57"/>
      <c r="AC48" s="59"/>
      <c r="AD48" s="59"/>
      <c r="AE48" s="102"/>
      <c r="AF48" s="102"/>
      <c r="AG48" s="59"/>
      <c r="AH48" s="59"/>
      <c r="AI48" s="53"/>
    </row>
    <row r="49" spans="2:35" ht="14.25" customHeight="1" x14ac:dyDescent="0.2">
      <c r="B49" s="51"/>
      <c r="C49" s="61"/>
      <c r="D49" s="51"/>
      <c r="E49" s="51"/>
      <c r="F49" s="51"/>
      <c r="G49" s="51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Z49" s="51"/>
      <c r="AA49" s="51"/>
      <c r="AB49" s="57"/>
      <c r="AC49" s="59"/>
      <c r="AD49" s="59"/>
      <c r="AE49" s="102"/>
      <c r="AF49" s="102"/>
      <c r="AG49" s="59"/>
      <c r="AH49" s="59"/>
      <c r="AI49" s="53"/>
    </row>
    <row r="50" spans="2:35" ht="14.25" customHeight="1" x14ac:dyDescent="0.2">
      <c r="B50" s="51"/>
      <c r="C50" s="61"/>
      <c r="D50" s="51"/>
      <c r="E50" s="51"/>
      <c r="F50" s="51"/>
      <c r="G50" s="51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Z50" s="51"/>
      <c r="AA50" s="51"/>
      <c r="AB50" s="57"/>
      <c r="AC50" s="59"/>
      <c r="AD50" s="59"/>
      <c r="AE50" s="102"/>
      <c r="AF50" s="102"/>
      <c r="AG50" s="59"/>
      <c r="AH50" s="59"/>
      <c r="AI50" s="53"/>
    </row>
    <row r="51" spans="2:35" ht="14.25" customHeight="1" x14ac:dyDescent="0.2">
      <c r="B51" s="51"/>
      <c r="C51" s="61"/>
      <c r="D51" s="51"/>
      <c r="E51" s="51"/>
      <c r="F51" s="51"/>
      <c r="G51" s="51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Z51" s="51"/>
      <c r="AA51" s="51"/>
      <c r="AB51" s="57"/>
      <c r="AC51" s="59"/>
      <c r="AD51" s="59"/>
      <c r="AE51" s="102"/>
      <c r="AF51" s="102"/>
      <c r="AG51" s="59"/>
      <c r="AH51" s="59"/>
      <c r="AI51" s="53"/>
    </row>
    <row r="52" spans="2:35" ht="14.25" customHeight="1" x14ac:dyDescent="0.2">
      <c r="B52" s="51"/>
      <c r="C52" s="61"/>
      <c r="D52" s="51"/>
      <c r="E52" s="51"/>
      <c r="F52" s="51"/>
      <c r="G52" s="51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Z52" s="51"/>
      <c r="AA52" s="51"/>
      <c r="AB52" s="57"/>
      <c r="AC52" s="59"/>
      <c r="AD52" s="59"/>
      <c r="AE52" s="102"/>
      <c r="AF52" s="102"/>
      <c r="AG52" s="59"/>
      <c r="AH52" s="59"/>
      <c r="AI52" s="53"/>
    </row>
    <row r="53" spans="2:35" ht="14.25" customHeight="1" x14ac:dyDescent="0.2">
      <c r="B53" s="51"/>
      <c r="C53" s="61"/>
      <c r="D53" s="51"/>
      <c r="E53" s="51"/>
      <c r="F53" s="51"/>
      <c r="G53" s="51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Z53" s="51"/>
      <c r="AA53" s="51"/>
      <c r="AB53" s="57"/>
      <c r="AC53" s="59"/>
      <c r="AD53" s="59"/>
      <c r="AE53" s="102"/>
      <c r="AF53" s="102"/>
      <c r="AG53" s="59"/>
      <c r="AH53" s="59"/>
      <c r="AI53" s="53"/>
    </row>
    <row r="54" spans="2:35" ht="14.25" customHeight="1" x14ac:dyDescent="0.2">
      <c r="B54" s="51"/>
      <c r="C54" s="61"/>
      <c r="D54" s="51"/>
      <c r="E54" s="51"/>
      <c r="F54" s="51"/>
      <c r="G54" s="51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Z54" s="51"/>
      <c r="AA54" s="51"/>
      <c r="AB54" s="57"/>
      <c r="AC54" s="59"/>
      <c r="AD54" s="59"/>
      <c r="AE54" s="102"/>
      <c r="AF54" s="102"/>
      <c r="AG54" s="59"/>
      <c r="AH54" s="59"/>
      <c r="AI54" s="53"/>
    </row>
    <row r="55" spans="2:35" ht="14.25" customHeight="1" x14ac:dyDescent="0.2">
      <c r="B55" s="51"/>
      <c r="C55" s="61"/>
      <c r="D55" s="51"/>
      <c r="E55" s="51"/>
      <c r="F55" s="51"/>
      <c r="G55" s="51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Z55" s="51"/>
      <c r="AA55" s="51"/>
      <c r="AB55" s="57"/>
      <c r="AC55" s="59"/>
      <c r="AD55" s="59"/>
      <c r="AE55" s="102"/>
      <c r="AF55" s="102"/>
      <c r="AG55" s="59"/>
      <c r="AH55" s="59"/>
      <c r="AI55" s="53"/>
    </row>
    <row r="56" spans="2:35" ht="14.25" customHeight="1" x14ac:dyDescent="0.2">
      <c r="B56" s="51"/>
      <c r="C56" s="61"/>
      <c r="D56" s="51"/>
      <c r="E56" s="51"/>
      <c r="F56" s="51"/>
      <c r="G56" s="51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Z56" s="51"/>
      <c r="AA56" s="51"/>
      <c r="AB56" s="57"/>
      <c r="AC56" s="59"/>
      <c r="AD56" s="59"/>
      <c r="AE56" s="102"/>
      <c r="AF56" s="102"/>
      <c r="AG56" s="59"/>
      <c r="AH56" s="59"/>
      <c r="AI56" s="53"/>
    </row>
    <row r="57" spans="2:35" ht="14.25" customHeight="1" x14ac:dyDescent="0.2">
      <c r="B57" s="51"/>
      <c r="C57" s="61"/>
      <c r="D57" s="51"/>
      <c r="E57" s="51"/>
      <c r="F57" s="51"/>
      <c r="G57" s="51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Z57" s="51"/>
      <c r="AA57" s="51"/>
      <c r="AB57" s="57"/>
      <c r="AC57" s="59"/>
      <c r="AD57" s="59"/>
      <c r="AE57" s="102"/>
      <c r="AF57" s="102"/>
      <c r="AG57" s="59"/>
      <c r="AH57" s="59"/>
      <c r="AI57" s="53"/>
    </row>
    <row r="58" spans="2:35" ht="14.25" customHeight="1" x14ac:dyDescent="0.2">
      <c r="B58" s="51"/>
      <c r="C58" s="61"/>
      <c r="D58" s="51"/>
      <c r="E58" s="51"/>
      <c r="F58" s="51"/>
      <c r="G58" s="51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Z58" s="51"/>
      <c r="AA58" s="51"/>
      <c r="AB58" s="57"/>
      <c r="AC58" s="59"/>
      <c r="AD58" s="59"/>
      <c r="AE58" s="102"/>
      <c r="AF58" s="102"/>
      <c r="AG58" s="59"/>
      <c r="AH58" s="59"/>
      <c r="AI58" s="53"/>
    </row>
    <row r="59" spans="2:35" ht="14.25" customHeight="1" x14ac:dyDescent="0.2">
      <c r="B59" s="51"/>
      <c r="C59" s="61"/>
      <c r="D59" s="51"/>
      <c r="E59" s="51"/>
      <c r="F59" s="51"/>
      <c r="G59" s="51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Z59" s="51"/>
      <c r="AA59" s="51"/>
      <c r="AB59" s="57"/>
      <c r="AC59" s="59"/>
      <c r="AD59" s="59"/>
      <c r="AE59" s="102"/>
      <c r="AF59" s="102"/>
      <c r="AG59" s="59"/>
      <c r="AH59" s="59"/>
      <c r="AI59" s="53"/>
    </row>
    <row r="60" spans="2:35" ht="14.25" customHeight="1" x14ac:dyDescent="0.2">
      <c r="B60" s="51"/>
      <c r="C60" s="61"/>
      <c r="D60" s="51"/>
      <c r="E60" s="51"/>
      <c r="F60" s="51"/>
      <c r="G60" s="51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Z60" s="51"/>
      <c r="AA60" s="51"/>
      <c r="AB60" s="57"/>
      <c r="AC60" s="59"/>
      <c r="AD60" s="59"/>
      <c r="AE60" s="102"/>
      <c r="AF60" s="102"/>
      <c r="AG60" s="59"/>
      <c r="AH60" s="59"/>
      <c r="AI60" s="53"/>
    </row>
    <row r="61" spans="2:35" ht="14.25" customHeight="1" x14ac:dyDescent="0.2">
      <c r="B61" s="51"/>
      <c r="C61" s="61"/>
      <c r="D61" s="51"/>
      <c r="E61" s="51"/>
      <c r="F61" s="51"/>
      <c r="G61" s="51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Z61" s="51"/>
      <c r="AA61" s="51"/>
      <c r="AB61" s="57"/>
      <c r="AC61" s="59"/>
      <c r="AD61" s="59"/>
      <c r="AE61" s="102"/>
      <c r="AF61" s="102"/>
      <c r="AG61" s="59"/>
      <c r="AH61" s="59"/>
      <c r="AI61" s="53"/>
    </row>
    <row r="62" spans="2:35" ht="14.25" customHeight="1" x14ac:dyDescent="0.2">
      <c r="B62" s="51"/>
      <c r="C62" s="61"/>
      <c r="D62" s="51"/>
      <c r="E62" s="51"/>
      <c r="F62" s="51"/>
      <c r="G62" s="51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Z62" s="51"/>
      <c r="AA62" s="51"/>
      <c r="AB62" s="57"/>
      <c r="AC62" s="59"/>
      <c r="AD62" s="59"/>
      <c r="AE62" s="102"/>
      <c r="AF62" s="102"/>
      <c r="AG62" s="59"/>
      <c r="AH62" s="59"/>
      <c r="AI62" s="53"/>
    </row>
    <row r="63" spans="2:35" ht="14.25" customHeight="1" x14ac:dyDescent="0.2">
      <c r="B63" s="51"/>
      <c r="C63" s="61"/>
      <c r="D63" s="51"/>
      <c r="E63" s="51"/>
      <c r="F63" s="51"/>
      <c r="G63" s="51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Z63" s="51"/>
      <c r="AA63" s="51"/>
      <c r="AB63" s="57"/>
      <c r="AC63" s="59"/>
      <c r="AD63" s="59"/>
      <c r="AE63" s="102"/>
      <c r="AF63" s="102"/>
      <c r="AG63" s="59"/>
      <c r="AH63" s="59"/>
      <c r="AI63" s="53"/>
    </row>
    <row r="64" spans="2:35" ht="14.25" customHeight="1" x14ac:dyDescent="0.2">
      <c r="B64" s="51"/>
      <c r="C64" s="61"/>
      <c r="D64" s="51"/>
      <c r="E64" s="51"/>
      <c r="F64" s="51"/>
      <c r="G64" s="51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Z64" s="51"/>
      <c r="AA64" s="51"/>
      <c r="AB64" s="57"/>
      <c r="AC64" s="59"/>
      <c r="AD64" s="59"/>
      <c r="AE64" s="102"/>
      <c r="AF64" s="102"/>
      <c r="AG64" s="59"/>
      <c r="AH64" s="59"/>
      <c r="AI64" s="53"/>
    </row>
    <row r="65" spans="2:35" ht="14.25" customHeight="1" x14ac:dyDescent="0.2">
      <c r="B65" s="51"/>
      <c r="C65" s="61"/>
      <c r="D65" s="51"/>
      <c r="E65" s="51"/>
      <c r="F65" s="51"/>
      <c r="G65" s="51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Z65" s="51"/>
      <c r="AA65" s="51"/>
      <c r="AB65" s="57"/>
      <c r="AC65" s="59"/>
      <c r="AD65" s="59"/>
      <c r="AE65" s="102"/>
      <c r="AF65" s="102"/>
      <c r="AG65" s="59"/>
      <c r="AH65" s="59"/>
      <c r="AI65" s="53"/>
    </row>
    <row r="66" spans="2:35" ht="14.25" customHeight="1" x14ac:dyDescent="0.2">
      <c r="B66" s="51"/>
      <c r="C66" s="61"/>
      <c r="D66" s="51"/>
      <c r="E66" s="51"/>
      <c r="F66" s="51"/>
      <c r="G66" s="51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Z66" s="51"/>
      <c r="AA66" s="51"/>
      <c r="AB66" s="57"/>
      <c r="AC66" s="59"/>
      <c r="AD66" s="59"/>
      <c r="AE66" s="102"/>
      <c r="AF66" s="102"/>
      <c r="AG66" s="59"/>
      <c r="AH66" s="59"/>
      <c r="AI66" s="53"/>
    </row>
    <row r="67" spans="2:35" ht="14.25" customHeight="1" x14ac:dyDescent="0.2">
      <c r="B67" s="51"/>
      <c r="C67" s="61"/>
      <c r="D67" s="51"/>
      <c r="E67" s="51"/>
      <c r="F67" s="51"/>
      <c r="G67" s="51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Z67" s="51"/>
      <c r="AA67" s="51"/>
      <c r="AB67" s="57"/>
      <c r="AC67" s="59"/>
      <c r="AD67" s="59"/>
      <c r="AE67" s="102"/>
      <c r="AF67" s="102"/>
      <c r="AG67" s="59"/>
      <c r="AH67" s="59"/>
      <c r="AI67" s="53"/>
    </row>
    <row r="68" spans="2:35" ht="14.25" customHeight="1" x14ac:dyDescent="0.2">
      <c r="B68" s="51"/>
      <c r="C68" s="61"/>
      <c r="D68" s="51"/>
      <c r="E68" s="51"/>
      <c r="F68" s="51"/>
      <c r="G68" s="51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Z68" s="51"/>
      <c r="AA68" s="51"/>
      <c r="AB68" s="57"/>
      <c r="AC68" s="59"/>
      <c r="AD68" s="59"/>
      <c r="AE68" s="102"/>
      <c r="AF68" s="102"/>
      <c r="AG68" s="59"/>
      <c r="AH68" s="59"/>
      <c r="AI68" s="53"/>
    </row>
    <row r="69" spans="2:35" ht="14.25" customHeight="1" x14ac:dyDescent="0.2">
      <c r="B69" s="51"/>
      <c r="C69" s="61"/>
      <c r="D69" s="51"/>
      <c r="E69" s="51"/>
      <c r="F69" s="51"/>
      <c r="G69" s="51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Z69" s="51"/>
      <c r="AA69" s="51"/>
      <c r="AB69" s="57"/>
      <c r="AC69" s="59"/>
      <c r="AD69" s="59"/>
      <c r="AE69" s="102"/>
      <c r="AF69" s="102"/>
      <c r="AG69" s="59"/>
      <c r="AH69" s="59"/>
      <c r="AI69" s="53"/>
    </row>
    <row r="70" spans="2:35" ht="14.25" customHeight="1" x14ac:dyDescent="0.2">
      <c r="B70" s="51"/>
      <c r="C70" s="61"/>
      <c r="D70" s="51"/>
      <c r="E70" s="51"/>
      <c r="F70" s="51"/>
      <c r="G70" s="51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Z70" s="51"/>
      <c r="AA70" s="51"/>
      <c r="AB70" s="57"/>
      <c r="AC70" s="59"/>
      <c r="AD70" s="59"/>
      <c r="AE70" s="102"/>
      <c r="AF70" s="102"/>
      <c r="AG70" s="59"/>
      <c r="AH70" s="59"/>
      <c r="AI70" s="53"/>
    </row>
    <row r="71" spans="2:35" ht="14.25" customHeight="1" x14ac:dyDescent="0.2">
      <c r="B71" s="51"/>
      <c r="C71" s="61"/>
      <c r="D71" s="51"/>
      <c r="E71" s="51"/>
      <c r="F71" s="51"/>
      <c r="G71" s="51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Z71" s="51"/>
      <c r="AA71" s="51"/>
      <c r="AB71" s="57"/>
      <c r="AC71" s="59"/>
      <c r="AD71" s="59"/>
      <c r="AE71" s="102"/>
      <c r="AF71" s="102"/>
      <c r="AG71" s="59"/>
      <c r="AH71" s="59"/>
      <c r="AI71" s="53"/>
    </row>
    <row r="72" spans="2:35" ht="14.25" customHeight="1" x14ac:dyDescent="0.2">
      <c r="B72" s="51"/>
      <c r="C72" s="61"/>
      <c r="D72" s="51"/>
      <c r="E72" s="51"/>
      <c r="F72" s="51"/>
      <c r="G72" s="51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Z72" s="51"/>
      <c r="AA72" s="51"/>
      <c r="AB72" s="57"/>
      <c r="AC72" s="59"/>
      <c r="AD72" s="59"/>
      <c r="AE72" s="102"/>
      <c r="AF72" s="102"/>
      <c r="AG72" s="59"/>
      <c r="AH72" s="59"/>
      <c r="AI72" s="53"/>
    </row>
    <row r="73" spans="2:35" ht="14.25" customHeight="1" x14ac:dyDescent="0.2">
      <c r="B73" s="51"/>
      <c r="C73" s="61"/>
      <c r="D73" s="51"/>
      <c r="E73" s="51"/>
      <c r="F73" s="51"/>
      <c r="G73" s="51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Z73" s="51"/>
      <c r="AA73" s="51"/>
      <c r="AB73" s="57"/>
      <c r="AC73" s="59"/>
      <c r="AD73" s="59"/>
      <c r="AE73" s="102"/>
      <c r="AF73" s="102"/>
      <c r="AG73" s="59"/>
      <c r="AH73" s="59"/>
      <c r="AI73" s="53"/>
    </row>
    <row r="74" spans="2:35" ht="14.25" customHeight="1" x14ac:dyDescent="0.2">
      <c r="B74" s="51"/>
      <c r="C74" s="61"/>
      <c r="D74" s="51"/>
      <c r="E74" s="51"/>
      <c r="F74" s="51"/>
      <c r="G74" s="51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Z74" s="51"/>
      <c r="AA74" s="51"/>
      <c r="AB74" s="57"/>
      <c r="AC74" s="59"/>
      <c r="AD74" s="59"/>
      <c r="AE74" s="102"/>
      <c r="AF74" s="102"/>
      <c r="AG74" s="59"/>
      <c r="AH74" s="59"/>
      <c r="AI74" s="53"/>
    </row>
    <row r="75" spans="2:35" ht="14.25" customHeight="1" x14ac:dyDescent="0.2">
      <c r="B75" s="51"/>
      <c r="C75" s="61"/>
      <c r="D75" s="51"/>
      <c r="E75" s="51"/>
      <c r="F75" s="51"/>
      <c r="G75" s="51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Z75" s="51"/>
      <c r="AA75" s="51"/>
      <c r="AB75" s="57"/>
      <c r="AC75" s="59"/>
      <c r="AD75" s="59"/>
      <c r="AE75" s="102"/>
      <c r="AF75" s="102"/>
      <c r="AG75" s="59"/>
      <c r="AH75" s="59"/>
      <c r="AI75" s="53"/>
    </row>
    <row r="76" spans="2:35" ht="14.25" customHeight="1" x14ac:dyDescent="0.2">
      <c r="B76" s="51"/>
      <c r="C76" s="61"/>
      <c r="D76" s="51"/>
      <c r="E76" s="51"/>
      <c r="F76" s="51"/>
      <c r="G76" s="51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Z76" s="51"/>
      <c r="AA76" s="51"/>
      <c r="AB76" s="57"/>
      <c r="AC76" s="59"/>
      <c r="AD76" s="59"/>
      <c r="AE76" s="102"/>
      <c r="AF76" s="102"/>
      <c r="AG76" s="59"/>
      <c r="AH76" s="59"/>
      <c r="AI76" s="53"/>
    </row>
    <row r="77" spans="2:35" ht="14.25" customHeight="1" x14ac:dyDescent="0.2">
      <c r="B77" s="51"/>
      <c r="C77" s="61"/>
      <c r="D77" s="51"/>
      <c r="E77" s="51"/>
      <c r="F77" s="51"/>
      <c r="G77" s="51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Z77" s="51"/>
      <c r="AA77" s="51"/>
      <c r="AB77" s="57"/>
      <c r="AC77" s="59"/>
      <c r="AD77" s="59"/>
      <c r="AE77" s="102"/>
      <c r="AF77" s="102"/>
      <c r="AG77" s="59"/>
      <c r="AH77" s="59"/>
      <c r="AI77" s="53"/>
    </row>
    <row r="78" spans="2:35" ht="14.25" customHeight="1" x14ac:dyDescent="0.2">
      <c r="B78" s="51"/>
      <c r="C78" s="61"/>
      <c r="D78" s="51"/>
      <c r="E78" s="51"/>
      <c r="F78" s="51"/>
      <c r="G78" s="51"/>
      <c r="H78" s="52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Z78" s="51"/>
      <c r="AA78" s="51"/>
      <c r="AB78" s="57"/>
      <c r="AC78" s="59"/>
      <c r="AD78" s="59"/>
      <c r="AE78" s="102"/>
      <c r="AF78" s="102"/>
      <c r="AG78" s="59"/>
      <c r="AH78" s="59"/>
      <c r="AI78" s="53"/>
    </row>
    <row r="79" spans="2:35" ht="14.25" customHeight="1" x14ac:dyDescent="0.2">
      <c r="B79" s="51"/>
      <c r="C79" s="61"/>
      <c r="D79" s="51"/>
      <c r="E79" s="51"/>
      <c r="F79" s="51"/>
      <c r="G79" s="51"/>
      <c r="H79" s="52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Z79" s="51"/>
      <c r="AA79" s="51"/>
      <c r="AB79" s="57"/>
      <c r="AC79" s="59"/>
      <c r="AD79" s="59"/>
      <c r="AE79" s="102"/>
      <c r="AF79" s="102"/>
      <c r="AG79" s="59"/>
      <c r="AH79" s="59"/>
      <c r="AI79" s="53"/>
    </row>
    <row r="80" spans="2:35" ht="14.25" customHeight="1" x14ac:dyDescent="0.2">
      <c r="B80" s="51"/>
      <c r="C80" s="61"/>
      <c r="D80" s="51"/>
      <c r="E80" s="51"/>
      <c r="F80" s="51"/>
      <c r="G80" s="51"/>
      <c r="H80" s="52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Z80" s="51"/>
      <c r="AA80" s="51"/>
      <c r="AB80" s="57"/>
      <c r="AC80" s="59"/>
      <c r="AD80" s="59"/>
      <c r="AE80" s="102"/>
      <c r="AF80" s="102"/>
      <c r="AG80" s="59"/>
      <c r="AH80" s="59"/>
      <c r="AI80" s="53"/>
    </row>
    <row r="81" spans="2:35" ht="14.25" customHeight="1" x14ac:dyDescent="0.2">
      <c r="B81" s="51"/>
      <c r="C81" s="61"/>
      <c r="D81" s="51"/>
      <c r="E81" s="51"/>
      <c r="F81" s="51"/>
      <c r="G81" s="51"/>
      <c r="H81" s="52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Z81" s="51"/>
      <c r="AA81" s="51"/>
      <c r="AB81" s="57"/>
      <c r="AC81" s="59"/>
      <c r="AD81" s="59"/>
      <c r="AE81" s="102"/>
      <c r="AF81" s="102"/>
      <c r="AG81" s="59"/>
      <c r="AH81" s="59"/>
      <c r="AI81" s="53"/>
    </row>
    <row r="82" spans="2:35" ht="14.25" customHeight="1" x14ac:dyDescent="0.2">
      <c r="B82" s="51"/>
      <c r="C82" s="61"/>
      <c r="D82" s="51"/>
      <c r="E82" s="51"/>
      <c r="F82" s="51"/>
      <c r="G82" s="51"/>
      <c r="H82" s="52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Z82" s="51"/>
      <c r="AA82" s="51"/>
      <c r="AB82" s="57"/>
      <c r="AC82" s="59"/>
      <c r="AD82" s="59"/>
      <c r="AE82" s="102"/>
      <c r="AF82" s="102"/>
      <c r="AG82" s="59"/>
      <c r="AH82" s="59"/>
      <c r="AI82" s="53"/>
    </row>
    <row r="83" spans="2:35" ht="14.25" customHeight="1" x14ac:dyDescent="0.2">
      <c r="B83" s="51"/>
      <c r="C83" s="61"/>
      <c r="D83" s="51"/>
      <c r="E83" s="51"/>
      <c r="F83" s="51"/>
      <c r="G83" s="51"/>
      <c r="H83" s="52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Z83" s="51"/>
      <c r="AA83" s="51"/>
      <c r="AB83" s="57"/>
      <c r="AC83" s="59"/>
      <c r="AD83" s="59"/>
      <c r="AE83" s="102"/>
      <c r="AF83" s="102"/>
      <c r="AG83" s="59"/>
      <c r="AH83" s="59"/>
      <c r="AI83" s="53"/>
    </row>
    <row r="84" spans="2:35" ht="14.25" customHeight="1" x14ac:dyDescent="0.2">
      <c r="B84" s="51"/>
      <c r="C84" s="61"/>
      <c r="D84" s="51"/>
      <c r="E84" s="51"/>
      <c r="F84" s="51"/>
      <c r="G84" s="51"/>
      <c r="H84" s="52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Z84" s="51"/>
      <c r="AA84" s="51"/>
      <c r="AB84" s="57"/>
      <c r="AC84" s="59"/>
      <c r="AD84" s="59"/>
      <c r="AE84" s="102"/>
      <c r="AF84" s="102"/>
      <c r="AG84" s="59"/>
      <c r="AH84" s="59"/>
      <c r="AI84" s="53"/>
    </row>
    <row r="85" spans="2:35" ht="14.25" customHeight="1" x14ac:dyDescent="0.2">
      <c r="B85" s="51"/>
      <c r="C85" s="61"/>
      <c r="D85" s="51"/>
      <c r="E85" s="51"/>
      <c r="F85" s="51"/>
      <c r="G85" s="51"/>
      <c r="H85" s="52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Z85" s="51"/>
      <c r="AA85" s="51"/>
      <c r="AB85" s="57"/>
      <c r="AC85" s="59"/>
      <c r="AD85" s="59"/>
      <c r="AE85" s="102"/>
      <c r="AF85" s="102"/>
      <c r="AG85" s="59"/>
      <c r="AH85" s="59"/>
      <c r="AI85" s="53"/>
    </row>
    <row r="86" spans="2:35" ht="14.25" customHeight="1" x14ac:dyDescent="0.2">
      <c r="B86" s="51"/>
      <c r="C86" s="61"/>
      <c r="D86" s="51"/>
      <c r="E86" s="51"/>
      <c r="F86" s="51"/>
      <c r="G86" s="51"/>
      <c r="H86" s="52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Z86" s="51"/>
      <c r="AA86" s="51"/>
      <c r="AB86" s="57"/>
      <c r="AC86" s="59"/>
      <c r="AD86" s="59"/>
      <c r="AE86" s="102"/>
      <c r="AF86" s="102"/>
      <c r="AG86" s="59"/>
      <c r="AH86" s="59"/>
      <c r="AI86" s="53"/>
    </row>
    <row r="87" spans="2:35" ht="14.25" customHeight="1" x14ac:dyDescent="0.2">
      <c r="B87" s="51"/>
      <c r="C87" s="61"/>
      <c r="D87" s="51"/>
      <c r="E87" s="51"/>
      <c r="F87" s="51"/>
      <c r="G87" s="51"/>
      <c r="H87" s="52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Z87" s="51"/>
      <c r="AA87" s="51"/>
      <c r="AB87" s="57"/>
      <c r="AC87" s="59"/>
      <c r="AD87" s="59"/>
      <c r="AE87" s="102"/>
      <c r="AF87" s="102"/>
      <c r="AG87" s="59"/>
      <c r="AH87" s="59"/>
      <c r="AI87" s="53"/>
    </row>
    <row r="88" spans="2:35" ht="14.25" customHeight="1" x14ac:dyDescent="0.2">
      <c r="B88" s="51"/>
      <c r="C88" s="61"/>
      <c r="D88" s="51"/>
      <c r="E88" s="51"/>
      <c r="F88" s="51"/>
      <c r="G88" s="51"/>
      <c r="H88" s="52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Z88" s="51"/>
      <c r="AA88" s="51"/>
      <c r="AB88" s="57"/>
      <c r="AC88" s="59"/>
      <c r="AD88" s="59"/>
      <c r="AE88" s="102"/>
      <c r="AF88" s="102"/>
      <c r="AG88" s="59"/>
      <c r="AH88" s="59"/>
      <c r="AI88" s="53"/>
    </row>
    <row r="89" spans="2:35" ht="14.25" customHeight="1" x14ac:dyDescent="0.2">
      <c r="B89" s="51"/>
      <c r="C89" s="61"/>
      <c r="D89" s="51"/>
      <c r="E89" s="51"/>
      <c r="F89" s="51"/>
      <c r="G89" s="51"/>
      <c r="H89" s="52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Z89" s="51"/>
      <c r="AA89" s="51"/>
      <c r="AB89" s="57"/>
      <c r="AC89" s="59"/>
      <c r="AD89" s="59"/>
      <c r="AE89" s="102"/>
      <c r="AF89" s="102"/>
      <c r="AG89" s="59"/>
      <c r="AH89" s="59"/>
      <c r="AI89" s="53"/>
    </row>
    <row r="90" spans="2:35" ht="14.25" customHeight="1" x14ac:dyDescent="0.2">
      <c r="B90" s="51"/>
      <c r="C90" s="61"/>
      <c r="D90" s="51"/>
      <c r="E90" s="51"/>
      <c r="F90" s="51"/>
      <c r="G90" s="51"/>
      <c r="H90" s="52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Z90" s="51"/>
      <c r="AA90" s="51"/>
      <c r="AB90" s="57"/>
      <c r="AC90" s="59"/>
      <c r="AD90" s="59"/>
      <c r="AE90" s="102"/>
      <c r="AF90" s="102"/>
      <c r="AG90" s="59"/>
      <c r="AH90" s="59"/>
      <c r="AI90" s="53"/>
    </row>
    <row r="91" spans="2:35" ht="14.25" customHeight="1" x14ac:dyDescent="0.2">
      <c r="B91" s="51"/>
      <c r="C91" s="61"/>
      <c r="D91" s="51"/>
      <c r="E91" s="51"/>
      <c r="F91" s="51"/>
      <c r="G91" s="51"/>
      <c r="H91" s="52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Z91" s="51"/>
      <c r="AA91" s="51"/>
      <c r="AB91" s="57"/>
      <c r="AC91" s="59"/>
      <c r="AD91" s="59"/>
      <c r="AE91" s="102"/>
      <c r="AF91" s="102"/>
      <c r="AG91" s="59"/>
      <c r="AH91" s="59"/>
      <c r="AI91" s="53"/>
    </row>
    <row r="92" spans="2:35" ht="14.25" customHeight="1" x14ac:dyDescent="0.2">
      <c r="B92" s="51"/>
      <c r="C92" s="61"/>
      <c r="D92" s="51"/>
      <c r="E92" s="51"/>
      <c r="F92" s="51"/>
      <c r="G92" s="51"/>
      <c r="H92" s="52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Z92" s="51"/>
      <c r="AA92" s="51"/>
      <c r="AB92" s="57"/>
      <c r="AC92" s="59"/>
      <c r="AD92" s="59"/>
      <c r="AE92" s="102"/>
      <c r="AF92" s="102"/>
      <c r="AG92" s="59"/>
      <c r="AH92" s="59"/>
      <c r="AI92" s="53"/>
    </row>
    <row r="93" spans="2:35" ht="14.25" customHeight="1" x14ac:dyDescent="0.2">
      <c r="B93" s="51"/>
      <c r="C93" s="61"/>
      <c r="D93" s="51"/>
      <c r="E93" s="51"/>
      <c r="F93" s="51"/>
      <c r="G93" s="51"/>
      <c r="H93" s="52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Z93" s="51"/>
      <c r="AA93" s="51"/>
      <c r="AB93" s="57"/>
      <c r="AC93" s="59"/>
      <c r="AD93" s="59"/>
      <c r="AE93" s="102"/>
      <c r="AF93" s="102"/>
      <c r="AG93" s="59"/>
      <c r="AH93" s="59"/>
      <c r="AI93" s="53"/>
    </row>
    <row r="94" spans="2:35" ht="14.25" customHeight="1" x14ac:dyDescent="0.2">
      <c r="B94" s="51"/>
      <c r="C94" s="61"/>
      <c r="D94" s="51"/>
      <c r="E94" s="51"/>
      <c r="F94" s="51"/>
      <c r="G94" s="51"/>
      <c r="H94" s="52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Z94" s="51"/>
      <c r="AA94" s="51"/>
      <c r="AB94" s="57"/>
      <c r="AC94" s="59"/>
      <c r="AD94" s="59"/>
      <c r="AE94" s="102"/>
      <c r="AF94" s="102"/>
      <c r="AG94" s="59"/>
      <c r="AH94" s="59"/>
      <c r="AI94" s="53"/>
    </row>
    <row r="95" spans="2:35" ht="14.25" customHeight="1" x14ac:dyDescent="0.2">
      <c r="B95" s="51"/>
      <c r="C95" s="61"/>
      <c r="D95" s="51"/>
      <c r="E95" s="51"/>
      <c r="F95" s="51"/>
      <c r="G95" s="51"/>
      <c r="H95" s="52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Z95" s="51"/>
      <c r="AA95" s="51"/>
      <c r="AB95" s="57"/>
      <c r="AC95" s="59"/>
      <c r="AD95" s="59"/>
      <c r="AE95" s="102"/>
      <c r="AF95" s="102"/>
      <c r="AG95" s="59"/>
      <c r="AH95" s="59"/>
      <c r="AI95" s="53"/>
    </row>
    <row r="96" spans="2:35" ht="14.25" customHeight="1" x14ac:dyDescent="0.2">
      <c r="B96" s="51"/>
      <c r="C96" s="61"/>
      <c r="D96" s="51"/>
      <c r="E96" s="51"/>
      <c r="F96" s="51"/>
      <c r="G96" s="51"/>
      <c r="H96" s="52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Z96" s="51"/>
      <c r="AA96" s="51"/>
      <c r="AB96" s="57"/>
      <c r="AC96" s="59"/>
      <c r="AD96" s="59"/>
      <c r="AE96" s="102"/>
      <c r="AF96" s="102"/>
      <c r="AG96" s="59"/>
      <c r="AH96" s="59"/>
      <c r="AI96" s="53"/>
    </row>
    <row r="97" spans="2:35" ht="14.25" customHeight="1" x14ac:dyDescent="0.2">
      <c r="B97" s="51"/>
      <c r="C97" s="61"/>
      <c r="D97" s="51"/>
      <c r="E97" s="51"/>
      <c r="F97" s="51"/>
      <c r="G97" s="51"/>
      <c r="H97" s="52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Z97" s="51"/>
      <c r="AA97" s="51"/>
      <c r="AB97" s="57"/>
      <c r="AC97" s="59"/>
      <c r="AD97" s="59"/>
      <c r="AE97" s="102"/>
      <c r="AF97" s="102"/>
      <c r="AG97" s="59"/>
      <c r="AH97" s="59"/>
      <c r="AI97" s="53"/>
    </row>
    <row r="98" spans="2:35" ht="14.25" customHeight="1" x14ac:dyDescent="0.2">
      <c r="B98" s="51"/>
      <c r="C98" s="61"/>
      <c r="D98" s="51"/>
      <c r="E98" s="51"/>
      <c r="F98" s="51"/>
      <c r="G98" s="51"/>
      <c r="H98" s="52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Z98" s="51"/>
      <c r="AA98" s="51"/>
      <c r="AB98" s="57"/>
      <c r="AC98" s="59"/>
      <c r="AD98" s="59"/>
      <c r="AE98" s="102"/>
      <c r="AF98" s="102"/>
      <c r="AG98" s="59"/>
      <c r="AH98" s="59"/>
      <c r="AI98" s="53"/>
    </row>
    <row r="99" spans="2:35" ht="14.25" customHeight="1" x14ac:dyDescent="0.2">
      <c r="B99" s="51"/>
      <c r="C99" s="61"/>
      <c r="D99" s="51"/>
      <c r="E99" s="51"/>
      <c r="F99" s="51"/>
      <c r="G99" s="51"/>
      <c r="H99" s="52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Z99" s="51"/>
      <c r="AA99" s="51"/>
      <c r="AB99" s="57"/>
      <c r="AC99" s="59"/>
      <c r="AD99" s="59"/>
      <c r="AE99" s="102"/>
      <c r="AF99" s="102"/>
      <c r="AG99" s="59"/>
      <c r="AH99" s="59"/>
      <c r="AI99" s="53"/>
    </row>
    <row r="100" spans="2:35" ht="14.25" customHeight="1" x14ac:dyDescent="0.2">
      <c r="B100" s="51"/>
      <c r="C100" s="61"/>
      <c r="D100" s="51"/>
      <c r="E100" s="51"/>
      <c r="F100" s="51"/>
      <c r="G100" s="51"/>
      <c r="H100" s="52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Z100" s="51"/>
      <c r="AA100" s="51"/>
      <c r="AB100" s="57"/>
      <c r="AC100" s="59"/>
      <c r="AD100" s="59"/>
      <c r="AE100" s="102"/>
      <c r="AF100" s="102"/>
      <c r="AG100" s="59"/>
      <c r="AH100" s="59"/>
      <c r="AI100" s="53"/>
    </row>
    <row r="101" spans="2:35" ht="14.25" customHeight="1" x14ac:dyDescent="0.2">
      <c r="B101" s="51"/>
      <c r="C101" s="61"/>
      <c r="D101" s="51"/>
      <c r="E101" s="51"/>
      <c r="F101" s="51"/>
      <c r="G101" s="51"/>
      <c r="H101" s="52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Z101" s="51"/>
      <c r="AA101" s="51"/>
      <c r="AB101" s="57"/>
      <c r="AC101" s="59"/>
      <c r="AD101" s="59"/>
      <c r="AE101" s="102"/>
      <c r="AF101" s="102"/>
      <c r="AG101" s="59"/>
      <c r="AH101" s="59"/>
      <c r="AI101" s="53"/>
    </row>
    <row r="102" spans="2:35" ht="14.25" customHeight="1" x14ac:dyDescent="0.2">
      <c r="B102" s="51"/>
      <c r="C102" s="61"/>
      <c r="D102" s="51"/>
      <c r="E102" s="51"/>
      <c r="F102" s="51"/>
      <c r="G102" s="51"/>
      <c r="H102" s="52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Z102" s="51"/>
      <c r="AA102" s="51"/>
      <c r="AB102" s="57"/>
      <c r="AC102" s="59"/>
      <c r="AD102" s="59"/>
      <c r="AE102" s="102"/>
      <c r="AF102" s="102"/>
      <c r="AG102" s="59"/>
      <c r="AH102" s="59"/>
      <c r="AI102" s="53"/>
    </row>
    <row r="103" spans="2:35" ht="14.25" customHeight="1" x14ac:dyDescent="0.2">
      <c r="B103" s="51"/>
      <c r="C103" s="61"/>
      <c r="D103" s="51"/>
      <c r="E103" s="51"/>
      <c r="F103" s="51"/>
      <c r="G103" s="51"/>
      <c r="H103" s="52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Z103" s="51"/>
      <c r="AA103" s="51"/>
      <c r="AB103" s="57"/>
      <c r="AC103" s="59"/>
      <c r="AD103" s="59"/>
      <c r="AE103" s="102"/>
      <c r="AF103" s="102"/>
      <c r="AG103" s="59"/>
      <c r="AH103" s="59"/>
      <c r="AI103" s="53"/>
    </row>
    <row r="104" spans="2:35" ht="14.25" customHeight="1" x14ac:dyDescent="0.2">
      <c r="B104" s="51"/>
      <c r="C104" s="61"/>
      <c r="D104" s="51"/>
      <c r="E104" s="51"/>
      <c r="F104" s="51"/>
      <c r="G104" s="51"/>
      <c r="H104" s="52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Z104" s="51"/>
      <c r="AA104" s="51"/>
      <c r="AB104" s="57"/>
      <c r="AC104" s="59"/>
      <c r="AD104" s="59"/>
      <c r="AE104" s="102"/>
      <c r="AF104" s="102"/>
      <c r="AG104" s="59"/>
      <c r="AH104" s="59"/>
      <c r="AI104" s="53"/>
    </row>
    <row r="105" spans="2:35" ht="14.25" customHeight="1" x14ac:dyDescent="0.2">
      <c r="B105" s="51"/>
      <c r="C105" s="61"/>
      <c r="D105" s="51"/>
      <c r="E105" s="51"/>
      <c r="F105" s="51"/>
      <c r="G105" s="51"/>
      <c r="H105" s="52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Z105" s="51"/>
      <c r="AA105" s="51"/>
      <c r="AB105" s="57"/>
      <c r="AC105" s="59"/>
      <c r="AD105" s="59"/>
      <c r="AE105" s="102"/>
      <c r="AF105" s="102"/>
      <c r="AG105" s="59"/>
      <c r="AH105" s="59"/>
      <c r="AI105" s="53"/>
    </row>
    <row r="106" spans="2:35" ht="14.25" customHeight="1" x14ac:dyDescent="0.2">
      <c r="B106" s="51"/>
      <c r="C106" s="61"/>
      <c r="D106" s="51"/>
      <c r="E106" s="51"/>
      <c r="F106" s="51"/>
      <c r="G106" s="51"/>
      <c r="H106" s="52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Z106" s="51"/>
      <c r="AA106" s="51"/>
      <c r="AB106" s="57"/>
      <c r="AC106" s="59"/>
      <c r="AD106" s="59"/>
      <c r="AE106" s="102"/>
      <c r="AF106" s="102"/>
      <c r="AG106" s="59"/>
      <c r="AH106" s="59"/>
      <c r="AI106" s="53"/>
    </row>
    <row r="107" spans="2:35" ht="14.25" customHeight="1" x14ac:dyDescent="0.2">
      <c r="B107" s="51"/>
      <c r="C107" s="61"/>
      <c r="D107" s="51"/>
      <c r="E107" s="51"/>
      <c r="F107" s="51"/>
      <c r="G107" s="51"/>
      <c r="H107" s="52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Z107" s="51"/>
      <c r="AA107" s="51"/>
      <c r="AB107" s="57"/>
      <c r="AC107" s="59"/>
      <c r="AD107" s="59"/>
      <c r="AE107" s="102"/>
      <c r="AF107" s="102"/>
      <c r="AG107" s="59"/>
      <c r="AH107" s="59"/>
      <c r="AI107" s="53"/>
    </row>
    <row r="108" spans="2:35" ht="14.25" customHeight="1" x14ac:dyDescent="0.2">
      <c r="B108" s="51"/>
      <c r="C108" s="61"/>
      <c r="D108" s="51"/>
      <c r="E108" s="51"/>
      <c r="F108" s="51"/>
      <c r="G108" s="51"/>
      <c r="H108" s="52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Z108" s="51"/>
      <c r="AA108" s="51"/>
      <c r="AB108" s="57"/>
      <c r="AC108" s="59"/>
      <c r="AD108" s="59"/>
      <c r="AE108" s="102"/>
      <c r="AF108" s="102"/>
      <c r="AG108" s="59"/>
      <c r="AH108" s="59"/>
      <c r="AI108" s="53"/>
    </row>
    <row r="109" spans="2:35" ht="14.25" customHeight="1" x14ac:dyDescent="0.2">
      <c r="B109" s="51"/>
      <c r="C109" s="61"/>
      <c r="D109" s="51"/>
      <c r="E109" s="51"/>
      <c r="F109" s="51"/>
      <c r="G109" s="51"/>
      <c r="H109" s="52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Z109" s="51"/>
      <c r="AA109" s="51"/>
      <c r="AB109" s="57"/>
      <c r="AC109" s="59"/>
      <c r="AD109" s="59"/>
      <c r="AE109" s="102"/>
      <c r="AF109" s="102"/>
      <c r="AG109" s="59"/>
      <c r="AH109" s="59"/>
      <c r="AI109" s="53"/>
    </row>
    <row r="110" spans="2:35" ht="14.25" customHeight="1" x14ac:dyDescent="0.2">
      <c r="B110" s="51"/>
      <c r="C110" s="61"/>
      <c r="D110" s="51"/>
      <c r="E110" s="51"/>
      <c r="F110" s="51"/>
      <c r="G110" s="51"/>
      <c r="H110" s="52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Z110" s="51"/>
      <c r="AA110" s="51"/>
      <c r="AB110" s="57"/>
      <c r="AC110" s="59"/>
      <c r="AD110" s="59"/>
      <c r="AE110" s="102"/>
      <c r="AF110" s="102"/>
      <c r="AG110" s="59"/>
      <c r="AH110" s="59"/>
      <c r="AI110" s="53"/>
    </row>
    <row r="111" spans="2:35" ht="14.25" customHeight="1" x14ac:dyDescent="0.2">
      <c r="B111" s="51"/>
      <c r="C111" s="61"/>
      <c r="D111" s="51"/>
      <c r="E111" s="51"/>
      <c r="F111" s="51"/>
      <c r="G111" s="51"/>
      <c r="H111" s="52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Z111" s="51"/>
      <c r="AA111" s="51"/>
      <c r="AB111" s="57"/>
      <c r="AC111" s="59"/>
      <c r="AD111" s="59"/>
      <c r="AE111" s="102"/>
      <c r="AF111" s="102"/>
      <c r="AG111" s="59"/>
      <c r="AH111" s="59"/>
      <c r="AI111" s="53"/>
    </row>
    <row r="112" spans="2:35" ht="14.25" customHeight="1" x14ac:dyDescent="0.2">
      <c r="B112" s="51"/>
      <c r="C112" s="61"/>
      <c r="D112" s="51"/>
      <c r="E112" s="51"/>
      <c r="F112" s="51"/>
      <c r="G112" s="51"/>
      <c r="H112" s="52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Z112" s="51"/>
      <c r="AA112" s="51"/>
      <c r="AB112" s="57"/>
      <c r="AC112" s="59"/>
      <c r="AD112" s="59"/>
      <c r="AE112" s="102"/>
      <c r="AF112" s="102"/>
      <c r="AG112" s="59"/>
      <c r="AH112" s="59"/>
      <c r="AI112" s="53"/>
    </row>
    <row r="113" spans="2:35" ht="14.25" customHeight="1" x14ac:dyDescent="0.2">
      <c r="B113" s="51"/>
      <c r="C113" s="61"/>
      <c r="D113" s="51"/>
      <c r="E113" s="51"/>
      <c r="F113" s="51"/>
      <c r="G113" s="51"/>
      <c r="H113" s="52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Z113" s="51"/>
      <c r="AA113" s="51"/>
      <c r="AB113" s="57"/>
      <c r="AC113" s="59"/>
      <c r="AD113" s="59"/>
      <c r="AE113" s="102"/>
      <c r="AF113" s="102"/>
      <c r="AG113" s="59"/>
      <c r="AH113" s="59"/>
      <c r="AI113" s="53"/>
    </row>
    <row r="114" spans="2:35" ht="14.25" customHeight="1" x14ac:dyDescent="0.2">
      <c r="B114" s="51"/>
      <c r="C114" s="61"/>
      <c r="D114" s="51"/>
      <c r="E114" s="51"/>
      <c r="F114" s="51"/>
      <c r="G114" s="51"/>
      <c r="H114" s="52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Z114" s="51"/>
      <c r="AA114" s="51"/>
      <c r="AB114" s="57"/>
      <c r="AC114" s="59"/>
      <c r="AD114" s="59"/>
      <c r="AE114" s="102"/>
      <c r="AF114" s="102"/>
      <c r="AG114" s="59"/>
      <c r="AH114" s="59"/>
      <c r="AI114" s="53"/>
    </row>
    <row r="115" spans="2:35" ht="14.25" customHeight="1" x14ac:dyDescent="0.2">
      <c r="B115" s="51"/>
      <c r="C115" s="61"/>
      <c r="D115" s="51"/>
      <c r="E115" s="51"/>
      <c r="F115" s="51"/>
      <c r="G115" s="51"/>
      <c r="H115" s="52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Z115" s="51"/>
      <c r="AA115" s="51"/>
      <c r="AB115" s="57"/>
      <c r="AC115" s="59"/>
      <c r="AD115" s="59"/>
      <c r="AE115" s="102"/>
      <c r="AF115" s="102"/>
      <c r="AG115" s="59"/>
      <c r="AH115" s="59"/>
      <c r="AI115" s="53"/>
    </row>
    <row r="116" spans="2:35" ht="14.25" customHeight="1" x14ac:dyDescent="0.2">
      <c r="B116" s="51"/>
      <c r="C116" s="61"/>
      <c r="D116" s="51"/>
      <c r="E116" s="51"/>
      <c r="F116" s="51"/>
      <c r="G116" s="51"/>
      <c r="H116" s="52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Z116" s="51"/>
      <c r="AA116" s="51"/>
      <c r="AB116" s="57"/>
      <c r="AC116" s="59"/>
      <c r="AD116" s="59"/>
      <c r="AE116" s="102"/>
      <c r="AF116" s="102"/>
      <c r="AG116" s="59"/>
      <c r="AH116" s="59"/>
      <c r="AI116" s="53"/>
    </row>
    <row r="117" spans="2:35" ht="14.25" customHeight="1" x14ac:dyDescent="0.2">
      <c r="B117" s="51"/>
      <c r="C117" s="61"/>
      <c r="D117" s="51"/>
      <c r="E117" s="51"/>
      <c r="F117" s="51"/>
      <c r="G117" s="51"/>
      <c r="H117" s="52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Z117" s="51"/>
      <c r="AA117" s="51"/>
      <c r="AB117" s="57"/>
      <c r="AC117" s="59"/>
      <c r="AD117" s="59"/>
      <c r="AE117" s="102"/>
      <c r="AF117" s="102"/>
      <c r="AG117" s="59"/>
      <c r="AH117" s="59"/>
      <c r="AI117" s="53"/>
    </row>
    <row r="118" spans="2:35" ht="14.25" customHeight="1" x14ac:dyDescent="0.2">
      <c r="B118" s="51"/>
      <c r="C118" s="61"/>
      <c r="D118" s="51"/>
      <c r="E118" s="51"/>
      <c r="F118" s="51"/>
      <c r="G118" s="51"/>
      <c r="H118" s="52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Z118" s="51"/>
      <c r="AA118" s="51"/>
      <c r="AB118" s="57"/>
      <c r="AC118" s="59"/>
      <c r="AD118" s="59"/>
      <c r="AE118" s="102"/>
      <c r="AF118" s="102"/>
      <c r="AG118" s="59"/>
      <c r="AH118" s="59"/>
      <c r="AI118" s="53"/>
    </row>
    <row r="119" spans="2:35" ht="14.25" customHeight="1" x14ac:dyDescent="0.2">
      <c r="B119" s="51"/>
      <c r="C119" s="61"/>
      <c r="D119" s="51"/>
      <c r="E119" s="51"/>
      <c r="F119" s="51"/>
      <c r="G119" s="51"/>
      <c r="H119" s="52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Z119" s="51"/>
      <c r="AA119" s="51"/>
      <c r="AB119" s="57"/>
      <c r="AC119" s="59"/>
      <c r="AD119" s="59"/>
      <c r="AE119" s="102"/>
      <c r="AF119" s="102"/>
      <c r="AG119" s="59"/>
      <c r="AH119" s="59"/>
      <c r="AI119" s="53"/>
    </row>
    <row r="120" spans="2:35" ht="14.25" customHeight="1" x14ac:dyDescent="0.2">
      <c r="B120" s="51"/>
      <c r="C120" s="61"/>
      <c r="D120" s="51"/>
      <c r="E120" s="51"/>
      <c r="F120" s="51"/>
      <c r="G120" s="51"/>
      <c r="H120" s="52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Z120" s="51"/>
      <c r="AA120" s="51"/>
      <c r="AB120" s="57"/>
      <c r="AC120" s="59"/>
      <c r="AD120" s="59"/>
      <c r="AE120" s="102"/>
      <c r="AF120" s="102"/>
      <c r="AG120" s="59"/>
      <c r="AH120" s="59"/>
      <c r="AI120" s="53"/>
    </row>
    <row r="121" spans="2:35" ht="14.25" customHeight="1" x14ac:dyDescent="0.2">
      <c r="B121" s="51"/>
      <c r="C121" s="61"/>
      <c r="D121" s="51"/>
      <c r="E121" s="51"/>
      <c r="F121" s="51"/>
      <c r="G121" s="51"/>
      <c r="H121" s="52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Z121" s="51"/>
      <c r="AA121" s="51"/>
      <c r="AB121" s="57"/>
      <c r="AC121" s="59"/>
      <c r="AD121" s="59"/>
      <c r="AE121" s="102"/>
      <c r="AF121" s="102"/>
      <c r="AG121" s="59"/>
      <c r="AH121" s="59"/>
      <c r="AI121" s="53"/>
    </row>
    <row r="122" spans="2:35" ht="14.25" customHeight="1" x14ac:dyDescent="0.2">
      <c r="B122" s="51"/>
      <c r="C122" s="61"/>
      <c r="D122" s="51"/>
      <c r="E122" s="51"/>
      <c r="F122" s="51"/>
      <c r="G122" s="51"/>
      <c r="H122" s="52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Z122" s="51"/>
      <c r="AA122" s="51"/>
      <c r="AB122" s="57"/>
      <c r="AC122" s="59"/>
      <c r="AD122" s="59"/>
      <c r="AE122" s="102"/>
      <c r="AF122" s="102"/>
      <c r="AG122" s="59"/>
      <c r="AH122" s="59"/>
      <c r="AI122" s="53"/>
    </row>
    <row r="123" spans="2:35" ht="14.25" customHeight="1" x14ac:dyDescent="0.2">
      <c r="B123" s="51"/>
      <c r="C123" s="61"/>
      <c r="D123" s="51"/>
      <c r="E123" s="51"/>
      <c r="F123" s="51"/>
      <c r="G123" s="51"/>
      <c r="H123" s="52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Z123" s="51"/>
      <c r="AA123" s="51"/>
      <c r="AB123" s="57"/>
      <c r="AC123" s="59"/>
      <c r="AD123" s="59"/>
      <c r="AE123" s="102"/>
      <c r="AF123" s="102"/>
      <c r="AG123" s="59"/>
      <c r="AH123" s="59"/>
      <c r="AI123" s="53"/>
    </row>
    <row r="124" spans="2:35" ht="14.25" customHeight="1" x14ac:dyDescent="0.2">
      <c r="B124" s="51"/>
      <c r="C124" s="61"/>
      <c r="D124" s="51"/>
      <c r="E124" s="51"/>
      <c r="F124" s="51"/>
      <c r="G124" s="51"/>
      <c r="H124" s="52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Z124" s="51"/>
      <c r="AA124" s="51"/>
      <c r="AB124" s="57"/>
      <c r="AC124" s="59"/>
      <c r="AD124" s="59"/>
      <c r="AE124" s="102"/>
      <c r="AF124" s="102"/>
      <c r="AG124" s="59"/>
      <c r="AH124" s="59"/>
      <c r="AI124" s="53"/>
    </row>
    <row r="125" spans="2:35" ht="14.25" customHeight="1" x14ac:dyDescent="0.2">
      <c r="B125" s="51"/>
      <c r="C125" s="61"/>
      <c r="D125" s="51"/>
      <c r="E125" s="51"/>
      <c r="F125" s="51"/>
      <c r="G125" s="51"/>
      <c r="H125" s="52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Z125" s="51"/>
      <c r="AA125" s="51"/>
      <c r="AB125" s="57"/>
      <c r="AC125" s="59"/>
      <c r="AD125" s="59"/>
      <c r="AE125" s="102"/>
      <c r="AF125" s="102"/>
      <c r="AG125" s="59"/>
      <c r="AH125" s="59"/>
      <c r="AI125" s="53"/>
    </row>
    <row r="126" spans="2:35" ht="14.25" customHeight="1" x14ac:dyDescent="0.2">
      <c r="B126" s="51"/>
      <c r="C126" s="61"/>
      <c r="D126" s="51"/>
      <c r="E126" s="51"/>
      <c r="F126" s="51"/>
      <c r="G126" s="51"/>
      <c r="H126" s="52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Z126" s="51"/>
      <c r="AA126" s="51"/>
      <c r="AB126" s="57"/>
      <c r="AC126" s="59"/>
      <c r="AD126" s="59"/>
      <c r="AE126" s="102"/>
      <c r="AF126" s="102"/>
      <c r="AG126" s="59"/>
      <c r="AH126" s="59"/>
      <c r="AI126" s="53"/>
    </row>
    <row r="127" spans="2:35" ht="14.25" customHeight="1" x14ac:dyDescent="0.2">
      <c r="B127" s="51"/>
      <c r="C127" s="61"/>
      <c r="D127" s="51"/>
      <c r="E127" s="51"/>
      <c r="F127" s="51"/>
      <c r="G127" s="51"/>
      <c r="H127" s="52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Z127" s="51"/>
      <c r="AA127" s="51"/>
      <c r="AB127" s="57"/>
      <c r="AC127" s="59"/>
      <c r="AD127" s="59"/>
      <c r="AE127" s="102"/>
      <c r="AF127" s="102"/>
      <c r="AG127" s="59"/>
      <c r="AH127" s="59"/>
      <c r="AI127" s="53"/>
    </row>
    <row r="128" spans="2:35" ht="14.25" customHeight="1" x14ac:dyDescent="0.2">
      <c r="B128" s="51"/>
      <c r="C128" s="61"/>
      <c r="D128" s="51"/>
      <c r="E128" s="51"/>
      <c r="F128" s="51"/>
      <c r="G128" s="51"/>
      <c r="H128" s="52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Z128" s="51"/>
      <c r="AA128" s="51"/>
      <c r="AB128" s="57"/>
      <c r="AC128" s="59"/>
      <c r="AD128" s="59"/>
      <c r="AE128" s="102"/>
      <c r="AF128" s="102"/>
      <c r="AG128" s="59"/>
      <c r="AH128" s="59"/>
      <c r="AI128" s="53"/>
    </row>
    <row r="129" spans="2:35" ht="14.25" customHeight="1" x14ac:dyDescent="0.2">
      <c r="B129" s="51"/>
      <c r="C129" s="61"/>
      <c r="D129" s="51"/>
      <c r="E129" s="51"/>
      <c r="F129" s="51"/>
      <c r="G129" s="51"/>
      <c r="H129" s="52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Z129" s="51"/>
      <c r="AA129" s="51"/>
      <c r="AB129" s="57"/>
      <c r="AC129" s="59"/>
      <c r="AD129" s="59"/>
      <c r="AE129" s="102"/>
      <c r="AF129" s="102"/>
      <c r="AG129" s="59"/>
      <c r="AH129" s="59"/>
      <c r="AI129" s="53"/>
    </row>
    <row r="130" spans="2:35" ht="14.25" customHeight="1" x14ac:dyDescent="0.2">
      <c r="B130" s="51"/>
      <c r="C130" s="61"/>
      <c r="D130" s="51"/>
      <c r="E130" s="51"/>
      <c r="F130" s="51"/>
      <c r="G130" s="51"/>
      <c r="H130" s="52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Z130" s="51"/>
      <c r="AA130" s="51"/>
      <c r="AB130" s="57"/>
      <c r="AC130" s="59"/>
      <c r="AD130" s="59"/>
      <c r="AE130" s="102"/>
      <c r="AF130" s="102"/>
      <c r="AG130" s="59"/>
      <c r="AH130" s="59"/>
      <c r="AI130" s="53"/>
    </row>
    <row r="131" spans="2:35" ht="14.25" customHeight="1" x14ac:dyDescent="0.2">
      <c r="B131" s="51"/>
      <c r="C131" s="61"/>
      <c r="D131" s="51"/>
      <c r="E131" s="51"/>
      <c r="F131" s="51"/>
      <c r="G131" s="51"/>
      <c r="H131" s="52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Z131" s="51"/>
      <c r="AA131" s="51"/>
      <c r="AB131" s="57"/>
      <c r="AC131" s="59"/>
      <c r="AD131" s="59"/>
      <c r="AE131" s="102"/>
      <c r="AF131" s="102"/>
      <c r="AG131" s="59"/>
      <c r="AH131" s="59"/>
      <c r="AI131" s="53"/>
    </row>
    <row r="132" spans="2:35" ht="14.25" customHeight="1" x14ac:dyDescent="0.2">
      <c r="B132" s="51"/>
      <c r="C132" s="61"/>
      <c r="D132" s="51"/>
      <c r="E132" s="51"/>
      <c r="F132" s="51"/>
      <c r="G132" s="51"/>
      <c r="H132" s="52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Z132" s="51"/>
      <c r="AA132" s="51"/>
      <c r="AB132" s="57"/>
      <c r="AC132" s="59"/>
      <c r="AD132" s="59"/>
      <c r="AE132" s="102"/>
      <c r="AF132" s="102"/>
      <c r="AG132" s="59"/>
      <c r="AH132" s="59"/>
      <c r="AI132" s="53"/>
    </row>
    <row r="133" spans="2:35" ht="14.25" customHeight="1" x14ac:dyDescent="0.2">
      <c r="B133" s="51"/>
      <c r="C133" s="61"/>
      <c r="D133" s="51"/>
      <c r="E133" s="51"/>
      <c r="F133" s="51"/>
      <c r="G133" s="51"/>
      <c r="H133" s="52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Z133" s="51"/>
      <c r="AA133" s="51"/>
      <c r="AB133" s="57"/>
      <c r="AC133" s="59"/>
      <c r="AD133" s="59"/>
      <c r="AE133" s="102"/>
      <c r="AF133" s="102"/>
      <c r="AG133" s="59"/>
      <c r="AH133" s="59"/>
      <c r="AI133" s="53"/>
    </row>
    <row r="134" spans="2:35" ht="14.25" customHeight="1" x14ac:dyDescent="0.2">
      <c r="B134" s="51"/>
      <c r="C134" s="61"/>
      <c r="D134" s="51"/>
      <c r="E134" s="51"/>
      <c r="F134" s="51"/>
      <c r="G134" s="51"/>
      <c r="H134" s="52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Z134" s="51"/>
      <c r="AA134" s="51"/>
      <c r="AB134" s="57"/>
      <c r="AC134" s="59"/>
      <c r="AD134" s="59"/>
      <c r="AE134" s="102"/>
      <c r="AF134" s="102"/>
      <c r="AG134" s="59"/>
      <c r="AH134" s="59"/>
      <c r="AI134" s="53"/>
    </row>
    <row r="135" spans="2:35" ht="14.25" customHeight="1" x14ac:dyDescent="0.2">
      <c r="B135" s="51"/>
      <c r="C135" s="61"/>
      <c r="D135" s="51"/>
      <c r="E135" s="51"/>
      <c r="F135" s="51"/>
      <c r="G135" s="51"/>
      <c r="H135" s="52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Z135" s="51"/>
      <c r="AA135" s="51"/>
      <c r="AB135" s="57"/>
      <c r="AC135" s="59"/>
      <c r="AD135" s="59"/>
      <c r="AE135" s="102"/>
      <c r="AF135" s="102"/>
      <c r="AG135" s="59"/>
      <c r="AH135" s="59"/>
      <c r="AI135" s="53"/>
    </row>
    <row r="136" spans="2:35" ht="14.25" customHeight="1" x14ac:dyDescent="0.2">
      <c r="B136" s="51"/>
      <c r="C136" s="61"/>
      <c r="D136" s="51"/>
      <c r="E136" s="51"/>
      <c r="F136" s="51"/>
      <c r="G136" s="51"/>
      <c r="H136" s="52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Z136" s="51"/>
      <c r="AA136" s="51"/>
      <c r="AB136" s="57"/>
      <c r="AC136" s="59"/>
      <c r="AD136" s="59"/>
      <c r="AE136" s="102"/>
      <c r="AF136" s="102"/>
      <c r="AG136" s="59"/>
      <c r="AH136" s="59"/>
      <c r="AI136" s="53"/>
    </row>
    <row r="137" spans="2:35" ht="14.25" customHeight="1" x14ac:dyDescent="0.2">
      <c r="B137" s="51"/>
      <c r="C137" s="61"/>
      <c r="D137" s="51"/>
      <c r="E137" s="51"/>
      <c r="F137" s="51"/>
      <c r="G137" s="51"/>
      <c r="H137" s="52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Z137" s="51"/>
      <c r="AA137" s="51"/>
      <c r="AB137" s="57"/>
      <c r="AC137" s="59"/>
      <c r="AD137" s="59"/>
      <c r="AE137" s="102"/>
      <c r="AF137" s="102"/>
      <c r="AG137" s="59"/>
      <c r="AH137" s="59"/>
      <c r="AI137" s="53"/>
    </row>
    <row r="138" spans="2:35" ht="14.25" customHeight="1" x14ac:dyDescent="0.2">
      <c r="B138" s="51"/>
      <c r="C138" s="61"/>
      <c r="D138" s="51"/>
      <c r="E138" s="51"/>
      <c r="F138" s="51"/>
      <c r="G138" s="51"/>
      <c r="H138" s="52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Z138" s="51"/>
      <c r="AA138" s="51"/>
      <c r="AB138" s="57"/>
      <c r="AC138" s="59"/>
      <c r="AD138" s="59"/>
      <c r="AE138" s="102"/>
      <c r="AF138" s="102"/>
      <c r="AG138" s="59"/>
      <c r="AH138" s="59"/>
      <c r="AI138" s="53"/>
    </row>
    <row r="139" spans="2:35" ht="14.25" customHeight="1" x14ac:dyDescent="0.2">
      <c r="B139" s="51"/>
      <c r="C139" s="61"/>
      <c r="D139" s="51"/>
      <c r="E139" s="51"/>
      <c r="F139" s="51"/>
      <c r="G139" s="51"/>
      <c r="H139" s="52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Z139" s="51"/>
      <c r="AA139" s="51"/>
      <c r="AB139" s="57"/>
      <c r="AC139" s="59"/>
      <c r="AD139" s="59"/>
      <c r="AE139" s="102"/>
      <c r="AF139" s="102"/>
      <c r="AG139" s="59"/>
      <c r="AH139" s="59"/>
      <c r="AI139" s="53"/>
    </row>
    <row r="140" spans="2:35" ht="14.25" customHeight="1" x14ac:dyDescent="0.2">
      <c r="B140" s="51"/>
      <c r="C140" s="61"/>
      <c r="D140" s="51"/>
      <c r="E140" s="51"/>
      <c r="F140" s="51"/>
      <c r="G140" s="51"/>
      <c r="H140" s="52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Z140" s="51"/>
      <c r="AA140" s="51"/>
      <c r="AB140" s="57"/>
      <c r="AC140" s="59"/>
      <c r="AD140" s="59"/>
      <c r="AE140" s="102"/>
      <c r="AF140" s="102"/>
      <c r="AG140" s="59"/>
      <c r="AH140" s="59"/>
      <c r="AI140" s="53"/>
    </row>
    <row r="141" spans="2:35" ht="14.25" customHeight="1" x14ac:dyDescent="0.2">
      <c r="B141" s="51"/>
      <c r="C141" s="61"/>
      <c r="D141" s="51"/>
      <c r="E141" s="51"/>
      <c r="F141" s="51"/>
      <c r="G141" s="51"/>
      <c r="H141" s="52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Z141" s="51"/>
      <c r="AA141" s="51"/>
      <c r="AB141" s="57"/>
      <c r="AC141" s="59"/>
      <c r="AD141" s="59"/>
      <c r="AE141" s="102"/>
      <c r="AF141" s="102"/>
      <c r="AG141" s="59"/>
      <c r="AH141" s="59"/>
      <c r="AI141" s="53"/>
    </row>
    <row r="142" spans="2:35" ht="14.25" customHeight="1" x14ac:dyDescent="0.2">
      <c r="B142" s="51"/>
      <c r="C142" s="61"/>
      <c r="D142" s="51"/>
      <c r="E142" s="51"/>
      <c r="F142" s="51"/>
      <c r="G142" s="51"/>
      <c r="H142" s="52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Z142" s="51"/>
      <c r="AA142" s="51"/>
      <c r="AB142" s="57"/>
      <c r="AC142" s="59"/>
      <c r="AD142" s="59"/>
      <c r="AE142" s="102"/>
      <c r="AF142" s="102"/>
      <c r="AG142" s="59"/>
      <c r="AH142" s="59"/>
      <c r="AI142" s="53"/>
    </row>
    <row r="143" spans="2:35" ht="14.25" customHeight="1" x14ac:dyDescent="0.2">
      <c r="B143" s="51"/>
      <c r="C143" s="61"/>
      <c r="D143" s="51"/>
      <c r="E143" s="51"/>
      <c r="F143" s="51"/>
      <c r="G143" s="51"/>
      <c r="H143" s="52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Z143" s="51"/>
      <c r="AA143" s="51"/>
      <c r="AB143" s="57"/>
      <c r="AC143" s="59"/>
      <c r="AD143" s="59"/>
      <c r="AE143" s="102"/>
      <c r="AF143" s="102"/>
      <c r="AG143" s="59"/>
      <c r="AH143" s="59"/>
      <c r="AI143" s="53"/>
    </row>
    <row r="144" spans="2:35" ht="14.25" customHeight="1" x14ac:dyDescent="0.2">
      <c r="B144" s="51"/>
      <c r="C144" s="61"/>
      <c r="D144" s="51"/>
      <c r="E144" s="51"/>
      <c r="F144" s="51"/>
      <c r="G144" s="51"/>
      <c r="H144" s="52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Z144" s="51"/>
      <c r="AA144" s="51"/>
      <c r="AB144" s="57"/>
      <c r="AC144" s="59"/>
      <c r="AD144" s="59"/>
      <c r="AE144" s="102"/>
      <c r="AF144" s="102"/>
      <c r="AG144" s="59"/>
      <c r="AH144" s="59"/>
      <c r="AI144" s="53"/>
    </row>
    <row r="145" spans="2:35" ht="14.25" customHeight="1" x14ac:dyDescent="0.2">
      <c r="B145" s="51"/>
      <c r="C145" s="61"/>
      <c r="D145" s="51"/>
      <c r="E145" s="51"/>
      <c r="F145" s="51"/>
      <c r="G145" s="51"/>
      <c r="H145" s="52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Z145" s="51"/>
      <c r="AA145" s="51"/>
      <c r="AB145" s="57"/>
      <c r="AC145" s="59"/>
      <c r="AD145" s="59"/>
      <c r="AE145" s="102"/>
      <c r="AF145" s="102"/>
      <c r="AG145" s="59"/>
      <c r="AH145" s="59"/>
      <c r="AI145" s="53"/>
    </row>
    <row r="146" spans="2:35" ht="14.25" customHeight="1" x14ac:dyDescent="0.2">
      <c r="B146" s="51"/>
      <c r="C146" s="61"/>
      <c r="D146" s="51"/>
      <c r="E146" s="51"/>
      <c r="F146" s="51"/>
      <c r="G146" s="51"/>
      <c r="H146" s="52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Z146" s="51"/>
      <c r="AA146" s="51"/>
      <c r="AB146" s="57"/>
      <c r="AC146" s="59"/>
      <c r="AD146" s="59"/>
      <c r="AE146" s="102"/>
      <c r="AF146" s="102"/>
      <c r="AG146" s="59"/>
      <c r="AH146" s="59"/>
      <c r="AI146" s="53"/>
    </row>
    <row r="147" spans="2:35" ht="14.25" customHeight="1" x14ac:dyDescent="0.2">
      <c r="B147" s="51"/>
      <c r="C147" s="61"/>
      <c r="D147" s="51"/>
      <c r="E147" s="51"/>
      <c r="F147" s="51"/>
      <c r="G147" s="51"/>
      <c r="H147" s="52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Z147" s="51"/>
      <c r="AA147" s="51"/>
      <c r="AB147" s="57"/>
      <c r="AC147" s="59"/>
      <c r="AD147" s="59"/>
      <c r="AE147" s="102"/>
      <c r="AF147" s="102"/>
      <c r="AG147" s="59"/>
      <c r="AH147" s="59"/>
      <c r="AI147" s="53"/>
    </row>
    <row r="148" spans="2:35" ht="14.25" customHeight="1" x14ac:dyDescent="0.2">
      <c r="B148" s="51"/>
      <c r="C148" s="61"/>
      <c r="D148" s="51"/>
      <c r="E148" s="51"/>
      <c r="F148" s="51"/>
      <c r="G148" s="51"/>
      <c r="H148" s="52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Z148" s="51"/>
      <c r="AA148" s="51"/>
      <c r="AB148" s="57"/>
      <c r="AC148" s="59"/>
      <c r="AD148" s="59"/>
      <c r="AE148" s="102"/>
      <c r="AF148" s="102"/>
      <c r="AG148" s="59"/>
      <c r="AH148" s="59"/>
      <c r="AI148" s="53"/>
    </row>
    <row r="149" spans="2:35" ht="14.25" customHeight="1" x14ac:dyDescent="0.2">
      <c r="B149" s="51"/>
      <c r="C149" s="61"/>
      <c r="D149" s="51"/>
      <c r="E149" s="51"/>
      <c r="F149" s="51"/>
      <c r="G149" s="51"/>
      <c r="H149" s="52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Z149" s="51"/>
      <c r="AA149" s="51"/>
      <c r="AB149" s="57"/>
      <c r="AC149" s="59"/>
      <c r="AD149" s="59"/>
      <c r="AE149" s="102"/>
      <c r="AF149" s="102"/>
      <c r="AG149" s="59"/>
      <c r="AH149" s="59"/>
      <c r="AI149" s="53"/>
    </row>
    <row r="150" spans="2:35" ht="14.25" customHeight="1" x14ac:dyDescent="0.2">
      <c r="B150" s="51"/>
      <c r="C150" s="61"/>
      <c r="D150" s="51"/>
      <c r="E150" s="51"/>
      <c r="F150" s="51"/>
      <c r="G150" s="51"/>
      <c r="H150" s="52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Z150" s="51"/>
      <c r="AA150" s="51"/>
      <c r="AB150" s="57"/>
      <c r="AC150" s="59"/>
      <c r="AD150" s="59"/>
      <c r="AE150" s="102"/>
      <c r="AF150" s="102"/>
      <c r="AG150" s="59"/>
      <c r="AH150" s="59"/>
      <c r="AI150" s="53"/>
    </row>
    <row r="151" spans="2:35" ht="14.25" customHeight="1" x14ac:dyDescent="0.2">
      <c r="B151" s="51"/>
      <c r="C151" s="61"/>
      <c r="D151" s="51"/>
      <c r="E151" s="51"/>
      <c r="F151" s="51"/>
      <c r="G151" s="51"/>
      <c r="H151" s="52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Z151" s="51"/>
      <c r="AA151" s="51"/>
      <c r="AB151" s="57"/>
      <c r="AC151" s="59"/>
      <c r="AD151" s="59"/>
      <c r="AE151" s="102"/>
      <c r="AF151" s="102"/>
      <c r="AG151" s="59"/>
      <c r="AH151" s="59"/>
      <c r="AI151" s="53"/>
    </row>
    <row r="152" spans="2:35" ht="14.25" customHeight="1" x14ac:dyDescent="0.2">
      <c r="B152" s="51"/>
      <c r="C152" s="61"/>
      <c r="D152" s="51"/>
      <c r="E152" s="51"/>
      <c r="F152" s="51"/>
      <c r="G152" s="51"/>
      <c r="H152" s="52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Z152" s="51"/>
      <c r="AA152" s="51"/>
      <c r="AB152" s="57"/>
      <c r="AC152" s="59"/>
      <c r="AD152" s="59"/>
      <c r="AE152" s="102"/>
      <c r="AF152" s="102"/>
      <c r="AG152" s="59"/>
      <c r="AH152" s="59"/>
      <c r="AI152" s="53"/>
    </row>
    <row r="153" spans="2:35" ht="14.25" customHeight="1" x14ac:dyDescent="0.2">
      <c r="B153" s="51"/>
      <c r="C153" s="61"/>
      <c r="D153" s="51"/>
      <c r="E153" s="51"/>
      <c r="F153" s="51"/>
      <c r="G153" s="51"/>
      <c r="H153" s="52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Z153" s="51"/>
      <c r="AA153" s="51"/>
      <c r="AB153" s="57"/>
      <c r="AC153" s="59"/>
      <c r="AD153" s="59"/>
      <c r="AE153" s="102"/>
      <c r="AF153" s="102"/>
      <c r="AG153" s="59"/>
      <c r="AH153" s="59"/>
      <c r="AI153" s="53"/>
    </row>
    <row r="154" spans="2:35" ht="14.25" customHeight="1" x14ac:dyDescent="0.2">
      <c r="B154" s="51"/>
      <c r="C154" s="61"/>
      <c r="D154" s="51"/>
      <c r="E154" s="51"/>
      <c r="F154" s="51"/>
      <c r="G154" s="51"/>
      <c r="H154" s="52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Z154" s="51"/>
      <c r="AA154" s="51"/>
      <c r="AB154" s="57"/>
      <c r="AC154" s="59"/>
      <c r="AD154" s="59"/>
      <c r="AE154" s="102"/>
      <c r="AF154" s="102"/>
      <c r="AG154" s="59"/>
      <c r="AH154" s="59"/>
      <c r="AI154" s="53"/>
    </row>
    <row r="155" spans="2:35" ht="14.25" customHeight="1" x14ac:dyDescent="0.2">
      <c r="B155" s="51"/>
      <c r="C155" s="61"/>
      <c r="D155" s="51"/>
      <c r="E155" s="51"/>
      <c r="F155" s="51"/>
      <c r="G155" s="51"/>
      <c r="H155" s="52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Z155" s="51"/>
      <c r="AA155" s="51"/>
      <c r="AB155" s="57"/>
      <c r="AC155" s="59"/>
      <c r="AD155" s="59"/>
      <c r="AE155" s="102"/>
      <c r="AF155" s="102"/>
      <c r="AG155" s="59"/>
      <c r="AH155" s="59"/>
      <c r="AI155" s="53"/>
    </row>
    <row r="156" spans="2:35" ht="14.25" customHeight="1" x14ac:dyDescent="0.2">
      <c r="B156" s="51"/>
      <c r="C156" s="61"/>
      <c r="D156" s="51"/>
      <c r="E156" s="51"/>
      <c r="F156" s="51"/>
      <c r="G156" s="51"/>
      <c r="H156" s="52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Z156" s="51"/>
      <c r="AA156" s="51"/>
      <c r="AB156" s="57"/>
      <c r="AC156" s="59"/>
      <c r="AD156" s="59"/>
      <c r="AE156" s="102"/>
      <c r="AF156" s="102"/>
      <c r="AG156" s="59"/>
      <c r="AH156" s="59"/>
      <c r="AI156" s="53"/>
    </row>
    <row r="157" spans="2:35" ht="14.25" customHeight="1" x14ac:dyDescent="0.2">
      <c r="B157" s="51"/>
      <c r="C157" s="61"/>
      <c r="D157" s="51"/>
      <c r="E157" s="51"/>
      <c r="F157" s="51"/>
      <c r="G157" s="51"/>
      <c r="H157" s="52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Z157" s="51"/>
      <c r="AA157" s="51"/>
      <c r="AB157" s="57"/>
      <c r="AC157" s="59"/>
      <c r="AD157" s="59"/>
      <c r="AE157" s="102"/>
      <c r="AF157" s="102"/>
      <c r="AG157" s="59"/>
      <c r="AH157" s="59"/>
      <c r="AI157" s="53"/>
    </row>
    <row r="158" spans="2:35" ht="14.25" customHeight="1" x14ac:dyDescent="0.2">
      <c r="B158" s="51"/>
      <c r="C158" s="61"/>
      <c r="D158" s="51"/>
      <c r="E158" s="51"/>
      <c r="F158" s="51"/>
      <c r="G158" s="51"/>
      <c r="H158" s="52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Z158" s="51"/>
      <c r="AA158" s="51"/>
      <c r="AB158" s="57"/>
      <c r="AC158" s="59"/>
      <c r="AD158" s="59"/>
      <c r="AE158" s="102"/>
      <c r="AF158" s="102"/>
      <c r="AG158" s="59"/>
      <c r="AH158" s="59"/>
      <c r="AI158" s="53"/>
    </row>
    <row r="159" spans="2:35" ht="14.25" customHeight="1" x14ac:dyDescent="0.2">
      <c r="B159" s="51"/>
      <c r="C159" s="61"/>
      <c r="D159" s="51"/>
      <c r="E159" s="51"/>
      <c r="F159" s="51"/>
      <c r="G159" s="51"/>
      <c r="H159" s="52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Z159" s="51"/>
      <c r="AA159" s="51"/>
      <c r="AB159" s="57"/>
      <c r="AC159" s="59"/>
      <c r="AD159" s="59"/>
      <c r="AE159" s="102"/>
      <c r="AF159" s="102"/>
      <c r="AG159" s="59"/>
      <c r="AH159" s="59"/>
      <c r="AI159" s="53"/>
    </row>
    <row r="160" spans="2:35" ht="14.25" customHeight="1" x14ac:dyDescent="0.2">
      <c r="B160" s="51"/>
      <c r="C160" s="61"/>
      <c r="D160" s="51"/>
      <c r="E160" s="51"/>
      <c r="F160" s="51"/>
      <c r="G160" s="51"/>
      <c r="H160" s="52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Z160" s="51"/>
      <c r="AA160" s="51"/>
      <c r="AB160" s="57"/>
      <c r="AC160" s="59"/>
      <c r="AD160" s="59"/>
      <c r="AE160" s="102"/>
      <c r="AF160" s="102"/>
      <c r="AG160" s="59"/>
      <c r="AH160" s="59"/>
      <c r="AI160" s="53"/>
    </row>
    <row r="161" spans="2:35" ht="14.25" customHeight="1" x14ac:dyDescent="0.2">
      <c r="B161" s="51"/>
      <c r="C161" s="61"/>
      <c r="D161" s="51"/>
      <c r="E161" s="51"/>
      <c r="F161" s="51"/>
      <c r="G161" s="51"/>
      <c r="H161" s="52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Z161" s="51"/>
      <c r="AA161" s="51"/>
      <c r="AB161" s="57"/>
      <c r="AC161" s="59"/>
      <c r="AD161" s="59"/>
      <c r="AE161" s="102"/>
      <c r="AF161" s="102"/>
      <c r="AG161" s="59"/>
      <c r="AH161" s="59"/>
      <c r="AI161" s="53"/>
    </row>
    <row r="162" spans="2:35" ht="14.25" customHeight="1" x14ac:dyDescent="0.2">
      <c r="B162" s="51"/>
      <c r="C162" s="61"/>
      <c r="D162" s="51"/>
      <c r="E162" s="51"/>
      <c r="F162" s="51"/>
      <c r="G162" s="51"/>
      <c r="H162" s="52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Z162" s="51"/>
      <c r="AA162" s="51"/>
      <c r="AB162" s="57"/>
      <c r="AC162" s="59"/>
      <c r="AD162" s="59"/>
      <c r="AE162" s="102"/>
      <c r="AF162" s="102"/>
      <c r="AG162" s="59"/>
      <c r="AH162" s="59"/>
      <c r="AI162" s="53"/>
    </row>
    <row r="163" spans="2:35" ht="14.25" customHeight="1" x14ac:dyDescent="0.2">
      <c r="B163" s="51"/>
      <c r="C163" s="61"/>
      <c r="D163" s="51"/>
      <c r="E163" s="51"/>
      <c r="F163" s="51"/>
      <c r="G163" s="51"/>
      <c r="H163" s="52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Z163" s="51"/>
      <c r="AA163" s="51"/>
      <c r="AB163" s="57"/>
      <c r="AC163" s="59"/>
      <c r="AD163" s="59"/>
      <c r="AE163" s="102"/>
      <c r="AF163" s="102"/>
      <c r="AG163" s="59"/>
      <c r="AH163" s="59"/>
      <c r="AI163" s="53"/>
    </row>
    <row r="164" spans="2:35" ht="14.25" customHeight="1" x14ac:dyDescent="0.2">
      <c r="B164" s="51"/>
      <c r="C164" s="61"/>
      <c r="D164" s="51"/>
      <c r="E164" s="51"/>
      <c r="F164" s="51"/>
      <c r="G164" s="51"/>
      <c r="H164" s="52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Z164" s="51"/>
      <c r="AA164" s="51"/>
      <c r="AB164" s="57"/>
      <c r="AC164" s="59"/>
      <c r="AD164" s="59"/>
      <c r="AE164" s="102"/>
      <c r="AF164" s="102"/>
      <c r="AG164" s="59"/>
      <c r="AH164" s="59"/>
      <c r="AI164" s="53"/>
    </row>
    <row r="165" spans="2:35" ht="14.25" customHeight="1" x14ac:dyDescent="0.2">
      <c r="B165" s="51"/>
      <c r="C165" s="61"/>
      <c r="D165" s="51"/>
      <c r="E165" s="51"/>
      <c r="F165" s="51"/>
      <c r="G165" s="51"/>
      <c r="H165" s="52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Z165" s="51"/>
      <c r="AA165" s="51"/>
      <c r="AB165" s="57"/>
      <c r="AC165" s="59"/>
      <c r="AD165" s="59"/>
      <c r="AE165" s="102"/>
      <c r="AF165" s="102"/>
      <c r="AG165" s="59"/>
      <c r="AH165" s="59"/>
      <c r="AI165" s="53"/>
    </row>
    <row r="166" spans="2:35" ht="14.25" customHeight="1" x14ac:dyDescent="0.2">
      <c r="B166" s="51"/>
      <c r="C166" s="61"/>
      <c r="D166" s="51"/>
      <c r="E166" s="51"/>
      <c r="F166" s="51"/>
      <c r="G166" s="51"/>
      <c r="H166" s="52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Z166" s="51"/>
      <c r="AA166" s="51"/>
      <c r="AB166" s="57"/>
      <c r="AC166" s="59"/>
      <c r="AD166" s="59"/>
      <c r="AE166" s="102"/>
      <c r="AF166" s="102"/>
      <c r="AG166" s="59"/>
      <c r="AH166" s="59"/>
      <c r="AI166" s="53"/>
    </row>
    <row r="167" spans="2:35" ht="14.25" customHeight="1" x14ac:dyDescent="0.2">
      <c r="B167" s="51"/>
      <c r="C167" s="61"/>
      <c r="D167" s="51"/>
      <c r="E167" s="51"/>
      <c r="F167" s="51"/>
      <c r="G167" s="51"/>
      <c r="H167" s="52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Z167" s="51"/>
      <c r="AA167" s="51"/>
      <c r="AB167" s="57"/>
      <c r="AC167" s="59"/>
      <c r="AD167" s="59"/>
      <c r="AE167" s="102"/>
      <c r="AF167" s="102"/>
      <c r="AG167" s="59"/>
      <c r="AH167" s="59"/>
      <c r="AI167" s="53"/>
    </row>
    <row r="168" spans="2:35" ht="14.25" customHeight="1" x14ac:dyDescent="0.2">
      <c r="B168" s="51"/>
      <c r="C168" s="61"/>
      <c r="D168" s="51"/>
      <c r="E168" s="51"/>
      <c r="F168" s="51"/>
      <c r="G168" s="51"/>
      <c r="H168" s="52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Z168" s="51"/>
      <c r="AA168" s="51"/>
      <c r="AB168" s="57"/>
      <c r="AC168" s="59"/>
      <c r="AD168" s="59"/>
      <c r="AE168" s="102"/>
      <c r="AF168" s="102"/>
      <c r="AG168" s="59"/>
      <c r="AH168" s="59"/>
      <c r="AI168" s="53"/>
    </row>
    <row r="169" spans="2:35" ht="14.25" customHeight="1" x14ac:dyDescent="0.2">
      <c r="B169" s="51"/>
      <c r="C169" s="61"/>
      <c r="D169" s="51"/>
      <c r="E169" s="51"/>
      <c r="F169" s="51"/>
      <c r="G169" s="51"/>
      <c r="H169" s="52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Z169" s="51"/>
      <c r="AA169" s="51"/>
      <c r="AB169" s="57"/>
      <c r="AC169" s="59"/>
      <c r="AD169" s="59"/>
      <c r="AE169" s="102"/>
      <c r="AF169" s="102"/>
      <c r="AG169" s="59"/>
      <c r="AH169" s="59"/>
      <c r="AI169" s="53"/>
    </row>
    <row r="170" spans="2:35" ht="14.25" customHeight="1" x14ac:dyDescent="0.2">
      <c r="B170" s="51"/>
      <c r="C170" s="61"/>
      <c r="D170" s="51"/>
      <c r="E170" s="51"/>
      <c r="F170" s="51"/>
      <c r="G170" s="51"/>
      <c r="H170" s="52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Z170" s="51"/>
      <c r="AA170" s="51"/>
      <c r="AB170" s="57"/>
      <c r="AC170" s="59"/>
      <c r="AD170" s="59"/>
      <c r="AE170" s="102"/>
      <c r="AF170" s="102"/>
      <c r="AG170" s="59"/>
      <c r="AH170" s="59"/>
      <c r="AI170" s="53"/>
    </row>
    <row r="171" spans="2:35" ht="14.25" customHeight="1" x14ac:dyDescent="0.2">
      <c r="B171" s="51"/>
      <c r="C171" s="61"/>
      <c r="D171" s="51"/>
      <c r="E171" s="51"/>
      <c r="F171" s="51"/>
      <c r="G171" s="51"/>
      <c r="H171" s="52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Z171" s="51"/>
      <c r="AA171" s="51"/>
      <c r="AB171" s="57"/>
      <c r="AC171" s="59"/>
      <c r="AD171" s="59"/>
      <c r="AE171" s="102"/>
      <c r="AF171" s="102"/>
      <c r="AG171" s="59"/>
      <c r="AH171" s="59"/>
      <c r="AI171" s="53"/>
    </row>
    <row r="172" spans="2:35" ht="14.25" customHeight="1" x14ac:dyDescent="0.2">
      <c r="B172" s="51"/>
      <c r="C172" s="61"/>
      <c r="D172" s="51"/>
      <c r="E172" s="51"/>
      <c r="F172" s="51"/>
      <c r="G172" s="51"/>
      <c r="H172" s="52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Z172" s="51"/>
      <c r="AA172" s="51"/>
      <c r="AB172" s="57"/>
      <c r="AC172" s="59"/>
      <c r="AD172" s="59"/>
      <c r="AE172" s="102"/>
      <c r="AF172" s="102"/>
      <c r="AG172" s="59"/>
      <c r="AH172" s="59"/>
      <c r="AI172" s="53"/>
    </row>
    <row r="173" spans="2:35" ht="14.25" customHeight="1" x14ac:dyDescent="0.2">
      <c r="B173" s="51"/>
      <c r="C173" s="61"/>
      <c r="D173" s="51"/>
      <c r="E173" s="51"/>
      <c r="F173" s="51"/>
      <c r="G173" s="51"/>
      <c r="H173" s="52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Z173" s="51"/>
      <c r="AA173" s="51"/>
      <c r="AB173" s="57"/>
      <c r="AC173" s="59"/>
      <c r="AD173" s="59"/>
      <c r="AE173" s="102"/>
      <c r="AF173" s="102"/>
      <c r="AG173" s="59"/>
      <c r="AH173" s="59"/>
      <c r="AI173" s="53"/>
    </row>
    <row r="174" spans="2:35" ht="14.25" customHeight="1" x14ac:dyDescent="0.2">
      <c r="B174" s="51"/>
      <c r="C174" s="61"/>
      <c r="D174" s="51"/>
      <c r="E174" s="51"/>
      <c r="F174" s="51"/>
      <c r="G174" s="51"/>
      <c r="H174" s="52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Z174" s="51"/>
      <c r="AA174" s="51"/>
      <c r="AB174" s="57"/>
      <c r="AC174" s="59"/>
      <c r="AD174" s="59"/>
      <c r="AE174" s="102"/>
      <c r="AF174" s="102"/>
      <c r="AG174" s="59"/>
      <c r="AH174" s="59"/>
      <c r="AI174" s="53"/>
    </row>
    <row r="175" spans="2:35" ht="14.25" customHeight="1" x14ac:dyDescent="0.2">
      <c r="B175" s="51"/>
      <c r="C175" s="61"/>
      <c r="D175" s="51"/>
      <c r="E175" s="51"/>
      <c r="F175" s="51"/>
      <c r="G175" s="51"/>
      <c r="H175" s="52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Z175" s="51"/>
      <c r="AA175" s="51"/>
      <c r="AB175" s="57"/>
      <c r="AC175" s="59"/>
      <c r="AD175" s="59"/>
      <c r="AE175" s="102"/>
      <c r="AF175" s="102"/>
      <c r="AG175" s="59"/>
      <c r="AH175" s="59"/>
      <c r="AI175" s="53"/>
    </row>
    <row r="176" spans="2:35" ht="14.25" customHeight="1" x14ac:dyDescent="0.2">
      <c r="B176" s="51"/>
      <c r="C176" s="61"/>
      <c r="D176" s="51"/>
      <c r="E176" s="51"/>
      <c r="F176" s="51"/>
      <c r="G176" s="51"/>
      <c r="H176" s="52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Z176" s="51"/>
      <c r="AA176" s="51"/>
      <c r="AB176" s="57"/>
      <c r="AC176" s="59"/>
      <c r="AD176" s="59"/>
      <c r="AE176" s="102"/>
      <c r="AF176" s="102"/>
      <c r="AG176" s="59"/>
      <c r="AH176" s="59"/>
      <c r="AI176" s="53"/>
    </row>
    <row r="177" spans="2:35" ht="14.25" customHeight="1" x14ac:dyDescent="0.2">
      <c r="B177" s="51"/>
      <c r="C177" s="61"/>
      <c r="D177" s="51"/>
      <c r="E177" s="51"/>
      <c r="F177" s="51"/>
      <c r="G177" s="51"/>
      <c r="H177" s="52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Z177" s="51"/>
      <c r="AA177" s="51"/>
      <c r="AB177" s="57"/>
      <c r="AC177" s="59"/>
      <c r="AD177" s="59"/>
      <c r="AE177" s="102"/>
      <c r="AF177" s="102"/>
      <c r="AG177" s="59"/>
      <c r="AH177" s="59"/>
      <c r="AI177" s="53"/>
    </row>
    <row r="178" spans="2:35" ht="14.25" customHeight="1" x14ac:dyDescent="0.2">
      <c r="B178" s="51"/>
      <c r="C178" s="61"/>
      <c r="D178" s="51"/>
      <c r="E178" s="51"/>
      <c r="F178" s="51"/>
      <c r="G178" s="51"/>
      <c r="H178" s="52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Z178" s="51"/>
      <c r="AA178" s="51"/>
      <c r="AB178" s="57"/>
      <c r="AC178" s="59"/>
      <c r="AD178" s="59"/>
      <c r="AE178" s="102"/>
      <c r="AF178" s="102"/>
      <c r="AG178" s="59"/>
      <c r="AH178" s="59"/>
      <c r="AI178" s="53"/>
    </row>
    <row r="179" spans="2:35" ht="14.25" customHeight="1" x14ac:dyDescent="0.2">
      <c r="B179" s="51"/>
      <c r="C179" s="61"/>
      <c r="D179" s="51"/>
      <c r="E179" s="51"/>
      <c r="F179" s="51"/>
      <c r="G179" s="51"/>
      <c r="H179" s="52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Z179" s="51"/>
      <c r="AA179" s="51"/>
      <c r="AB179" s="57"/>
      <c r="AC179" s="59"/>
      <c r="AD179" s="59"/>
      <c r="AE179" s="102"/>
      <c r="AF179" s="102"/>
      <c r="AG179" s="59"/>
      <c r="AH179" s="59"/>
      <c r="AI179" s="53"/>
    </row>
    <row r="180" spans="2:35" ht="14.25" customHeight="1" x14ac:dyDescent="0.2">
      <c r="B180" s="51"/>
      <c r="C180" s="61"/>
      <c r="D180" s="51"/>
      <c r="E180" s="51"/>
      <c r="F180" s="51"/>
      <c r="G180" s="51"/>
      <c r="H180" s="52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Z180" s="51"/>
      <c r="AA180" s="51"/>
      <c r="AB180" s="57"/>
      <c r="AC180" s="59"/>
      <c r="AD180" s="59"/>
      <c r="AE180" s="102"/>
      <c r="AF180" s="102"/>
      <c r="AG180" s="59"/>
      <c r="AH180" s="59"/>
      <c r="AI180" s="53"/>
    </row>
    <row r="181" spans="2:35" ht="14.25" customHeight="1" x14ac:dyDescent="0.2">
      <c r="B181" s="51"/>
      <c r="C181" s="61"/>
      <c r="D181" s="51"/>
      <c r="E181" s="51"/>
      <c r="F181" s="51"/>
      <c r="G181" s="51"/>
      <c r="H181" s="52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Z181" s="51"/>
      <c r="AA181" s="51"/>
      <c r="AB181" s="57"/>
      <c r="AC181" s="59"/>
      <c r="AD181" s="59"/>
      <c r="AE181" s="102"/>
      <c r="AF181" s="102"/>
      <c r="AG181" s="59"/>
      <c r="AH181" s="59"/>
      <c r="AI181" s="53"/>
    </row>
    <row r="182" spans="2:35" ht="14.25" customHeight="1" x14ac:dyDescent="0.2">
      <c r="B182" s="51"/>
      <c r="C182" s="61"/>
      <c r="D182" s="51"/>
      <c r="E182" s="51"/>
      <c r="F182" s="51"/>
      <c r="G182" s="51"/>
      <c r="H182" s="52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Z182" s="51"/>
      <c r="AA182" s="51"/>
      <c r="AB182" s="57"/>
      <c r="AC182" s="59"/>
      <c r="AD182" s="59"/>
      <c r="AE182" s="102"/>
      <c r="AF182" s="102"/>
      <c r="AG182" s="59"/>
      <c r="AH182" s="59"/>
      <c r="AI182" s="53"/>
    </row>
    <row r="183" spans="2:35" ht="14.25" customHeight="1" x14ac:dyDescent="0.2">
      <c r="B183" s="51"/>
      <c r="C183" s="61"/>
      <c r="D183" s="51"/>
      <c r="E183" s="51"/>
      <c r="F183" s="51"/>
      <c r="G183" s="51"/>
      <c r="H183" s="52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Z183" s="51"/>
      <c r="AA183" s="51"/>
      <c r="AB183" s="57"/>
      <c r="AC183" s="59"/>
      <c r="AD183" s="59"/>
      <c r="AE183" s="102"/>
      <c r="AF183" s="102"/>
      <c r="AG183" s="59"/>
      <c r="AH183" s="59"/>
      <c r="AI183" s="53"/>
    </row>
    <row r="184" spans="2:35" ht="14.25" customHeight="1" x14ac:dyDescent="0.2">
      <c r="B184" s="51"/>
      <c r="C184" s="61"/>
      <c r="D184" s="51"/>
      <c r="E184" s="51"/>
      <c r="F184" s="51"/>
      <c r="G184" s="51"/>
      <c r="H184" s="52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Z184" s="51"/>
      <c r="AA184" s="51"/>
      <c r="AB184" s="57"/>
      <c r="AC184" s="59"/>
      <c r="AD184" s="59"/>
      <c r="AE184" s="102"/>
      <c r="AF184" s="102"/>
      <c r="AG184" s="59"/>
      <c r="AH184" s="59"/>
      <c r="AI184" s="53"/>
    </row>
    <row r="185" spans="2:35" ht="14.25" customHeight="1" x14ac:dyDescent="0.2">
      <c r="B185" s="51"/>
      <c r="C185" s="61"/>
      <c r="D185" s="51"/>
      <c r="E185" s="51"/>
      <c r="F185" s="51"/>
      <c r="G185" s="51"/>
      <c r="H185" s="52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Z185" s="51"/>
      <c r="AA185" s="51"/>
      <c r="AB185" s="57"/>
      <c r="AC185" s="59"/>
      <c r="AD185" s="59"/>
      <c r="AE185" s="102"/>
      <c r="AF185" s="102"/>
      <c r="AG185" s="59"/>
      <c r="AH185" s="59"/>
      <c r="AI185" s="53"/>
    </row>
    <row r="186" spans="2:35" ht="14.25" customHeight="1" x14ac:dyDescent="0.2">
      <c r="B186" s="51"/>
      <c r="C186" s="61"/>
      <c r="D186" s="51"/>
      <c r="E186" s="51"/>
      <c r="F186" s="51"/>
      <c r="G186" s="51"/>
      <c r="H186" s="52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Z186" s="51"/>
      <c r="AA186" s="51"/>
      <c r="AB186" s="57"/>
      <c r="AC186" s="59"/>
      <c r="AD186" s="59"/>
      <c r="AE186" s="102"/>
      <c r="AF186" s="102"/>
      <c r="AG186" s="59"/>
      <c r="AH186" s="59"/>
      <c r="AI186" s="53"/>
    </row>
    <row r="187" spans="2:35" ht="14.25" customHeight="1" x14ac:dyDescent="0.2">
      <c r="B187" s="51"/>
      <c r="C187" s="61"/>
      <c r="D187" s="51"/>
      <c r="E187" s="51"/>
      <c r="F187" s="51"/>
      <c r="G187" s="51"/>
      <c r="H187" s="52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Z187" s="51"/>
      <c r="AA187" s="51"/>
      <c r="AB187" s="57"/>
      <c r="AC187" s="59"/>
      <c r="AD187" s="59"/>
      <c r="AE187" s="102"/>
      <c r="AF187" s="102"/>
      <c r="AG187" s="59"/>
      <c r="AH187" s="59"/>
      <c r="AI187" s="53"/>
    </row>
    <row r="188" spans="2:35" ht="14.25" customHeight="1" x14ac:dyDescent="0.2">
      <c r="B188" s="51"/>
      <c r="C188" s="61"/>
      <c r="D188" s="51"/>
      <c r="E188" s="51"/>
      <c r="F188" s="51"/>
      <c r="G188" s="51"/>
      <c r="H188" s="52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Z188" s="51"/>
      <c r="AA188" s="51"/>
      <c r="AB188" s="57"/>
      <c r="AC188" s="59"/>
      <c r="AD188" s="59"/>
      <c r="AE188" s="102"/>
      <c r="AF188" s="102"/>
      <c r="AG188" s="59"/>
      <c r="AH188" s="59"/>
      <c r="AI188" s="53"/>
    </row>
    <row r="189" spans="2:35" ht="14.25" customHeight="1" x14ac:dyDescent="0.2">
      <c r="B189" s="51"/>
      <c r="C189" s="61"/>
      <c r="D189" s="51"/>
      <c r="E189" s="51"/>
      <c r="F189" s="51"/>
      <c r="G189" s="51"/>
      <c r="H189" s="52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Z189" s="51"/>
      <c r="AA189" s="51"/>
      <c r="AB189" s="57"/>
      <c r="AC189" s="59"/>
      <c r="AD189" s="59"/>
      <c r="AE189" s="102"/>
      <c r="AF189" s="102"/>
      <c r="AG189" s="59"/>
      <c r="AH189" s="59"/>
      <c r="AI189" s="53"/>
    </row>
    <row r="190" spans="2:35" ht="14.25" customHeight="1" x14ac:dyDescent="0.2">
      <c r="B190" s="51"/>
      <c r="C190" s="61"/>
      <c r="D190" s="51"/>
      <c r="E190" s="51"/>
      <c r="F190" s="51"/>
      <c r="G190" s="51"/>
      <c r="H190" s="52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Z190" s="51"/>
      <c r="AA190" s="51"/>
      <c r="AB190" s="57"/>
      <c r="AC190" s="59"/>
      <c r="AD190" s="59"/>
      <c r="AE190" s="102"/>
      <c r="AF190" s="102"/>
      <c r="AG190" s="59"/>
      <c r="AH190" s="59"/>
      <c r="AI190" s="53"/>
    </row>
    <row r="191" spans="2:35" ht="14.25" customHeight="1" x14ac:dyDescent="0.2">
      <c r="B191" s="51"/>
      <c r="C191" s="61"/>
      <c r="D191" s="51"/>
      <c r="E191" s="51"/>
      <c r="F191" s="51"/>
      <c r="G191" s="51"/>
      <c r="H191" s="52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Z191" s="51"/>
      <c r="AA191" s="51"/>
      <c r="AB191" s="57"/>
      <c r="AC191" s="59"/>
      <c r="AD191" s="59"/>
      <c r="AE191" s="102"/>
      <c r="AF191" s="102"/>
      <c r="AG191" s="59"/>
      <c r="AH191" s="59"/>
      <c r="AI191" s="53"/>
    </row>
    <row r="192" spans="2:35" ht="14.25" customHeight="1" x14ac:dyDescent="0.2">
      <c r="B192" s="51"/>
      <c r="C192" s="61"/>
      <c r="D192" s="51"/>
      <c r="E192" s="51"/>
      <c r="F192" s="51"/>
      <c r="G192" s="51"/>
      <c r="H192" s="52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Z192" s="51"/>
      <c r="AA192" s="51"/>
      <c r="AB192" s="57"/>
      <c r="AC192" s="59"/>
      <c r="AD192" s="59"/>
      <c r="AE192" s="102"/>
      <c r="AF192" s="102"/>
      <c r="AG192" s="59"/>
      <c r="AH192" s="59"/>
      <c r="AI192" s="53"/>
    </row>
    <row r="193" spans="2:35" ht="14.25" customHeight="1" x14ac:dyDescent="0.2">
      <c r="B193" s="51"/>
      <c r="C193" s="61"/>
      <c r="D193" s="51"/>
      <c r="E193" s="51"/>
      <c r="F193" s="51"/>
      <c r="G193" s="51"/>
      <c r="H193" s="52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Z193" s="51"/>
      <c r="AA193" s="51"/>
      <c r="AB193" s="57"/>
      <c r="AC193" s="59"/>
      <c r="AD193" s="59"/>
      <c r="AE193" s="102"/>
      <c r="AF193" s="102"/>
      <c r="AG193" s="59"/>
      <c r="AH193" s="59"/>
      <c r="AI193" s="53"/>
    </row>
    <row r="194" spans="2:35" ht="14.25" customHeight="1" x14ac:dyDescent="0.2">
      <c r="B194" s="51"/>
      <c r="C194" s="61"/>
      <c r="D194" s="51"/>
      <c r="E194" s="51"/>
      <c r="F194" s="51"/>
      <c r="G194" s="51"/>
      <c r="H194" s="52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Z194" s="51"/>
      <c r="AA194" s="51"/>
      <c r="AB194" s="57"/>
      <c r="AC194" s="59"/>
      <c r="AD194" s="59"/>
      <c r="AE194" s="102"/>
      <c r="AF194" s="102"/>
      <c r="AG194" s="59"/>
      <c r="AH194" s="59"/>
      <c r="AI194" s="53"/>
    </row>
    <row r="195" spans="2:35" ht="14.25" customHeight="1" x14ac:dyDescent="0.2">
      <c r="B195" s="51"/>
      <c r="C195" s="61"/>
      <c r="D195" s="51"/>
      <c r="E195" s="51"/>
      <c r="F195" s="51"/>
      <c r="G195" s="51"/>
      <c r="H195" s="52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Z195" s="51"/>
      <c r="AA195" s="51"/>
      <c r="AB195" s="57"/>
      <c r="AC195" s="59"/>
      <c r="AD195" s="59"/>
      <c r="AE195" s="102"/>
      <c r="AF195" s="102"/>
      <c r="AG195" s="59"/>
      <c r="AH195" s="59"/>
      <c r="AI195" s="53"/>
    </row>
    <row r="196" spans="2:35" ht="14.25" customHeight="1" x14ac:dyDescent="0.2">
      <c r="B196" s="51"/>
      <c r="C196" s="61"/>
      <c r="D196" s="51"/>
      <c r="E196" s="51"/>
      <c r="F196" s="51"/>
      <c r="G196" s="51"/>
      <c r="H196" s="52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Z196" s="51"/>
      <c r="AA196" s="51"/>
      <c r="AB196" s="57"/>
      <c r="AC196" s="59"/>
      <c r="AD196" s="59"/>
      <c r="AE196" s="102"/>
      <c r="AF196" s="102"/>
      <c r="AG196" s="59"/>
      <c r="AH196" s="59"/>
      <c r="AI196" s="53"/>
    </row>
    <row r="197" spans="2:35" ht="14.25" customHeight="1" x14ac:dyDescent="0.2">
      <c r="B197" s="51"/>
      <c r="C197" s="61"/>
      <c r="D197" s="51"/>
      <c r="E197" s="51"/>
      <c r="F197" s="51"/>
      <c r="G197" s="51"/>
      <c r="H197" s="52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Z197" s="51"/>
      <c r="AA197" s="51"/>
      <c r="AB197" s="57"/>
      <c r="AC197" s="59"/>
      <c r="AD197" s="59"/>
      <c r="AE197" s="102"/>
      <c r="AF197" s="102"/>
      <c r="AG197" s="59"/>
      <c r="AH197" s="59"/>
      <c r="AI197" s="53"/>
    </row>
    <row r="198" spans="2:35" ht="14.25" customHeight="1" x14ac:dyDescent="0.2">
      <c r="B198" s="51"/>
      <c r="C198" s="61"/>
      <c r="D198" s="51"/>
      <c r="E198" s="51"/>
      <c r="F198" s="51"/>
      <c r="G198" s="51"/>
      <c r="H198" s="52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Z198" s="51"/>
      <c r="AA198" s="51"/>
      <c r="AB198" s="57"/>
      <c r="AC198" s="59"/>
      <c r="AD198" s="59"/>
      <c r="AE198" s="102"/>
      <c r="AF198" s="102"/>
      <c r="AG198" s="59"/>
      <c r="AH198" s="59"/>
      <c r="AI198" s="53"/>
    </row>
    <row r="199" spans="2:35" ht="14.25" customHeight="1" x14ac:dyDescent="0.2">
      <c r="B199" s="51"/>
      <c r="C199" s="61"/>
      <c r="D199" s="51"/>
      <c r="E199" s="51"/>
      <c r="F199" s="51"/>
      <c r="G199" s="51"/>
      <c r="H199" s="52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Z199" s="51"/>
      <c r="AA199" s="51"/>
      <c r="AB199" s="57"/>
      <c r="AC199" s="59"/>
      <c r="AD199" s="59"/>
      <c r="AE199" s="102"/>
      <c r="AF199" s="102"/>
      <c r="AG199" s="59"/>
      <c r="AH199" s="59"/>
      <c r="AI199" s="53"/>
    </row>
    <row r="200" spans="2:35" ht="14.25" customHeight="1" x14ac:dyDescent="0.2">
      <c r="B200" s="51"/>
      <c r="C200" s="61"/>
      <c r="D200" s="51"/>
      <c r="E200" s="51"/>
      <c r="F200" s="51"/>
      <c r="G200" s="51"/>
      <c r="H200" s="52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Z200" s="51"/>
      <c r="AA200" s="51"/>
      <c r="AB200" s="57"/>
      <c r="AC200" s="59"/>
      <c r="AD200" s="59"/>
      <c r="AE200" s="102"/>
      <c r="AF200" s="102"/>
      <c r="AG200" s="59"/>
      <c r="AH200" s="59"/>
      <c r="AI200" s="53"/>
    </row>
    <row r="201" spans="2:35" ht="14.25" customHeight="1" x14ac:dyDescent="0.2">
      <c r="B201" s="51"/>
      <c r="C201" s="61"/>
      <c r="D201" s="51"/>
      <c r="E201" s="51"/>
      <c r="F201" s="51"/>
      <c r="G201" s="51"/>
      <c r="H201" s="52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Z201" s="51"/>
      <c r="AA201" s="51"/>
      <c r="AB201" s="57"/>
      <c r="AC201" s="59"/>
      <c r="AD201" s="59"/>
      <c r="AE201" s="102"/>
      <c r="AF201" s="102"/>
      <c r="AG201" s="59"/>
      <c r="AH201" s="59"/>
      <c r="AI201" s="53"/>
    </row>
    <row r="202" spans="2:35" ht="14.25" customHeight="1" x14ac:dyDescent="0.2">
      <c r="B202" s="51"/>
      <c r="C202" s="61"/>
      <c r="D202" s="51"/>
      <c r="E202" s="51"/>
      <c r="F202" s="51"/>
      <c r="G202" s="51"/>
      <c r="H202" s="52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Z202" s="51"/>
      <c r="AA202" s="51"/>
      <c r="AB202" s="57"/>
      <c r="AC202" s="59"/>
      <c r="AD202" s="59"/>
      <c r="AE202" s="102"/>
      <c r="AF202" s="102"/>
      <c r="AG202" s="59"/>
      <c r="AH202" s="59"/>
      <c r="AI202" s="53"/>
    </row>
    <row r="203" spans="2:35" ht="14.25" customHeight="1" x14ac:dyDescent="0.2">
      <c r="B203" s="51"/>
      <c r="C203" s="61"/>
      <c r="D203" s="51"/>
      <c r="E203" s="51"/>
      <c r="F203" s="51"/>
      <c r="G203" s="51"/>
      <c r="H203" s="52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Z203" s="51"/>
      <c r="AA203" s="51"/>
      <c r="AB203" s="57"/>
      <c r="AC203" s="59"/>
      <c r="AD203" s="59"/>
      <c r="AE203" s="102"/>
      <c r="AF203" s="102"/>
      <c r="AG203" s="59"/>
      <c r="AH203" s="59"/>
      <c r="AI203" s="53"/>
    </row>
    <row r="204" spans="2:35" x14ac:dyDescent="0.2">
      <c r="Q204" s="51"/>
      <c r="R204" s="51"/>
      <c r="S204" s="51"/>
    </row>
    <row r="205" spans="2:35" x14ac:dyDescent="0.2">
      <c r="Q205" s="51"/>
      <c r="R205" s="51"/>
      <c r="S205" s="51"/>
    </row>
    <row r="206" spans="2:35" x14ac:dyDescent="0.2">
      <c r="Q206" s="51"/>
      <c r="R206" s="51"/>
      <c r="S206" s="51"/>
    </row>
    <row r="207" spans="2:35" x14ac:dyDescent="0.2">
      <c r="Q207" s="51"/>
      <c r="R207" s="51"/>
      <c r="S207" s="51"/>
    </row>
    <row r="208" spans="2:35" x14ac:dyDescent="0.2">
      <c r="Q208" s="51"/>
      <c r="R208" s="51"/>
      <c r="S208" s="51"/>
    </row>
    <row r="209" spans="17:19" x14ac:dyDescent="0.2">
      <c r="Q209" s="51"/>
      <c r="R209" s="51"/>
      <c r="S209" s="51"/>
    </row>
    <row r="210" spans="17:19" x14ac:dyDescent="0.2">
      <c r="Q210" s="51"/>
      <c r="R210" s="51"/>
      <c r="S210" s="51"/>
    </row>
    <row r="211" spans="17:19" x14ac:dyDescent="0.2">
      <c r="Q211" s="51"/>
      <c r="R211" s="51"/>
      <c r="S211" s="51"/>
    </row>
    <row r="212" spans="17:19" x14ac:dyDescent="0.2">
      <c r="Q212" s="51"/>
      <c r="R212" s="51"/>
      <c r="S212" s="51"/>
    </row>
    <row r="213" spans="17:19" x14ac:dyDescent="0.2">
      <c r="Q213" s="51"/>
      <c r="R213" s="51"/>
      <c r="S213" s="51"/>
    </row>
    <row r="214" spans="17:19" x14ac:dyDescent="0.2">
      <c r="Q214" s="51"/>
      <c r="R214" s="51"/>
      <c r="S214" s="51"/>
    </row>
    <row r="215" spans="17:19" x14ac:dyDescent="0.2">
      <c r="Q215" s="51"/>
      <c r="R215" s="51"/>
      <c r="S215" s="51"/>
    </row>
    <row r="216" spans="17:19" x14ac:dyDescent="0.2">
      <c r="Q216" s="51"/>
      <c r="R216" s="51"/>
      <c r="S216" s="51"/>
    </row>
    <row r="217" spans="17:19" x14ac:dyDescent="0.2">
      <c r="Q217" s="51"/>
      <c r="R217" s="51"/>
      <c r="S217" s="51"/>
    </row>
    <row r="218" spans="17:19" x14ac:dyDescent="0.2">
      <c r="Q218" s="51"/>
      <c r="R218" s="51"/>
      <c r="S218" s="51"/>
    </row>
    <row r="219" spans="17:19" x14ac:dyDescent="0.2">
      <c r="Q219" s="51"/>
      <c r="R219" s="51"/>
      <c r="S219" s="51"/>
    </row>
    <row r="220" spans="17:19" x14ac:dyDescent="0.2">
      <c r="Q220" s="51"/>
      <c r="R220" s="51"/>
      <c r="S220" s="51"/>
    </row>
    <row r="221" spans="17:19" x14ac:dyDescent="0.2">
      <c r="Q221" s="51"/>
      <c r="R221" s="51"/>
      <c r="S221" s="51"/>
    </row>
    <row r="222" spans="17:19" x14ac:dyDescent="0.2">
      <c r="Q222" s="51"/>
      <c r="R222" s="51"/>
      <c r="S222" s="51"/>
    </row>
    <row r="223" spans="17:19" x14ac:dyDescent="0.2">
      <c r="Q223" s="51"/>
      <c r="R223" s="51"/>
      <c r="S223" s="51"/>
    </row>
    <row r="224" spans="17:19" x14ac:dyDescent="0.2">
      <c r="Q224" s="51"/>
      <c r="R224" s="51"/>
      <c r="S224" s="51"/>
    </row>
    <row r="225" spans="17:19" x14ac:dyDescent="0.2">
      <c r="Q225" s="51"/>
      <c r="R225" s="51"/>
      <c r="S225" s="51"/>
    </row>
    <row r="226" spans="17:19" x14ac:dyDescent="0.2">
      <c r="Q226" s="51"/>
      <c r="R226" s="51"/>
      <c r="S226" s="51"/>
    </row>
    <row r="227" spans="17:19" x14ac:dyDescent="0.2">
      <c r="Q227" s="51"/>
      <c r="R227" s="51"/>
      <c r="S227" s="51"/>
    </row>
    <row r="228" spans="17:19" x14ac:dyDescent="0.2">
      <c r="Q228" s="51"/>
      <c r="R228" s="51"/>
      <c r="S228" s="51"/>
    </row>
    <row r="229" spans="17:19" x14ac:dyDescent="0.2">
      <c r="Q229" s="51"/>
      <c r="R229" s="51"/>
      <c r="S229" s="51"/>
    </row>
    <row r="230" spans="17:19" x14ac:dyDescent="0.2">
      <c r="Q230" s="51"/>
      <c r="R230" s="51"/>
      <c r="S230" s="51"/>
    </row>
    <row r="231" spans="17:19" x14ac:dyDescent="0.2">
      <c r="Q231" s="51"/>
      <c r="R231" s="51"/>
      <c r="S231" s="51"/>
    </row>
    <row r="232" spans="17:19" x14ac:dyDescent="0.2">
      <c r="Q232" s="51"/>
      <c r="R232" s="51"/>
      <c r="S232" s="51"/>
    </row>
    <row r="233" spans="17:19" x14ac:dyDescent="0.2">
      <c r="Q233" s="51"/>
      <c r="R233" s="51"/>
      <c r="S233" s="51"/>
    </row>
    <row r="234" spans="17:19" x14ac:dyDescent="0.2">
      <c r="Q234" s="51"/>
      <c r="R234" s="51"/>
      <c r="S234" s="51"/>
    </row>
    <row r="235" spans="17:19" x14ac:dyDescent="0.2">
      <c r="Q235" s="51"/>
      <c r="R235" s="51"/>
      <c r="S235" s="51"/>
    </row>
    <row r="236" spans="17:19" x14ac:dyDescent="0.2">
      <c r="Q236" s="51"/>
      <c r="R236" s="51"/>
      <c r="S236" s="51"/>
    </row>
    <row r="237" spans="17:19" x14ac:dyDescent="0.2">
      <c r="Q237" s="51"/>
      <c r="R237" s="51"/>
      <c r="S237" s="51"/>
    </row>
    <row r="238" spans="17:19" x14ac:dyDescent="0.2">
      <c r="Q238" s="51"/>
      <c r="R238" s="51"/>
      <c r="S238" s="51"/>
    </row>
    <row r="239" spans="17:19" x14ac:dyDescent="0.2">
      <c r="Q239" s="51"/>
      <c r="R239" s="51"/>
      <c r="S239" s="51"/>
    </row>
    <row r="240" spans="17:19" x14ac:dyDescent="0.2">
      <c r="Q240" s="51"/>
      <c r="R240" s="51"/>
      <c r="S240" s="51"/>
    </row>
    <row r="241" spans="17:19" x14ac:dyDescent="0.2">
      <c r="Q241" s="51"/>
      <c r="R241" s="51"/>
      <c r="S241" s="51"/>
    </row>
    <row r="242" spans="17:19" x14ac:dyDescent="0.2">
      <c r="Q242" s="51"/>
      <c r="R242" s="51"/>
      <c r="S242" s="51"/>
    </row>
    <row r="243" spans="17:19" x14ac:dyDescent="0.2">
      <c r="Q243" s="51"/>
      <c r="R243" s="51"/>
      <c r="S243" s="51"/>
    </row>
    <row r="244" spans="17:19" x14ac:dyDescent="0.2">
      <c r="Q244" s="51"/>
      <c r="R244" s="51"/>
      <c r="S244" s="51"/>
    </row>
    <row r="245" spans="17:19" x14ac:dyDescent="0.2">
      <c r="Q245" s="51"/>
      <c r="R245" s="51"/>
      <c r="S245" s="51"/>
    </row>
    <row r="246" spans="17:19" x14ac:dyDescent="0.2">
      <c r="Q246" s="51"/>
      <c r="R246" s="51"/>
      <c r="S246" s="51"/>
    </row>
    <row r="247" spans="17:19" x14ac:dyDescent="0.2">
      <c r="Q247" s="51"/>
      <c r="R247" s="51"/>
      <c r="S247" s="51"/>
    </row>
    <row r="248" spans="17:19" x14ac:dyDescent="0.2">
      <c r="Q248" s="51"/>
      <c r="R248" s="51"/>
      <c r="S248" s="51"/>
    </row>
    <row r="249" spans="17:19" x14ac:dyDescent="0.2">
      <c r="Q249" s="51"/>
      <c r="R249" s="51"/>
      <c r="S249" s="51"/>
    </row>
    <row r="250" spans="17:19" x14ac:dyDescent="0.2">
      <c r="Q250" s="51"/>
      <c r="R250" s="51"/>
      <c r="S250" s="51"/>
    </row>
    <row r="251" spans="17:19" x14ac:dyDescent="0.2">
      <c r="Q251" s="51"/>
      <c r="R251" s="51"/>
      <c r="S251" s="51"/>
    </row>
    <row r="252" spans="17:19" x14ac:dyDescent="0.2">
      <c r="Q252" s="51"/>
      <c r="R252" s="51"/>
      <c r="S252" s="51"/>
    </row>
    <row r="253" spans="17:19" x14ac:dyDescent="0.2">
      <c r="Q253" s="51"/>
      <c r="R253" s="51"/>
      <c r="S253" s="51"/>
    </row>
    <row r="254" spans="17:19" x14ac:dyDescent="0.2">
      <c r="Q254" s="51"/>
      <c r="R254" s="51"/>
      <c r="S254" s="51"/>
    </row>
    <row r="255" spans="17:19" x14ac:dyDescent="0.2">
      <c r="Q255" s="51"/>
      <c r="R255" s="51"/>
      <c r="S255" s="51"/>
    </row>
    <row r="256" spans="17:19" x14ac:dyDescent="0.2">
      <c r="Q256" s="51"/>
      <c r="R256" s="51"/>
      <c r="S256" s="51"/>
    </row>
    <row r="257" spans="17:19" x14ac:dyDescent="0.2">
      <c r="Q257" s="51"/>
      <c r="R257" s="51"/>
      <c r="S257" s="51"/>
    </row>
    <row r="258" spans="17:19" x14ac:dyDescent="0.2">
      <c r="Q258" s="51"/>
      <c r="R258" s="51"/>
      <c r="S258" s="51"/>
    </row>
    <row r="259" spans="17:19" x14ac:dyDescent="0.2">
      <c r="Q259" s="51"/>
      <c r="R259" s="51"/>
      <c r="S259" s="51"/>
    </row>
    <row r="260" spans="17:19" x14ac:dyDescent="0.2">
      <c r="Q260" s="51"/>
      <c r="R260" s="51"/>
      <c r="S260" s="51"/>
    </row>
    <row r="261" spans="17:19" x14ac:dyDescent="0.2">
      <c r="Q261" s="51"/>
      <c r="R261" s="51"/>
      <c r="S261" s="51"/>
    </row>
    <row r="262" spans="17:19" x14ac:dyDescent="0.2">
      <c r="Q262" s="51"/>
      <c r="R262" s="51"/>
      <c r="S262" s="51"/>
    </row>
    <row r="263" spans="17:19" x14ac:dyDescent="0.2">
      <c r="Q263" s="51"/>
      <c r="R263" s="51"/>
      <c r="S263" s="51"/>
    </row>
    <row r="264" spans="17:19" x14ac:dyDescent="0.2">
      <c r="Q264" s="51"/>
      <c r="R264" s="51"/>
      <c r="S264" s="51"/>
    </row>
    <row r="265" spans="17:19" x14ac:dyDescent="0.2">
      <c r="Q265" s="51"/>
      <c r="R265" s="51"/>
      <c r="S265" s="51"/>
    </row>
    <row r="266" spans="17:19" x14ac:dyDescent="0.2">
      <c r="Q266" s="51"/>
      <c r="R266" s="51"/>
      <c r="S266" s="51"/>
    </row>
    <row r="267" spans="17:19" x14ac:dyDescent="0.2">
      <c r="Q267" s="51"/>
      <c r="R267" s="51"/>
      <c r="S267" s="51"/>
    </row>
    <row r="268" spans="17:19" x14ac:dyDescent="0.2">
      <c r="Q268" s="51"/>
      <c r="R268" s="51"/>
      <c r="S268" s="51"/>
    </row>
    <row r="269" spans="17:19" x14ac:dyDescent="0.2">
      <c r="Q269" s="51"/>
      <c r="R269" s="51"/>
      <c r="S269" s="51"/>
    </row>
    <row r="270" spans="17:19" x14ac:dyDescent="0.2">
      <c r="Q270" s="51"/>
      <c r="R270" s="51"/>
      <c r="S270" s="51"/>
    </row>
    <row r="271" spans="17:19" x14ac:dyDescent="0.2">
      <c r="Q271" s="51"/>
      <c r="R271" s="51"/>
      <c r="S271" s="51"/>
    </row>
    <row r="272" spans="17:19" x14ac:dyDescent="0.2">
      <c r="Q272" s="51"/>
      <c r="R272" s="51"/>
      <c r="S272" s="51"/>
    </row>
    <row r="273" spans="17:19" x14ac:dyDescent="0.2">
      <c r="Q273" s="51"/>
      <c r="R273" s="51"/>
      <c r="S273" s="51"/>
    </row>
    <row r="274" spans="17:19" x14ac:dyDescent="0.2">
      <c r="Q274" s="51"/>
      <c r="R274" s="51"/>
      <c r="S274" s="51"/>
    </row>
    <row r="275" spans="17:19" x14ac:dyDescent="0.2">
      <c r="Q275" s="51"/>
      <c r="R275" s="51"/>
      <c r="S275" s="51"/>
    </row>
    <row r="276" spans="17:19" x14ac:dyDescent="0.2">
      <c r="Q276" s="51"/>
      <c r="R276" s="51"/>
      <c r="S276" s="51"/>
    </row>
    <row r="277" spans="17:19" x14ac:dyDescent="0.2">
      <c r="Q277" s="51"/>
      <c r="R277" s="51"/>
      <c r="S277" s="51"/>
    </row>
    <row r="278" spans="17:19" x14ac:dyDescent="0.2">
      <c r="Q278" s="51"/>
      <c r="R278" s="51"/>
      <c r="S278" s="51"/>
    </row>
    <row r="279" spans="17:19" x14ac:dyDescent="0.2">
      <c r="Q279" s="51"/>
      <c r="R279" s="51"/>
      <c r="S279" s="51"/>
    </row>
    <row r="280" spans="17:19" x14ac:dyDescent="0.2">
      <c r="Q280" s="51"/>
      <c r="R280" s="51"/>
      <c r="S280" s="51"/>
    </row>
    <row r="281" spans="17:19" x14ac:dyDescent="0.2">
      <c r="Q281" s="51"/>
      <c r="R281" s="51"/>
      <c r="S281" s="51"/>
    </row>
    <row r="282" spans="17:19" x14ac:dyDescent="0.2">
      <c r="Q282" s="51"/>
      <c r="R282" s="51"/>
      <c r="S282" s="51"/>
    </row>
    <row r="283" spans="17:19" x14ac:dyDescent="0.2">
      <c r="Q283" s="51"/>
      <c r="R283" s="51"/>
      <c r="S283" s="51"/>
    </row>
    <row r="284" spans="17:19" x14ac:dyDescent="0.2">
      <c r="Q284" s="51"/>
      <c r="R284" s="51"/>
      <c r="S284" s="51"/>
    </row>
    <row r="285" spans="17:19" x14ac:dyDescent="0.2">
      <c r="Q285" s="51"/>
      <c r="R285" s="51"/>
      <c r="S285" s="51"/>
    </row>
    <row r="286" spans="17:19" x14ac:dyDescent="0.2">
      <c r="Q286" s="51"/>
      <c r="R286" s="51"/>
      <c r="S286" s="51"/>
    </row>
    <row r="287" spans="17:19" x14ac:dyDescent="0.2">
      <c r="Q287" s="51"/>
      <c r="R287" s="51"/>
      <c r="S287" s="51"/>
    </row>
    <row r="288" spans="17:19" x14ac:dyDescent="0.2">
      <c r="Q288" s="51"/>
      <c r="R288" s="51"/>
      <c r="S288" s="51"/>
    </row>
    <row r="289" spans="17:19" x14ac:dyDescent="0.2">
      <c r="Q289" s="51"/>
      <c r="R289" s="51"/>
      <c r="S289" s="51"/>
    </row>
    <row r="290" spans="17:19" x14ac:dyDescent="0.2">
      <c r="Q290" s="51"/>
      <c r="R290" s="51"/>
      <c r="S290" s="51"/>
    </row>
    <row r="291" spans="17:19" x14ac:dyDescent="0.2">
      <c r="Q291" s="51"/>
      <c r="R291" s="51"/>
      <c r="S291" s="51"/>
    </row>
    <row r="292" spans="17:19" x14ac:dyDescent="0.2">
      <c r="Q292" s="51"/>
      <c r="R292" s="51"/>
      <c r="S292" s="51"/>
    </row>
    <row r="293" spans="17:19" x14ac:dyDescent="0.2">
      <c r="Q293" s="51"/>
      <c r="R293" s="51"/>
      <c r="S293" s="51"/>
    </row>
    <row r="294" spans="17:19" x14ac:dyDescent="0.2">
      <c r="Q294" s="51"/>
      <c r="R294" s="51"/>
      <c r="S294" s="51"/>
    </row>
    <row r="295" spans="17:19" x14ac:dyDescent="0.2">
      <c r="Q295" s="51"/>
      <c r="R295" s="51"/>
      <c r="S295" s="51"/>
    </row>
    <row r="296" spans="17:19" x14ac:dyDescent="0.2">
      <c r="Q296" s="51"/>
      <c r="R296" s="51"/>
      <c r="S296" s="51"/>
    </row>
    <row r="297" spans="17:19" x14ac:dyDescent="0.2">
      <c r="Q297" s="51"/>
      <c r="R297" s="51"/>
      <c r="S297" s="51"/>
    </row>
    <row r="298" spans="17:19" x14ac:dyDescent="0.2">
      <c r="Q298" s="51"/>
      <c r="R298" s="51"/>
      <c r="S298" s="51"/>
    </row>
    <row r="299" spans="17:19" x14ac:dyDescent="0.2">
      <c r="Q299" s="51"/>
      <c r="R299" s="51"/>
      <c r="S299" s="51"/>
    </row>
    <row r="300" spans="17:19" x14ac:dyDescent="0.2">
      <c r="Q300" s="51"/>
      <c r="R300" s="51"/>
      <c r="S300" s="51"/>
    </row>
    <row r="301" spans="17:19" x14ac:dyDescent="0.2">
      <c r="Q301" s="51"/>
      <c r="R301" s="51"/>
      <c r="S301" s="51"/>
    </row>
    <row r="302" spans="17:19" x14ac:dyDescent="0.2">
      <c r="Q302" s="51"/>
      <c r="R302" s="51"/>
      <c r="S302" s="51"/>
    </row>
    <row r="303" spans="17:19" x14ac:dyDescent="0.2">
      <c r="Q303" s="51"/>
      <c r="R303" s="51"/>
      <c r="S303" s="51"/>
    </row>
    <row r="304" spans="17:19" x14ac:dyDescent="0.2">
      <c r="Q304" s="51"/>
      <c r="R304" s="51"/>
      <c r="S304" s="51"/>
    </row>
    <row r="305" spans="17:19" x14ac:dyDescent="0.2">
      <c r="Q305" s="51"/>
      <c r="R305" s="51"/>
      <c r="S305" s="51"/>
    </row>
    <row r="306" spans="17:19" x14ac:dyDescent="0.2">
      <c r="Q306" s="51"/>
      <c r="R306" s="51"/>
      <c r="S306" s="51"/>
    </row>
    <row r="307" spans="17:19" x14ac:dyDescent="0.2">
      <c r="Q307" s="51"/>
      <c r="R307" s="51"/>
      <c r="S307" s="51"/>
    </row>
    <row r="308" spans="17:19" x14ac:dyDescent="0.2">
      <c r="Q308" s="51"/>
      <c r="R308" s="51"/>
      <c r="S308" s="51"/>
    </row>
    <row r="309" spans="17:19" x14ac:dyDescent="0.2">
      <c r="Q309" s="51"/>
      <c r="R309" s="51"/>
      <c r="S309" s="51"/>
    </row>
    <row r="310" spans="17:19" x14ac:dyDescent="0.2">
      <c r="Q310" s="51"/>
      <c r="R310" s="51"/>
      <c r="S310" s="51"/>
    </row>
    <row r="311" spans="17:19" x14ac:dyDescent="0.2">
      <c r="Q311" s="51"/>
      <c r="R311" s="51"/>
      <c r="S311" s="51"/>
    </row>
    <row r="312" spans="17:19" x14ac:dyDescent="0.2">
      <c r="Q312" s="51"/>
      <c r="R312" s="51"/>
      <c r="S312" s="51"/>
    </row>
    <row r="313" spans="17:19" x14ac:dyDescent="0.2">
      <c r="Q313" s="51"/>
      <c r="R313" s="51"/>
      <c r="S313" s="51"/>
    </row>
    <row r="314" spans="17:19" x14ac:dyDescent="0.2">
      <c r="Q314" s="51"/>
      <c r="R314" s="51"/>
      <c r="S314" s="51"/>
    </row>
    <row r="315" spans="17:19" x14ac:dyDescent="0.2">
      <c r="Q315" s="51"/>
      <c r="R315" s="51"/>
      <c r="S315" s="51"/>
    </row>
    <row r="316" spans="17:19" x14ac:dyDescent="0.2">
      <c r="Q316" s="51"/>
      <c r="R316" s="51"/>
      <c r="S316" s="51"/>
    </row>
    <row r="317" spans="17:19" x14ac:dyDescent="0.2">
      <c r="Q317" s="51"/>
      <c r="R317" s="51"/>
      <c r="S317" s="51"/>
    </row>
    <row r="318" spans="17:19" x14ac:dyDescent="0.2">
      <c r="Q318" s="51"/>
      <c r="R318" s="51"/>
      <c r="S318" s="51"/>
    </row>
    <row r="319" spans="17:19" x14ac:dyDescent="0.2">
      <c r="Q319" s="51"/>
      <c r="R319" s="51"/>
      <c r="S319" s="51"/>
    </row>
    <row r="320" spans="17:19" x14ac:dyDescent="0.2">
      <c r="Q320" s="51"/>
      <c r="R320" s="51"/>
      <c r="S320" s="51"/>
    </row>
    <row r="321" spans="17:19" x14ac:dyDescent="0.2">
      <c r="Q321" s="51"/>
      <c r="R321" s="51"/>
      <c r="S321" s="51"/>
    </row>
    <row r="322" spans="17:19" x14ac:dyDescent="0.2">
      <c r="Q322" s="51"/>
      <c r="R322" s="51"/>
      <c r="S322" s="51"/>
    </row>
    <row r="323" spans="17:19" x14ac:dyDescent="0.2">
      <c r="Q323" s="51"/>
      <c r="R323" s="51"/>
      <c r="S323" s="51"/>
    </row>
    <row r="324" spans="17:19" x14ac:dyDescent="0.2">
      <c r="Q324" s="51"/>
      <c r="R324" s="51"/>
      <c r="S324" s="51"/>
    </row>
    <row r="325" spans="17:19" x14ac:dyDescent="0.2">
      <c r="Q325" s="51"/>
      <c r="R325" s="51"/>
      <c r="S325" s="51"/>
    </row>
    <row r="326" spans="17:19" x14ac:dyDescent="0.2">
      <c r="Q326" s="51"/>
      <c r="R326" s="51"/>
      <c r="S326" s="51"/>
    </row>
    <row r="327" spans="17:19" x14ac:dyDescent="0.2">
      <c r="Q327" s="51"/>
      <c r="R327" s="51"/>
      <c r="S327" s="51"/>
    </row>
    <row r="328" spans="17:19" x14ac:dyDescent="0.2">
      <c r="Q328" s="51"/>
      <c r="R328" s="51"/>
      <c r="S328" s="51"/>
    </row>
    <row r="329" spans="17:19" x14ac:dyDescent="0.2">
      <c r="Q329" s="51"/>
      <c r="R329" s="51"/>
      <c r="S329" s="51"/>
    </row>
    <row r="330" spans="17:19" x14ac:dyDescent="0.2">
      <c r="Q330" s="51"/>
      <c r="R330" s="51"/>
      <c r="S330" s="51"/>
    </row>
    <row r="331" spans="17:19" x14ac:dyDescent="0.2">
      <c r="Q331" s="51"/>
      <c r="R331" s="51"/>
      <c r="S331" s="51"/>
    </row>
    <row r="332" spans="17:19" x14ac:dyDescent="0.2">
      <c r="Q332" s="51"/>
      <c r="R332" s="51"/>
      <c r="S332" s="51"/>
    </row>
    <row r="333" spans="17:19" x14ac:dyDescent="0.2">
      <c r="Q333" s="51"/>
      <c r="R333" s="51"/>
      <c r="S333" s="51"/>
    </row>
    <row r="334" spans="17:19" x14ac:dyDescent="0.2">
      <c r="Q334" s="51"/>
      <c r="R334" s="51"/>
      <c r="S334" s="51"/>
    </row>
    <row r="335" spans="17:19" x14ac:dyDescent="0.2">
      <c r="Q335" s="51"/>
      <c r="R335" s="51"/>
      <c r="S335" s="51"/>
    </row>
    <row r="336" spans="17:19" x14ac:dyDescent="0.2">
      <c r="Q336" s="51"/>
      <c r="R336" s="51"/>
      <c r="S336" s="51"/>
    </row>
    <row r="337" spans="17:19" x14ac:dyDescent="0.2">
      <c r="Q337" s="51"/>
      <c r="R337" s="51"/>
      <c r="S337" s="51"/>
    </row>
    <row r="338" spans="17:19" x14ac:dyDescent="0.2">
      <c r="Q338" s="51"/>
      <c r="R338" s="51"/>
      <c r="S338" s="51"/>
    </row>
    <row r="339" spans="17:19" x14ac:dyDescent="0.2">
      <c r="Q339" s="51"/>
      <c r="R339" s="51"/>
      <c r="S339" s="51"/>
    </row>
    <row r="340" spans="17:19" x14ac:dyDescent="0.2">
      <c r="Q340" s="51"/>
      <c r="R340" s="51"/>
      <c r="S340" s="51"/>
    </row>
    <row r="341" spans="17:19" x14ac:dyDescent="0.2">
      <c r="Q341" s="51"/>
      <c r="R341" s="51"/>
      <c r="S341" s="51"/>
    </row>
    <row r="342" spans="17:19" x14ac:dyDescent="0.2">
      <c r="Q342" s="51"/>
      <c r="R342" s="51"/>
      <c r="S342" s="51"/>
    </row>
    <row r="343" spans="17:19" x14ac:dyDescent="0.2">
      <c r="Q343" s="51"/>
      <c r="R343" s="51"/>
      <c r="S343" s="51"/>
    </row>
    <row r="344" spans="17:19" x14ac:dyDescent="0.2">
      <c r="Q344" s="51"/>
      <c r="R344" s="51"/>
      <c r="S344" s="51"/>
    </row>
    <row r="345" spans="17:19" x14ac:dyDescent="0.2">
      <c r="Q345" s="51"/>
      <c r="R345" s="51"/>
      <c r="S345" s="51"/>
    </row>
    <row r="346" spans="17:19" x14ac:dyDescent="0.2">
      <c r="Q346" s="51"/>
      <c r="R346" s="51"/>
      <c r="S346" s="51"/>
    </row>
    <row r="347" spans="17:19" x14ac:dyDescent="0.2">
      <c r="Q347" s="51"/>
      <c r="R347" s="51"/>
      <c r="S347" s="51"/>
    </row>
    <row r="348" spans="17:19" x14ac:dyDescent="0.2">
      <c r="Q348" s="51"/>
      <c r="R348" s="51"/>
      <c r="S348" s="51"/>
    </row>
    <row r="349" spans="17:19" x14ac:dyDescent="0.2">
      <c r="Q349" s="51"/>
      <c r="R349" s="51"/>
      <c r="S349" s="51"/>
    </row>
    <row r="350" spans="17:19" x14ac:dyDescent="0.2">
      <c r="Q350" s="51"/>
      <c r="R350" s="51"/>
      <c r="S350" s="51"/>
    </row>
    <row r="351" spans="17:19" x14ac:dyDescent="0.2">
      <c r="Q351" s="51"/>
      <c r="R351" s="51"/>
      <c r="S351" s="51"/>
    </row>
    <row r="352" spans="17:19" x14ac:dyDescent="0.2">
      <c r="Q352" s="51"/>
      <c r="R352" s="51"/>
      <c r="S352" s="51"/>
    </row>
    <row r="353" spans="17:19" x14ac:dyDescent="0.2">
      <c r="Q353" s="51"/>
      <c r="R353" s="51"/>
      <c r="S353" s="51"/>
    </row>
    <row r="354" spans="17:19" x14ac:dyDescent="0.2">
      <c r="Q354" s="51"/>
      <c r="R354" s="51"/>
      <c r="S354" s="51"/>
    </row>
    <row r="355" spans="17:19" x14ac:dyDescent="0.2">
      <c r="Q355" s="51"/>
      <c r="R355" s="51"/>
      <c r="S355" s="51"/>
    </row>
    <row r="356" spans="17:19" x14ac:dyDescent="0.2">
      <c r="Q356" s="51"/>
      <c r="R356" s="51"/>
      <c r="S356" s="51"/>
    </row>
    <row r="357" spans="17:19" x14ac:dyDescent="0.2">
      <c r="Q357" s="51"/>
      <c r="R357" s="51"/>
      <c r="S357" s="51"/>
    </row>
    <row r="358" spans="17:19" x14ac:dyDescent="0.2">
      <c r="Q358" s="51"/>
      <c r="R358" s="51"/>
      <c r="S358" s="51"/>
    </row>
    <row r="359" spans="17:19" x14ac:dyDescent="0.2">
      <c r="Q359" s="51"/>
      <c r="R359" s="51"/>
      <c r="S359" s="51"/>
    </row>
    <row r="360" spans="17:19" x14ac:dyDescent="0.2">
      <c r="Q360" s="51"/>
      <c r="R360" s="51"/>
      <c r="S360" s="51"/>
    </row>
    <row r="361" spans="17:19" x14ac:dyDescent="0.2">
      <c r="Q361" s="51"/>
      <c r="R361" s="51"/>
      <c r="S361" s="51"/>
    </row>
    <row r="362" spans="17:19" x14ac:dyDescent="0.2">
      <c r="Q362" s="51"/>
      <c r="R362" s="51"/>
      <c r="S362" s="51"/>
    </row>
    <row r="363" spans="17:19" x14ac:dyDescent="0.2">
      <c r="Q363" s="51"/>
      <c r="R363" s="51"/>
      <c r="S363" s="51"/>
    </row>
    <row r="364" spans="17:19" x14ac:dyDescent="0.2">
      <c r="Q364" s="51"/>
      <c r="R364" s="51"/>
      <c r="S364" s="51"/>
    </row>
    <row r="365" spans="17:19" x14ac:dyDescent="0.2">
      <c r="Q365" s="51"/>
      <c r="R365" s="51"/>
      <c r="S365" s="51"/>
    </row>
    <row r="366" spans="17:19" x14ac:dyDescent="0.2">
      <c r="Q366" s="51"/>
      <c r="R366" s="51"/>
      <c r="S366" s="51"/>
    </row>
    <row r="367" spans="17:19" x14ac:dyDescent="0.2">
      <c r="Q367" s="51"/>
      <c r="R367" s="51"/>
      <c r="S367" s="51"/>
    </row>
    <row r="368" spans="17:19" x14ac:dyDescent="0.2">
      <c r="Q368" s="51"/>
      <c r="R368" s="51"/>
      <c r="S368" s="51"/>
    </row>
    <row r="369" spans="17:19" x14ac:dyDescent="0.2">
      <c r="Q369" s="51"/>
      <c r="R369" s="51"/>
      <c r="S369" s="51"/>
    </row>
    <row r="370" spans="17:19" x14ac:dyDescent="0.2">
      <c r="Q370" s="51"/>
      <c r="R370" s="51"/>
      <c r="S370" s="51"/>
    </row>
    <row r="371" spans="17:19" x14ac:dyDescent="0.2">
      <c r="Q371" s="51"/>
      <c r="R371" s="51"/>
      <c r="S371" s="51"/>
    </row>
    <row r="372" spans="17:19" x14ac:dyDescent="0.2">
      <c r="Q372" s="51"/>
      <c r="R372" s="51"/>
      <c r="S372" s="51"/>
    </row>
    <row r="373" spans="17:19" x14ac:dyDescent="0.2">
      <c r="Q373" s="51"/>
      <c r="R373" s="51"/>
      <c r="S373" s="51"/>
    </row>
    <row r="374" spans="17:19" x14ac:dyDescent="0.2">
      <c r="Q374" s="51"/>
      <c r="R374" s="51"/>
      <c r="S374" s="51"/>
    </row>
    <row r="375" spans="17:19" x14ac:dyDescent="0.2">
      <c r="Q375" s="51"/>
      <c r="R375" s="51"/>
      <c r="S375" s="51"/>
    </row>
    <row r="376" spans="17:19" x14ac:dyDescent="0.2">
      <c r="Q376" s="51"/>
      <c r="R376" s="51"/>
      <c r="S376" s="51"/>
    </row>
    <row r="377" spans="17:19" x14ac:dyDescent="0.2">
      <c r="Q377" s="51"/>
      <c r="R377" s="51"/>
      <c r="S377" s="51"/>
    </row>
    <row r="378" spans="17:19" x14ac:dyDescent="0.2">
      <c r="Q378" s="51"/>
      <c r="R378" s="51"/>
      <c r="S378" s="51"/>
    </row>
    <row r="379" spans="17:19" x14ac:dyDescent="0.2">
      <c r="Q379" s="51"/>
      <c r="R379" s="51"/>
      <c r="S379" s="51"/>
    </row>
    <row r="380" spans="17:19" x14ac:dyDescent="0.2">
      <c r="Q380" s="51"/>
      <c r="R380" s="51"/>
      <c r="S380" s="51"/>
    </row>
    <row r="381" spans="17:19" x14ac:dyDescent="0.2">
      <c r="Q381" s="51"/>
      <c r="R381" s="51"/>
      <c r="S381" s="51"/>
    </row>
    <row r="382" spans="17:19" x14ac:dyDescent="0.2">
      <c r="Q382" s="51"/>
      <c r="R382" s="51"/>
      <c r="S382" s="51"/>
    </row>
    <row r="383" spans="17:19" x14ac:dyDescent="0.2">
      <c r="Q383" s="51"/>
      <c r="R383" s="51"/>
      <c r="S383" s="51"/>
    </row>
    <row r="384" spans="17:19" x14ac:dyDescent="0.2">
      <c r="Q384" s="51"/>
      <c r="R384" s="51"/>
      <c r="S384" s="51"/>
    </row>
    <row r="385" spans="17:19" x14ac:dyDescent="0.2">
      <c r="Q385" s="51"/>
      <c r="R385" s="51"/>
      <c r="S385" s="51"/>
    </row>
    <row r="386" spans="17:19" x14ac:dyDescent="0.2">
      <c r="Q386" s="51"/>
      <c r="R386" s="51"/>
      <c r="S386" s="51"/>
    </row>
    <row r="387" spans="17:19" x14ac:dyDescent="0.2">
      <c r="Q387" s="51"/>
      <c r="R387" s="51"/>
      <c r="S387" s="51"/>
    </row>
    <row r="388" spans="17:19" x14ac:dyDescent="0.2">
      <c r="Q388" s="51"/>
      <c r="R388" s="51"/>
      <c r="S388" s="51"/>
    </row>
    <row r="389" spans="17:19" x14ac:dyDescent="0.2">
      <c r="Q389" s="51"/>
      <c r="R389" s="51"/>
      <c r="S389" s="51"/>
    </row>
    <row r="390" spans="17:19" x14ac:dyDescent="0.2">
      <c r="Q390" s="51"/>
      <c r="R390" s="51"/>
      <c r="S390" s="51"/>
    </row>
    <row r="391" spans="17:19" x14ac:dyDescent="0.2">
      <c r="Q391" s="51"/>
      <c r="R391" s="51"/>
      <c r="S391" s="51"/>
    </row>
    <row r="392" spans="17:19" x14ac:dyDescent="0.2">
      <c r="Q392" s="51"/>
      <c r="R392" s="51"/>
      <c r="S392" s="51"/>
    </row>
    <row r="393" spans="17:19" x14ac:dyDescent="0.2">
      <c r="Q393" s="51"/>
      <c r="R393" s="51"/>
      <c r="S393" s="51"/>
    </row>
    <row r="394" spans="17:19" x14ac:dyDescent="0.2">
      <c r="Q394" s="51"/>
      <c r="R394" s="51"/>
      <c r="S394" s="51"/>
    </row>
    <row r="395" spans="17:19" x14ac:dyDescent="0.2">
      <c r="Q395" s="51"/>
      <c r="R395" s="51"/>
      <c r="S395" s="51"/>
    </row>
    <row r="396" spans="17:19" x14ac:dyDescent="0.2">
      <c r="Q396" s="51"/>
      <c r="R396" s="51"/>
      <c r="S396" s="51"/>
    </row>
    <row r="397" spans="17:19" x14ac:dyDescent="0.2">
      <c r="Q397" s="51"/>
      <c r="R397" s="51"/>
      <c r="S397" s="51"/>
    </row>
    <row r="398" spans="17:19" x14ac:dyDescent="0.2">
      <c r="Q398" s="51"/>
      <c r="R398" s="51"/>
      <c r="S398" s="51"/>
    </row>
    <row r="399" spans="17:19" x14ac:dyDescent="0.2">
      <c r="Q399" s="51"/>
      <c r="R399" s="51"/>
      <c r="S399" s="51"/>
    </row>
    <row r="400" spans="17:19" x14ac:dyDescent="0.2">
      <c r="Q400" s="51"/>
      <c r="R400" s="51"/>
      <c r="S400" s="51"/>
    </row>
    <row r="401" spans="17:19" x14ac:dyDescent="0.2">
      <c r="Q401" s="51"/>
      <c r="R401" s="51"/>
      <c r="S401" s="51"/>
    </row>
    <row r="402" spans="17:19" x14ac:dyDescent="0.2">
      <c r="Q402" s="51"/>
      <c r="R402" s="51"/>
      <c r="S402" s="51"/>
    </row>
    <row r="403" spans="17:19" x14ac:dyDescent="0.2">
      <c r="Q403" s="51"/>
      <c r="R403" s="51"/>
      <c r="S403" s="51"/>
    </row>
    <row r="404" spans="17:19" x14ac:dyDescent="0.2">
      <c r="Q404" s="51"/>
      <c r="R404" s="51"/>
      <c r="S404" s="51"/>
    </row>
    <row r="405" spans="17:19" x14ac:dyDescent="0.2">
      <c r="Q405" s="51"/>
      <c r="R405" s="51"/>
      <c r="S405" s="51"/>
    </row>
    <row r="406" spans="17:19" x14ac:dyDescent="0.2">
      <c r="Q406" s="51"/>
      <c r="R406" s="51"/>
      <c r="S406" s="51"/>
    </row>
    <row r="407" spans="17:19" x14ac:dyDescent="0.2">
      <c r="Q407" s="51"/>
      <c r="R407" s="51"/>
      <c r="S407" s="51"/>
    </row>
    <row r="408" spans="17:19" x14ac:dyDescent="0.2">
      <c r="Q408" s="51"/>
      <c r="R408" s="51"/>
      <c r="S408" s="51"/>
    </row>
    <row r="409" spans="17:19" x14ac:dyDescent="0.2">
      <c r="Q409" s="51"/>
      <c r="R409" s="51"/>
      <c r="S409" s="51"/>
    </row>
    <row r="410" spans="17:19" x14ac:dyDescent="0.2">
      <c r="Q410" s="51"/>
      <c r="R410" s="51"/>
      <c r="S410" s="51"/>
    </row>
    <row r="411" spans="17:19" x14ac:dyDescent="0.2">
      <c r="Q411" s="51"/>
      <c r="R411" s="51"/>
      <c r="S411" s="51"/>
    </row>
    <row r="412" spans="17:19" x14ac:dyDescent="0.2">
      <c r="Q412" s="51"/>
      <c r="R412" s="51"/>
      <c r="S412" s="51"/>
    </row>
    <row r="413" spans="17:19" x14ac:dyDescent="0.2">
      <c r="Q413" s="51"/>
      <c r="R413" s="51"/>
      <c r="S413" s="51"/>
    </row>
    <row r="414" spans="17:19" x14ac:dyDescent="0.2">
      <c r="Q414" s="51"/>
      <c r="R414" s="51"/>
      <c r="S414" s="51"/>
    </row>
    <row r="415" spans="17:19" x14ac:dyDescent="0.2">
      <c r="Q415" s="51"/>
      <c r="R415" s="51"/>
      <c r="S415" s="51"/>
    </row>
    <row r="416" spans="17:19" x14ac:dyDescent="0.2">
      <c r="Q416" s="51"/>
      <c r="R416" s="51"/>
      <c r="S416" s="51"/>
    </row>
    <row r="417" spans="17:19" x14ac:dyDescent="0.2">
      <c r="Q417" s="51"/>
      <c r="R417" s="51"/>
      <c r="S417" s="51"/>
    </row>
    <row r="418" spans="17:19" x14ac:dyDescent="0.2">
      <c r="Q418" s="51"/>
      <c r="R418" s="51"/>
      <c r="S418" s="51"/>
    </row>
    <row r="419" spans="17:19" x14ac:dyDescent="0.2">
      <c r="Q419" s="51"/>
      <c r="R419" s="51"/>
      <c r="S419" s="51"/>
    </row>
    <row r="420" spans="17:19" x14ac:dyDescent="0.2">
      <c r="Q420" s="51"/>
      <c r="R420" s="51"/>
      <c r="S420" s="51"/>
    </row>
    <row r="421" spans="17:19" x14ac:dyDescent="0.2">
      <c r="Q421" s="51"/>
      <c r="R421" s="51"/>
      <c r="S421" s="51"/>
    </row>
    <row r="422" spans="17:19" x14ac:dyDescent="0.2">
      <c r="Q422" s="51"/>
      <c r="R422" s="51"/>
      <c r="S422" s="51"/>
    </row>
    <row r="423" spans="17:19" x14ac:dyDescent="0.2">
      <c r="Q423" s="51"/>
      <c r="R423" s="51"/>
      <c r="S423" s="51"/>
    </row>
    <row r="424" spans="17:19" x14ac:dyDescent="0.2">
      <c r="Q424" s="51"/>
      <c r="R424" s="51"/>
      <c r="S424" s="51"/>
    </row>
    <row r="425" spans="17:19" x14ac:dyDescent="0.2">
      <c r="Q425" s="51"/>
      <c r="R425" s="51"/>
      <c r="S425" s="51"/>
    </row>
    <row r="426" spans="17:19" x14ac:dyDescent="0.2">
      <c r="Q426" s="51"/>
      <c r="R426" s="51"/>
      <c r="S426" s="51"/>
    </row>
    <row r="427" spans="17:19" x14ac:dyDescent="0.2">
      <c r="Q427" s="51"/>
      <c r="R427" s="51"/>
      <c r="S427" s="51"/>
    </row>
    <row r="428" spans="17:19" x14ac:dyDescent="0.2">
      <c r="Q428" s="51"/>
      <c r="R428" s="51"/>
      <c r="S428" s="51"/>
    </row>
    <row r="429" spans="17:19" x14ac:dyDescent="0.2">
      <c r="Q429" s="51"/>
      <c r="R429" s="51"/>
      <c r="S429" s="51"/>
    </row>
    <row r="430" spans="17:19" x14ac:dyDescent="0.2">
      <c r="Q430" s="51"/>
      <c r="R430" s="51"/>
      <c r="S430" s="51"/>
    </row>
    <row r="431" spans="17:19" x14ac:dyDescent="0.2">
      <c r="Q431" s="51"/>
      <c r="R431" s="51"/>
      <c r="S431" s="51"/>
    </row>
    <row r="432" spans="17:19" x14ac:dyDescent="0.2">
      <c r="Q432" s="51"/>
      <c r="R432" s="51"/>
      <c r="S432" s="51"/>
    </row>
    <row r="433" spans="17:19" x14ac:dyDescent="0.2">
      <c r="Q433" s="51"/>
      <c r="R433" s="51"/>
      <c r="S433" s="51"/>
    </row>
    <row r="434" spans="17:19" x14ac:dyDescent="0.2">
      <c r="Q434" s="51"/>
      <c r="R434" s="51"/>
      <c r="S434" s="51"/>
    </row>
    <row r="435" spans="17:19" x14ac:dyDescent="0.2">
      <c r="Q435" s="51"/>
      <c r="R435" s="51"/>
      <c r="S435" s="51"/>
    </row>
    <row r="436" spans="17:19" x14ac:dyDescent="0.2">
      <c r="Q436" s="51"/>
      <c r="R436" s="51"/>
      <c r="S436" s="51"/>
    </row>
    <row r="437" spans="17:19" x14ac:dyDescent="0.2">
      <c r="Q437" s="51"/>
      <c r="R437" s="51"/>
      <c r="S437" s="51"/>
    </row>
    <row r="438" spans="17:19" x14ac:dyDescent="0.2">
      <c r="Q438" s="51"/>
      <c r="R438" s="51"/>
      <c r="S438" s="51"/>
    </row>
    <row r="439" spans="17:19" x14ac:dyDescent="0.2">
      <c r="Q439" s="51"/>
      <c r="R439" s="51"/>
      <c r="S439" s="51"/>
    </row>
    <row r="440" spans="17:19" x14ac:dyDescent="0.2">
      <c r="Q440" s="51"/>
      <c r="R440" s="51"/>
      <c r="S440" s="51"/>
    </row>
    <row r="441" spans="17:19" x14ac:dyDescent="0.2">
      <c r="Q441" s="51"/>
      <c r="R441" s="51"/>
      <c r="S441" s="51"/>
    </row>
    <row r="442" spans="17:19" x14ac:dyDescent="0.2">
      <c r="Q442" s="51"/>
      <c r="R442" s="51"/>
      <c r="S442" s="51"/>
    </row>
    <row r="443" spans="17:19" x14ac:dyDescent="0.2">
      <c r="Q443" s="51"/>
      <c r="R443" s="51"/>
      <c r="S443" s="51"/>
    </row>
    <row r="444" spans="17:19" x14ac:dyDescent="0.2">
      <c r="Q444" s="51"/>
      <c r="R444" s="51"/>
      <c r="S444" s="51"/>
    </row>
    <row r="445" spans="17:19" x14ac:dyDescent="0.2">
      <c r="Q445" s="51"/>
      <c r="R445" s="51"/>
      <c r="S445" s="51"/>
    </row>
    <row r="446" spans="17:19" x14ac:dyDescent="0.2">
      <c r="Q446" s="51"/>
      <c r="R446" s="51"/>
      <c r="S446" s="51"/>
    </row>
    <row r="447" spans="17:19" x14ac:dyDescent="0.2">
      <c r="Q447" s="51"/>
      <c r="R447" s="51"/>
      <c r="S447" s="51"/>
    </row>
    <row r="448" spans="17:19" x14ac:dyDescent="0.2">
      <c r="Q448" s="51"/>
      <c r="R448" s="51"/>
      <c r="S448" s="51"/>
    </row>
    <row r="449" spans="17:19" x14ac:dyDescent="0.2">
      <c r="Q449" s="51"/>
      <c r="R449" s="51"/>
      <c r="S449" s="51"/>
    </row>
    <row r="450" spans="17:19" x14ac:dyDescent="0.2">
      <c r="Q450" s="51"/>
      <c r="R450" s="51"/>
      <c r="S450" s="51"/>
    </row>
    <row r="451" spans="17:19" x14ac:dyDescent="0.2">
      <c r="Q451" s="51"/>
      <c r="R451" s="51"/>
      <c r="S451" s="51"/>
    </row>
    <row r="452" spans="17:19" x14ac:dyDescent="0.2">
      <c r="Q452" s="51"/>
      <c r="R452" s="51"/>
      <c r="S452" s="51"/>
    </row>
    <row r="453" spans="17:19" x14ac:dyDescent="0.2">
      <c r="Q453" s="51"/>
      <c r="R453" s="51"/>
      <c r="S453" s="51"/>
    </row>
    <row r="454" spans="17:19" x14ac:dyDescent="0.2">
      <c r="Q454" s="51"/>
      <c r="R454" s="51"/>
      <c r="S454" s="51"/>
    </row>
    <row r="455" spans="17:19" x14ac:dyDescent="0.2">
      <c r="Q455" s="51"/>
      <c r="R455" s="51"/>
      <c r="S455" s="51"/>
    </row>
    <row r="456" spans="17:19" x14ac:dyDescent="0.2">
      <c r="Q456" s="51"/>
      <c r="R456" s="51"/>
      <c r="S456" s="51"/>
    </row>
    <row r="457" spans="17:19" x14ac:dyDescent="0.2">
      <c r="Q457" s="51"/>
      <c r="R457" s="51"/>
      <c r="S457" s="51"/>
    </row>
    <row r="458" spans="17:19" x14ac:dyDescent="0.2">
      <c r="Q458" s="51"/>
      <c r="R458" s="51"/>
      <c r="S458" s="51"/>
    </row>
    <row r="459" spans="17:19" x14ac:dyDescent="0.2">
      <c r="Q459" s="51"/>
      <c r="R459" s="51"/>
      <c r="S459" s="51"/>
    </row>
    <row r="460" spans="17:19" x14ac:dyDescent="0.2">
      <c r="Q460" s="51"/>
      <c r="R460" s="51"/>
      <c r="S460" s="51"/>
    </row>
    <row r="461" spans="17:19" x14ac:dyDescent="0.2">
      <c r="Q461" s="51"/>
      <c r="R461" s="51"/>
      <c r="S461" s="51"/>
    </row>
    <row r="462" spans="17:19" x14ac:dyDescent="0.2">
      <c r="Q462" s="51"/>
      <c r="R462" s="51"/>
      <c r="S462" s="51"/>
    </row>
    <row r="463" spans="17:19" x14ac:dyDescent="0.2">
      <c r="Q463" s="51"/>
      <c r="R463" s="51"/>
      <c r="S463" s="51"/>
    </row>
    <row r="464" spans="17:19" x14ac:dyDescent="0.2">
      <c r="Q464" s="51"/>
      <c r="R464" s="51"/>
      <c r="S464" s="51"/>
    </row>
  </sheetData>
  <mergeCells count="1">
    <mergeCell ref="D1:AI1"/>
  </mergeCells>
  <phoneticPr fontId="0" type="noConversion"/>
  <conditionalFormatting sqref="H2:J2 AC2:AH2">
    <cfRule type="cellIs" dxfId="11" priority="1" stopIfTrue="1" operator="equal">
      <formula>$B$4</formula>
    </cfRule>
  </conditionalFormatting>
  <conditionalFormatting sqref="Q2:S2 Q465:S65536 O2:P203 K204:P65536 N3:N203 K2:N2 T2:V65536 Z2:AB65536 W2:Y2">
    <cfRule type="cellIs" dxfId="10" priority="2" stopIfTrue="1" operator="lessThan">
      <formula>0</formula>
    </cfRule>
  </conditionalFormatting>
  <conditionalFormatting sqref="R3:S464 Q4:Q464">
    <cfRule type="cellIs" dxfId="9" priority="5" stopIfTrue="1" operator="lessThan">
      <formula>0</formula>
    </cfRule>
    <cfRule type="expression" dxfId="8" priority="6" stopIfTrue="1">
      <formula>AND(Q3&gt;0,Q3&lt;=$U3)</formula>
    </cfRule>
  </conditionalFormatting>
  <conditionalFormatting sqref="M3:M203 K4:L203">
    <cfRule type="cellIs" dxfId="7" priority="7" stopIfTrue="1" operator="lessThan">
      <formula>0</formula>
    </cfRule>
    <cfRule type="expression" dxfId="6" priority="8" stopIfTrue="1">
      <formula>AND(K3&gt;0,K3&lt;=$O3)</formula>
    </cfRule>
  </conditionalFormatting>
  <conditionalFormatting sqref="K3:L3">
    <cfRule type="cellIs" dxfId="5" priority="9" stopIfTrue="1" operator="lessThan">
      <formula>0</formula>
    </cfRule>
    <cfRule type="expression" dxfId="4" priority="10" stopIfTrue="1">
      <formula>AND(K3&gt;0,K3&lt;=$O3)</formula>
    </cfRule>
  </conditionalFormatting>
  <conditionalFormatting sqref="Q3">
    <cfRule type="cellIs" dxfId="3" priority="11" stopIfTrue="1" operator="lessThan">
      <formula>0</formula>
    </cfRule>
    <cfRule type="expression" dxfId="2" priority="12" stopIfTrue="1">
      <formula>AND(Q3&gt;0,Q3&lt;=$U3)</formula>
    </cfRule>
  </conditionalFormatting>
  <conditionalFormatting sqref="W3:Y65536">
    <cfRule type="cellIs" dxfId="1" priority="13" stopIfTrue="1" operator="lessThan">
      <formula>0</formula>
    </cfRule>
    <cfRule type="expression" dxfId="0" priority="14" stopIfTrue="1">
      <formula>AND(W3&gt;0,W3&lt;=$AA3)</formula>
    </cfRule>
  </conditionalFormatting>
  <dataValidations count="1">
    <dataValidation allowBlank="1" showInputMessage="1" showErrorMessage="1" prompt="Don't delete this row.  It's OK to hide columns, change width or sort this sheet for easier printing." sqref="B2:AD2" xr:uid="{00000000-0002-0000-0C00-000000000000}"/>
  </dataValidations>
  <printOptions horizontalCentered="1"/>
  <pageMargins left="0.25" right="0.25" top="1" bottom="1" header="0.5" footer="0.5"/>
  <pageSetup paperSize="5" fitToHeight="0" orientation="landscape" r:id="rId1"/>
  <headerFooter alignWithMargins="0">
    <oddFooter>&amp;LChief Referee
________________________
________________________&amp;CSide Referee
________________________
________________________&amp;RSide Referee
________________________
________________________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AH104"/>
  <sheetViews>
    <sheetView topLeftCell="G4" workbookViewId="0">
      <selection activeCell="P6" sqref="P6"/>
    </sheetView>
  </sheetViews>
  <sheetFormatPr defaultColWidth="9.140625" defaultRowHeight="12.75" x14ac:dyDescent="0.2"/>
  <cols>
    <col min="1" max="1" width="9.140625" style="128" hidden="1" customWidth="1"/>
    <col min="2" max="2" width="17.7109375" style="129" hidden="1" customWidth="1"/>
    <col min="3" max="6" width="5.140625" style="128" hidden="1" customWidth="1"/>
    <col min="7" max="9" width="5.140625" style="128" customWidth="1"/>
    <col min="10" max="10" width="9.5703125" style="131" customWidth="1"/>
    <col min="11" max="11" width="33.85546875" style="130" customWidth="1"/>
    <col min="12" max="15" width="11.140625" style="130" customWidth="1"/>
    <col min="16" max="16" width="13.42578125" style="130" customWidth="1"/>
    <col min="17" max="18" width="9.140625" style="130"/>
    <col min="19" max="24" width="9.140625" style="131"/>
    <col min="25" max="25" width="10.5703125" style="131" customWidth="1"/>
    <col min="26" max="26" width="15.7109375" style="131" customWidth="1"/>
    <col min="27" max="27" width="10.28515625" style="131" customWidth="1"/>
    <col min="28" max="28" width="15.140625" style="131" customWidth="1"/>
    <col min="29" max="16384" width="9.140625" style="130"/>
  </cols>
  <sheetData>
    <row r="1" spans="1:34" ht="7.5" customHeight="1" x14ac:dyDescent="0.2"/>
    <row r="2" spans="1:34" ht="45" customHeight="1" x14ac:dyDescent="0.2">
      <c r="J2" s="431" t="str">
        <f>Setup!C2</f>
        <v>Contest Name</v>
      </c>
      <c r="K2" s="431"/>
      <c r="L2" s="431"/>
      <c r="M2" s="431"/>
      <c r="N2" s="431"/>
      <c r="O2" s="431"/>
      <c r="P2" s="431"/>
    </row>
    <row r="3" spans="1:34" ht="110.25" customHeight="1" x14ac:dyDescent="0.2">
      <c r="B3" s="132"/>
      <c r="L3" s="199" t="s">
        <v>125</v>
      </c>
    </row>
    <row r="5" spans="1:34" x14ac:dyDescent="0.2">
      <c r="A5" s="129" t="s">
        <v>87</v>
      </c>
      <c r="B5" s="129" t="s">
        <v>96</v>
      </c>
    </row>
    <row r="6" spans="1:34" s="135" customFormat="1" ht="36" customHeight="1" x14ac:dyDescent="0.2">
      <c r="A6" s="133" t="str">
        <f ca="1">OFFSET(Setup!O6,MATCH(J6,INDIRECT(B6),0),0)</f>
        <v>F_WOM</v>
      </c>
      <c r="B6" s="133" t="str">
        <f>CONCATENATE("Setup!P7:P",COUNTA(Setup!O:O)+4)</f>
        <v>Setup!P7:P12</v>
      </c>
      <c r="C6" s="128"/>
      <c r="D6" s="128"/>
      <c r="E6" s="128"/>
      <c r="F6" s="128"/>
      <c r="G6" s="128"/>
      <c r="H6" s="128"/>
      <c r="I6" s="128"/>
      <c r="J6" s="430" t="s">
        <v>213</v>
      </c>
      <c r="K6" s="430"/>
      <c r="L6" s="430"/>
      <c r="M6" s="430"/>
      <c r="N6" s="430"/>
      <c r="O6" s="430"/>
      <c r="P6" s="134"/>
      <c r="R6" s="130"/>
      <c r="S6" s="131"/>
      <c r="T6" s="131"/>
      <c r="U6" s="131"/>
      <c r="V6" s="131"/>
      <c r="W6" s="131"/>
      <c r="X6" s="131"/>
      <c r="Y6" s="136"/>
      <c r="Z6" s="136"/>
      <c r="AA6" s="131"/>
      <c r="AB6" s="131"/>
      <c r="AC6" s="130"/>
      <c r="AD6" s="130"/>
    </row>
    <row r="7" spans="1:34" s="135" customFormat="1" ht="36" customHeight="1" x14ac:dyDescent="0.2">
      <c r="A7" s="133" t="s">
        <v>97</v>
      </c>
      <c r="B7" s="133" t="str">
        <f ca="1">IF(LEFT(A6,1)="M","Setup!K9:K23","Setup!M9:M23")</f>
        <v>Setup!M9:M23</v>
      </c>
      <c r="C7" s="128"/>
      <c r="D7" s="128"/>
      <c r="E7" s="128"/>
      <c r="F7" s="128"/>
      <c r="G7" s="128"/>
      <c r="H7" s="128"/>
      <c r="I7" s="128"/>
      <c r="J7" s="177">
        <v>76</v>
      </c>
      <c r="K7" s="137" t="str">
        <f>IF(J7="SHW","Class",IF(Setup!K6="BWt (Kg)","Kilo Class","Pound Class"))</f>
        <v>Kilo Class</v>
      </c>
      <c r="L7" s="429" t="s">
        <v>68</v>
      </c>
      <c r="M7" s="429"/>
      <c r="N7" s="429"/>
      <c r="O7" s="429"/>
      <c r="P7" s="134"/>
      <c r="R7" s="130"/>
      <c r="S7" s="131"/>
      <c r="T7" s="131"/>
      <c r="U7" s="131"/>
      <c r="V7" s="131"/>
      <c r="W7" s="131"/>
      <c r="X7" s="131"/>
      <c r="Y7" s="136"/>
      <c r="Z7" s="136"/>
      <c r="AA7" s="131"/>
      <c r="AB7" s="131"/>
      <c r="AC7" s="130"/>
      <c r="AD7" s="130"/>
    </row>
    <row r="8" spans="1:34" ht="5.25" customHeight="1" x14ac:dyDescent="0.2">
      <c r="J8" s="138"/>
      <c r="K8" s="139"/>
      <c r="L8" s="139"/>
      <c r="M8" s="139"/>
      <c r="N8" s="139"/>
      <c r="O8" s="139"/>
      <c r="P8" s="139"/>
      <c r="Y8" s="136"/>
      <c r="Z8" s="136"/>
    </row>
    <row r="9" spans="1:34" s="135" customFormat="1" ht="36" customHeight="1" x14ac:dyDescent="0.2">
      <c r="A9" s="140"/>
      <c r="B9" s="129">
        <f ca="1">OFFSET(Setup!Q6,MATCH(J6,INDIRECT(B6),0),0)</f>
        <v>1</v>
      </c>
      <c r="C9" s="128"/>
      <c r="D9" s="128"/>
      <c r="E9" s="128"/>
      <c r="F9" s="128"/>
      <c r="G9" s="128"/>
      <c r="H9" s="128"/>
      <c r="I9" s="128"/>
      <c r="J9" s="141" t="s">
        <v>76</v>
      </c>
      <c r="K9" s="142" t="s">
        <v>0</v>
      </c>
      <c r="L9" s="141" t="s">
        <v>11</v>
      </c>
      <c r="M9" s="141" t="s">
        <v>15</v>
      </c>
      <c r="N9" s="141" t="s">
        <v>21</v>
      </c>
      <c r="O9" s="141" t="s">
        <v>68</v>
      </c>
      <c r="P9" s="143" t="str">
        <f ca="1">IF(B9=1,"","Coeff-Score")</f>
        <v/>
      </c>
      <c r="R9" s="130"/>
      <c r="S9" s="131"/>
      <c r="T9" s="131"/>
      <c r="U9" s="131"/>
      <c r="V9" s="131"/>
      <c r="W9" s="131"/>
      <c r="X9" s="131"/>
      <c r="Y9" s="136"/>
      <c r="Z9" s="136"/>
      <c r="AA9" s="131"/>
      <c r="AB9" s="131"/>
      <c r="AC9" s="130"/>
      <c r="AD9" s="130"/>
      <c r="AH9" s="144"/>
    </row>
    <row r="10" spans="1:34" s="135" customFormat="1" ht="36" customHeight="1" x14ac:dyDescent="0.2">
      <c r="A10" s="140"/>
      <c r="B10" s="129" t="str">
        <f ca="1">CONCATENATE(J10,"-",$A$6,IF($B$9=1,CONCATENATE("-",IF($J$7="SHW",$J$7,ROUND($J$7,1))),""))</f>
        <v>1-F_WOM-76</v>
      </c>
      <c r="C10" s="128"/>
      <c r="D10" s="128"/>
      <c r="E10" s="128"/>
      <c r="F10" s="128"/>
      <c r="G10" s="128"/>
      <c r="H10" s="128"/>
      <c r="I10" s="128"/>
      <c r="J10" s="141">
        <v>1</v>
      </c>
      <c r="K10" s="142" t="str">
        <f ca="1">IF(ISERROR(INDIRECT(CONCATENATE("Lifting!C",MATCH(B10,Lifting!$AF:$AF,0)))),"",INDIRECT(CONCATENATE("Lifting!C",MATCH(B10,Lifting!$AF:$AF,0))))</f>
        <v>ASUDE DİLAGAH DAGLIOGLU</v>
      </c>
      <c r="L10" s="141">
        <f ca="1">IF(OR($L$7="Best Bench",$L$7="Best Deadlift",$L$7="Push Pull Total"),"",IF(K10="","",INDIRECT(CONCATENATE("Lifting!O",MATCH(B10,Lifting!$AF:$AF,0)))))</f>
        <v>140</v>
      </c>
      <c r="M10" s="141">
        <f ca="1">IF(OR($L$7="Best Squat",$L$7="Best Deadlift"),"",IF(K10="","",INDIRECT(CONCATENATE("Lifting!U",MATCH(B10,Lifting!$AF:$AF,0)))))</f>
        <v>65</v>
      </c>
      <c r="N10" s="141">
        <f ca="1">IF(OR($L$7="Best Bench",$L$7="Best Squat"),"",IF(K10="","",INDIRECT(CONCATENATE("Lifting!AA",MATCH(B10,Lifting!$AF:$AF,0)))))</f>
        <v>175</v>
      </c>
      <c r="O10" s="141">
        <f ca="1">IF(OR($L$7="Best Bench",$L$7="Best Deadlift",$L$7="Best Deadlift"),"",IF(K10="","",INDIRECT(CONCATENATE("Lifting!AB",MATCH(B10,Lifting!$AF:$AF,0)))))</f>
        <v>380</v>
      </c>
      <c r="P10" s="134" t="str">
        <f ca="1">IF(OR($B$9=1,K10=""),"",INDIRECT(CONCATENATE(CONCATENATE("Lifting!",IF($B$9=2,"AC","AD"),MATCH(B10,Lifting!$AF:$AF,0)))))</f>
        <v/>
      </c>
      <c r="R10" s="130"/>
      <c r="S10" s="131"/>
      <c r="T10" s="131"/>
      <c r="U10" s="131"/>
      <c r="V10" s="131"/>
      <c r="W10" s="131"/>
      <c r="X10" s="131"/>
      <c r="Y10" s="136"/>
      <c r="Z10" s="136"/>
      <c r="AA10" s="131"/>
      <c r="AB10" s="131"/>
      <c r="AC10" s="130"/>
      <c r="AD10" s="130"/>
      <c r="AH10" s="144"/>
    </row>
    <row r="11" spans="1:34" s="135" customFormat="1" ht="36" customHeight="1" x14ac:dyDescent="0.2">
      <c r="A11" s="140"/>
      <c r="B11" s="129" t="str">
        <f ca="1">CONCATENATE(J11,"-",$A$6,IF($B$9=1,CONCATENATE("-",IF($J$7="SHW",$J$7,ROUND($J$7,1))),""))</f>
        <v>2-F_WOM-76</v>
      </c>
      <c r="C11" s="128"/>
      <c r="D11" s="128"/>
      <c r="E11" s="128"/>
      <c r="F11" s="128"/>
      <c r="G11" s="128"/>
      <c r="H11" s="128"/>
      <c r="I11" s="128"/>
      <c r="J11" s="141">
        <v>2</v>
      </c>
      <c r="K11" s="142" t="str">
        <f ca="1">IF(ISERROR(INDIRECT(CONCATENATE("Lifting!C",MATCH(B11,Lifting!$AF:$AF,0)))),"",INDIRECT(CONCATENATE("Lifting!C",MATCH(B11,Lifting!$AF:$AF,0))))</f>
        <v>GOKSU SARICA</v>
      </c>
      <c r="L11" s="141">
        <f ca="1">IF(OR($L$7="Best Bench",$L$7="Best Deadlift",$L$7="Push Pull Total"),"",IF(K11="","",INDIRECT(CONCATENATE("Lifting!O",MATCH(B11,Lifting!$AF:$AF,0)))))</f>
        <v>135</v>
      </c>
      <c r="M11" s="141">
        <f ca="1">IF(OR($L$7="Best Squat",$L$7="Best Deadlift"),"",IF(K11="","",INDIRECT(CONCATENATE("Lifting!U",MATCH(B11,Lifting!$AF:$AF,0)))))</f>
        <v>55</v>
      </c>
      <c r="N11" s="141">
        <f ca="1">IF(OR($L$7="Best Bench",$L$7="Best Squat"),"",IF(K11="","",INDIRECT(CONCATENATE("Lifting!AA",MATCH(B11,Lifting!$AF:$AF,0)))))</f>
        <v>142.5</v>
      </c>
      <c r="O11" s="141">
        <f ca="1">IF(OR($L$7="Best Bench",$L$7="Best Deadlift",$L$7="Best Deadlift"),"",IF(K11="","",INDIRECT(CONCATENATE("Lifting!AB",MATCH(B11,Lifting!$AF:$AF,0)))))</f>
        <v>332.5</v>
      </c>
      <c r="P11" s="134" t="str">
        <f ca="1">IF(OR($B$9=1,K11=""),"",INDIRECT(CONCATENATE(CONCATENATE("Lifting!",IF($B$9=2,"AC","AD"),MATCH(B11,Lifting!$AF:$AF,0)))))</f>
        <v/>
      </c>
      <c r="R11" s="130"/>
      <c r="S11" s="131"/>
      <c r="T11" s="131"/>
      <c r="U11" s="131"/>
      <c r="V11" s="131"/>
      <c r="W11" s="131"/>
      <c r="X11" s="131"/>
      <c r="Y11" s="136"/>
      <c r="Z11" s="136"/>
      <c r="AA11" s="131"/>
      <c r="AB11" s="131"/>
      <c r="AC11" s="130"/>
      <c r="AD11" s="130"/>
      <c r="AH11" s="144"/>
    </row>
    <row r="12" spans="1:34" s="135" customFormat="1" ht="36" customHeight="1" x14ac:dyDescent="0.2">
      <c r="A12" s="140"/>
      <c r="B12" s="129" t="str">
        <f ca="1">CONCATENATE(J12,"-",$A$6,IF($B$9=1,CONCATENATE("-",IF($J$7="SHW",$J$7,ROUND($J$7,1))),""))</f>
        <v>3-F_WOM-76</v>
      </c>
      <c r="C12" s="128"/>
      <c r="D12" s="128"/>
      <c r="E12" s="128"/>
      <c r="F12" s="128"/>
      <c r="G12" s="128"/>
      <c r="H12" s="128"/>
      <c r="I12" s="128"/>
      <c r="J12" s="141">
        <v>3</v>
      </c>
      <c r="K12" s="142" t="str">
        <f ca="1">IF(ISERROR(INDIRECT(CONCATENATE("Lifting!C",MATCH(B12,Lifting!$AF:$AF,0)))),"",INDIRECT(CONCATENATE("Lifting!C",MATCH(B12,Lifting!$AF:$AF,0))))</f>
        <v>OUMNİA BİYA</v>
      </c>
      <c r="L12" s="141">
        <f ca="1">IF(OR($L$7="Best Bench",$L$7="Best Deadlift",$L$7="Push Pull Total"),"",IF(K12="","",INDIRECT(CONCATENATE("Lifting!O",MATCH(B12,Lifting!$AF:$AF,0)))))</f>
        <v>95</v>
      </c>
      <c r="M12" s="141">
        <f ca="1">IF(OR($L$7="Best Squat",$L$7="Best Deadlift"),"",IF(K12="","",INDIRECT(CONCATENATE("Lifting!U",MATCH(B12,Lifting!$AF:$AF,0)))))</f>
        <v>52.5</v>
      </c>
      <c r="N12" s="141">
        <f ca="1">IF(OR($L$7="Best Bench",$L$7="Best Squat"),"",IF(K12="","",INDIRECT(CONCATENATE("Lifting!AA",MATCH(B12,Lifting!$AF:$AF,0)))))</f>
        <v>122.5</v>
      </c>
      <c r="O12" s="141">
        <f ca="1">IF(OR($L$7="Best Bench",$L$7="Best Deadlift",$L$7="Best Deadlift"),"",IF(K12="","",INDIRECT(CONCATENATE("Lifting!AB",MATCH(B12,Lifting!$AF:$AF,0)))))</f>
        <v>270</v>
      </c>
      <c r="P12" s="134" t="str">
        <f ca="1">IF(OR($B$9=1,K12=""),"",INDIRECT(CONCATENATE(CONCATENATE("Lifting!",IF($B$9=2,"AC","AD"),MATCH(B12,Lifting!$AF:$AF,0)))))</f>
        <v/>
      </c>
      <c r="R12" s="130"/>
      <c r="S12" s="131"/>
      <c r="T12" s="131"/>
      <c r="U12" s="131"/>
      <c r="V12" s="131"/>
      <c r="W12" s="131"/>
      <c r="X12" s="131"/>
      <c r="Y12" s="136"/>
      <c r="Z12" s="136"/>
      <c r="AA12" s="131"/>
      <c r="AB12" s="131"/>
      <c r="AC12" s="130"/>
      <c r="AD12" s="130"/>
      <c r="AH12" s="144"/>
    </row>
    <row r="13" spans="1:34" s="135" customFormat="1" ht="36" customHeight="1" x14ac:dyDescent="0.2">
      <c r="A13" s="140"/>
      <c r="B13" s="129" t="str">
        <f ca="1">CONCATENATE(J13,"-",$A$6,IF($B$9=1,CONCATENATE("-",IF($J$7="SHW",$J$7,ROUND($J$7,1))),""))</f>
        <v>4-F_WOM-76</v>
      </c>
      <c r="C13" s="128"/>
      <c r="D13" s="128"/>
      <c r="E13" s="128"/>
      <c r="F13" s="128"/>
      <c r="G13" s="128"/>
      <c r="H13" s="128"/>
      <c r="I13" s="128"/>
      <c r="J13" s="141">
        <v>4</v>
      </c>
      <c r="K13" s="142" t="str">
        <f ca="1">IF(ISERROR(INDIRECT(CONCATENATE("Lifting!C",MATCH(B13,Lifting!$AF:$AF,0)))),"",INDIRECT(CONCATENATE("Lifting!C",MATCH(B13,Lifting!$AF:$AF,0))))</f>
        <v>KADER SOYDAN</v>
      </c>
      <c r="L13" s="141">
        <f ca="1">IF(OR($L$7="Best Bench",$L$7="Best Deadlift",$L$7="Push Pull Total"),"",IF(K13="","",INDIRECT(CONCATENATE("Lifting!O",MATCH(B13,Lifting!$AF:$AF,0)))))</f>
        <v>90</v>
      </c>
      <c r="M13" s="141">
        <f ca="1">IF(OR($L$7="Best Squat",$L$7="Best Deadlift"),"",IF(K13="","",INDIRECT(CONCATENATE("Lifting!U",MATCH(B13,Lifting!$AF:$AF,0)))))</f>
        <v>45</v>
      </c>
      <c r="N13" s="141">
        <f ca="1">IF(OR($L$7="Best Bench",$L$7="Best Squat"),"",IF(K13="","",INDIRECT(CONCATENATE("Lifting!AA",MATCH(B13,Lifting!$AF:$AF,0)))))</f>
        <v>115</v>
      </c>
      <c r="O13" s="141">
        <f ca="1">IF(OR($L$7="Best Bench",$L$7="Best Deadlift",$L$7="Best Deadlift"),"",IF(K13="","",INDIRECT(CONCATENATE("Lifting!AB",MATCH(B13,Lifting!$AF:$AF,0)))))</f>
        <v>250</v>
      </c>
      <c r="P13" s="134" t="str">
        <f ca="1">IF(OR($B$9=1,K13=""),"",INDIRECT(CONCATENATE(CONCATENATE("Lifting!",IF($B$9=2,"AC","AD"),MATCH(B13,Lifting!$AF:$AF,0)))))</f>
        <v/>
      </c>
      <c r="R13" s="130"/>
      <c r="S13" s="131"/>
      <c r="T13" s="131"/>
      <c r="U13" s="131"/>
      <c r="V13" s="131"/>
      <c r="W13" s="131"/>
      <c r="X13" s="131"/>
      <c r="Y13" s="136"/>
      <c r="Z13" s="136"/>
      <c r="AA13" s="131"/>
      <c r="AB13" s="131"/>
      <c r="AC13" s="130"/>
      <c r="AD13" s="130"/>
      <c r="AH13" s="144"/>
    </row>
    <row r="14" spans="1:34" s="135" customFormat="1" ht="36" customHeight="1" x14ac:dyDescent="0.2">
      <c r="A14" s="140"/>
      <c r="B14" s="129" t="str">
        <f ca="1">CONCATENATE(J14,"-",$A$6,IF($B$9=1,CONCATENATE("-",IF($J$7="SHW",$J$7,ROUND($J$7,1))),""))</f>
        <v>5-F_WOM-76</v>
      </c>
      <c r="C14" s="128"/>
      <c r="D14" s="128"/>
      <c r="E14" s="128"/>
      <c r="F14" s="128"/>
      <c r="G14" s="128"/>
      <c r="H14" s="128"/>
      <c r="I14" s="128"/>
      <c r="J14" s="141">
        <v>5</v>
      </c>
      <c r="K14" s="142" t="str">
        <f ca="1">IF(ISERROR(INDIRECT(CONCATENATE("Lifting!C",MATCH(B14,Lifting!$AF:$AF,0)))),"",INDIRECT(CONCATENATE("Lifting!C",MATCH(B14,Lifting!$AF:$AF,0))))</f>
        <v>HAZAL MOAZZENİ</v>
      </c>
      <c r="L14" s="141">
        <f ca="1">IF(OR($L$7="Best Bench",$L$7="Best Deadlift",$L$7="Push Pull Total"),"",IF(K14="","",INDIRECT(CONCATENATE("Lifting!O",MATCH(B14,Lifting!$AF:$AF,0)))))</f>
        <v>75</v>
      </c>
      <c r="M14" s="141">
        <f ca="1">IF(OR($L$7="Best Squat",$L$7="Best Deadlift"),"",IF(K14="","",INDIRECT(CONCATENATE("Lifting!U",MATCH(B14,Lifting!$AF:$AF,0)))))</f>
        <v>40</v>
      </c>
      <c r="N14" s="141">
        <f ca="1">IF(OR($L$7="Best Bench",$L$7="Best Squat"),"",IF(K14="","",INDIRECT(CONCATENATE("Lifting!AA",MATCH(B14,Lifting!$AF:$AF,0)))))</f>
        <v>100</v>
      </c>
      <c r="O14" s="141">
        <f ca="1">IF(OR($L$7="Best Bench",$L$7="Best Deadlift",$L$7="Best Deadlift"),"",IF(K14="","",INDIRECT(CONCATENATE("Lifting!AB",MATCH(B14,Lifting!$AF:$AF,0)))))</f>
        <v>215</v>
      </c>
      <c r="P14" s="134" t="str">
        <f ca="1">IF(OR($B$9=1,K14=""),"",INDIRECT(CONCATENATE(CONCATENATE("Lifting!",IF($B$9=2,"AC","AD"),MATCH(B14,Lifting!$AF:$AF,0)))))</f>
        <v/>
      </c>
      <c r="R14" s="130"/>
      <c r="S14" s="131"/>
      <c r="T14" s="131"/>
      <c r="U14" s="131"/>
      <c r="V14" s="131"/>
      <c r="W14" s="131"/>
      <c r="X14" s="131"/>
      <c r="Y14" s="136"/>
      <c r="Z14" s="136"/>
      <c r="AA14" s="131"/>
      <c r="AB14" s="131"/>
      <c r="AC14" s="130"/>
      <c r="AD14" s="130"/>
      <c r="AH14" s="144"/>
    </row>
    <row r="15" spans="1:34" s="135" customFormat="1" ht="36" customHeight="1" x14ac:dyDescent="0.2">
      <c r="A15" s="140"/>
      <c r="B15" s="129"/>
      <c r="C15" s="128"/>
      <c r="D15" s="128"/>
      <c r="E15" s="128"/>
      <c r="F15" s="128"/>
      <c r="G15" s="128"/>
      <c r="H15" s="128"/>
      <c r="I15" s="128"/>
      <c r="J15" s="145"/>
      <c r="K15" s="146"/>
      <c r="L15" s="145"/>
      <c r="M15" s="145"/>
      <c r="N15" s="145"/>
      <c r="O15" s="145"/>
      <c r="P15" s="147"/>
      <c r="R15" s="130"/>
      <c r="S15" s="131"/>
      <c r="T15" s="131"/>
      <c r="U15" s="131"/>
      <c r="V15" s="131"/>
      <c r="W15" s="131"/>
      <c r="X15" s="131"/>
      <c r="Y15" s="136"/>
      <c r="Z15" s="136"/>
      <c r="AA15" s="131"/>
      <c r="AB15" s="131"/>
      <c r="AC15" s="130"/>
      <c r="AD15" s="130"/>
      <c r="AH15" s="144"/>
    </row>
    <row r="16" spans="1:34" s="135" customFormat="1" ht="36" customHeight="1" x14ac:dyDescent="0.2">
      <c r="A16" s="140"/>
      <c r="B16" s="129"/>
      <c r="C16" s="128"/>
      <c r="D16" s="128"/>
      <c r="E16" s="128"/>
      <c r="F16" s="128"/>
      <c r="G16" s="128"/>
      <c r="H16" s="128"/>
      <c r="I16" s="128"/>
      <c r="J16" s="145"/>
      <c r="K16" s="146"/>
      <c r="L16" s="145"/>
      <c r="M16" s="145"/>
      <c r="N16" s="145"/>
      <c r="O16" s="145"/>
      <c r="P16" s="147"/>
      <c r="R16" s="130"/>
      <c r="S16" s="131"/>
      <c r="T16" s="131"/>
      <c r="U16" s="131"/>
      <c r="V16" s="131"/>
      <c r="W16" s="131"/>
      <c r="X16" s="131"/>
      <c r="Y16" s="136"/>
      <c r="Z16" s="136"/>
      <c r="AA16" s="131"/>
      <c r="AB16" s="131"/>
      <c r="AC16" s="130"/>
      <c r="AD16" s="130"/>
    </row>
    <row r="17" spans="1:30" s="135" customFormat="1" ht="36" customHeight="1" x14ac:dyDescent="0.2">
      <c r="A17" s="140"/>
      <c r="B17" s="129"/>
      <c r="C17" s="128"/>
      <c r="D17" s="128"/>
      <c r="E17" s="128"/>
      <c r="F17" s="128"/>
      <c r="G17" s="128"/>
      <c r="H17" s="128"/>
      <c r="I17" s="128"/>
      <c r="J17" s="145"/>
      <c r="K17" s="146"/>
      <c r="L17" s="145"/>
      <c r="M17" s="145"/>
      <c r="N17" s="145"/>
      <c r="O17" s="145"/>
      <c r="P17" s="147"/>
      <c r="R17" s="130"/>
      <c r="S17" s="131"/>
      <c r="T17" s="131"/>
      <c r="U17" s="131"/>
      <c r="V17" s="131"/>
      <c r="W17" s="131"/>
      <c r="X17" s="131"/>
      <c r="Y17" s="136"/>
      <c r="Z17" s="136"/>
      <c r="AA17" s="131"/>
      <c r="AB17" s="131"/>
      <c r="AC17" s="130"/>
      <c r="AD17" s="130"/>
    </row>
    <row r="18" spans="1:30" s="135" customFormat="1" ht="36" customHeight="1" x14ac:dyDescent="0.2">
      <c r="A18" s="140"/>
      <c r="B18" s="129"/>
      <c r="C18" s="128"/>
      <c r="D18" s="128"/>
      <c r="E18" s="128"/>
      <c r="F18" s="128"/>
      <c r="G18" s="128"/>
      <c r="H18" s="128"/>
      <c r="I18" s="128"/>
      <c r="J18" s="145"/>
      <c r="K18" s="146"/>
      <c r="L18" s="145"/>
      <c r="M18" s="145"/>
      <c r="N18" s="145"/>
      <c r="O18" s="145"/>
      <c r="P18" s="147"/>
      <c r="R18" s="130"/>
      <c r="S18" s="131"/>
      <c r="T18" s="131"/>
      <c r="U18" s="131"/>
      <c r="V18" s="131"/>
      <c r="W18" s="131"/>
      <c r="X18" s="131"/>
      <c r="Y18" s="136"/>
      <c r="Z18" s="136"/>
      <c r="AA18" s="131"/>
      <c r="AB18" s="131"/>
      <c r="AC18" s="130"/>
      <c r="AD18" s="130"/>
    </row>
    <row r="19" spans="1:30" s="135" customFormat="1" ht="36" customHeight="1" x14ac:dyDescent="0.2">
      <c r="A19" s="140"/>
      <c r="B19" s="129"/>
      <c r="C19" s="128"/>
      <c r="D19" s="128"/>
      <c r="E19" s="128"/>
      <c r="F19" s="128"/>
      <c r="G19" s="128"/>
      <c r="H19" s="128"/>
      <c r="I19" s="128"/>
      <c r="J19" s="145"/>
      <c r="K19" s="146"/>
      <c r="L19" s="145"/>
      <c r="M19" s="145"/>
      <c r="N19" s="145"/>
      <c r="O19" s="145"/>
      <c r="P19" s="147"/>
      <c r="R19" s="130"/>
      <c r="S19" s="131"/>
      <c r="T19" s="131"/>
      <c r="U19" s="131"/>
      <c r="V19" s="131"/>
      <c r="W19" s="131"/>
      <c r="X19" s="131"/>
      <c r="Y19" s="136"/>
      <c r="Z19" s="136"/>
      <c r="AA19" s="131"/>
      <c r="AB19" s="131"/>
      <c r="AC19" s="130"/>
      <c r="AD19" s="130"/>
    </row>
    <row r="20" spans="1:30" s="135" customFormat="1" ht="36" customHeight="1" x14ac:dyDescent="0.2">
      <c r="A20" s="140"/>
      <c r="B20" s="129"/>
      <c r="C20" s="128"/>
      <c r="D20" s="128"/>
      <c r="E20" s="128"/>
      <c r="F20" s="128"/>
      <c r="G20" s="128"/>
      <c r="H20" s="128"/>
      <c r="I20" s="128"/>
      <c r="J20" s="145"/>
      <c r="K20" s="146"/>
      <c r="L20" s="145"/>
      <c r="M20" s="145"/>
      <c r="N20" s="145"/>
      <c r="O20" s="145"/>
      <c r="P20" s="147"/>
      <c r="R20" s="130"/>
      <c r="S20" s="131"/>
      <c r="T20" s="131"/>
      <c r="U20" s="131"/>
      <c r="V20" s="131"/>
      <c r="W20" s="131"/>
      <c r="X20" s="131"/>
      <c r="Y20" s="136"/>
      <c r="Z20" s="136"/>
      <c r="AA20" s="131"/>
      <c r="AB20" s="131"/>
      <c r="AC20" s="130"/>
      <c r="AD20" s="130"/>
    </row>
    <row r="21" spans="1:30" s="135" customFormat="1" ht="36" customHeight="1" x14ac:dyDescent="0.2">
      <c r="A21" s="140"/>
      <c r="B21" s="129"/>
      <c r="C21" s="128"/>
      <c r="D21" s="128"/>
      <c r="E21" s="128"/>
      <c r="F21" s="128"/>
      <c r="G21" s="128"/>
      <c r="H21" s="128"/>
      <c r="I21" s="128"/>
      <c r="J21" s="145"/>
      <c r="K21" s="146"/>
      <c r="L21" s="145"/>
      <c r="M21" s="145"/>
      <c r="N21" s="145"/>
      <c r="O21" s="145"/>
      <c r="P21" s="147"/>
      <c r="R21" s="130"/>
      <c r="S21" s="131"/>
      <c r="T21" s="131"/>
      <c r="U21" s="131"/>
      <c r="V21" s="131"/>
      <c r="W21" s="131"/>
      <c r="X21" s="131"/>
      <c r="Y21" s="136"/>
      <c r="Z21" s="136"/>
      <c r="AA21" s="131"/>
      <c r="AB21" s="131"/>
      <c r="AC21" s="130"/>
      <c r="AD21" s="130"/>
    </row>
    <row r="22" spans="1:30" s="135" customFormat="1" ht="36" customHeight="1" x14ac:dyDescent="0.2">
      <c r="A22" s="140"/>
      <c r="B22" s="129"/>
      <c r="C22" s="148"/>
      <c r="D22" s="148"/>
      <c r="E22" s="148"/>
      <c r="F22" s="148"/>
      <c r="G22" s="148"/>
      <c r="H22" s="148"/>
      <c r="I22" s="148"/>
      <c r="J22" s="145"/>
      <c r="K22" s="146"/>
      <c r="L22" s="145"/>
      <c r="M22" s="145"/>
      <c r="N22" s="145"/>
      <c r="O22" s="145"/>
      <c r="P22" s="147"/>
      <c r="R22" s="130"/>
      <c r="S22" s="131"/>
      <c r="T22" s="131"/>
      <c r="U22" s="131"/>
      <c r="V22" s="131"/>
      <c r="W22" s="131"/>
      <c r="X22" s="131"/>
      <c r="Y22" s="136"/>
      <c r="Z22" s="136"/>
      <c r="AA22" s="131"/>
      <c r="AB22" s="131"/>
      <c r="AC22" s="130"/>
      <c r="AD22" s="130"/>
    </row>
    <row r="23" spans="1:30" s="135" customFormat="1" ht="36" customHeight="1" x14ac:dyDescent="0.2">
      <c r="A23" s="140"/>
      <c r="B23" s="129"/>
      <c r="C23" s="148"/>
      <c r="D23" s="148"/>
      <c r="E23" s="148"/>
      <c r="F23" s="148"/>
      <c r="G23" s="148"/>
      <c r="H23" s="148"/>
      <c r="I23" s="148"/>
      <c r="J23" s="145"/>
      <c r="K23" s="146"/>
      <c r="L23" s="145"/>
      <c r="M23" s="145"/>
      <c r="N23" s="145"/>
      <c r="O23" s="145"/>
      <c r="P23" s="147"/>
      <c r="R23" s="130"/>
      <c r="S23" s="131"/>
      <c r="T23" s="131"/>
      <c r="U23" s="131"/>
      <c r="V23" s="131"/>
      <c r="W23" s="131"/>
      <c r="X23" s="131"/>
      <c r="Y23" s="136"/>
      <c r="Z23" s="136"/>
      <c r="AA23" s="131"/>
      <c r="AB23" s="131"/>
      <c r="AC23" s="130"/>
      <c r="AD23" s="130"/>
    </row>
    <row r="24" spans="1:30" s="135" customFormat="1" ht="36" customHeight="1" x14ac:dyDescent="0.2">
      <c r="A24" s="140"/>
      <c r="B24" s="129"/>
      <c r="C24" s="148"/>
      <c r="D24" s="148"/>
      <c r="E24" s="148"/>
      <c r="F24" s="148"/>
      <c r="G24" s="148"/>
      <c r="H24" s="148"/>
      <c r="I24" s="148"/>
      <c r="J24" s="145"/>
      <c r="K24" s="146"/>
      <c r="L24" s="145"/>
      <c r="M24" s="145"/>
      <c r="N24" s="145"/>
      <c r="O24" s="145"/>
      <c r="P24" s="147"/>
      <c r="R24" s="130"/>
      <c r="S24" s="131"/>
      <c r="T24" s="131"/>
      <c r="U24" s="131"/>
      <c r="V24" s="131"/>
      <c r="W24" s="131"/>
      <c r="X24" s="131"/>
      <c r="Y24" s="136"/>
      <c r="Z24" s="136"/>
      <c r="AA24" s="131"/>
      <c r="AB24" s="131"/>
      <c r="AC24" s="130"/>
      <c r="AD24" s="130"/>
    </row>
    <row r="25" spans="1:30" s="135" customFormat="1" ht="36" customHeight="1" x14ac:dyDescent="0.2">
      <c r="A25" s="140"/>
      <c r="B25" s="129"/>
      <c r="C25" s="148"/>
      <c r="D25" s="148"/>
      <c r="E25" s="148"/>
      <c r="F25" s="148"/>
      <c r="G25" s="148"/>
      <c r="H25" s="148"/>
      <c r="I25" s="148"/>
      <c r="J25" s="145"/>
      <c r="K25" s="146"/>
      <c r="L25" s="145"/>
      <c r="M25" s="145"/>
      <c r="N25" s="145"/>
      <c r="O25" s="145"/>
      <c r="P25" s="147"/>
      <c r="R25" s="130"/>
      <c r="S25" s="131"/>
      <c r="T25" s="131"/>
      <c r="U25" s="131"/>
      <c r="V25" s="131"/>
      <c r="W25" s="131"/>
      <c r="X25" s="131"/>
      <c r="Y25" s="136"/>
      <c r="Z25" s="136"/>
      <c r="AA25" s="131"/>
      <c r="AB25" s="131"/>
      <c r="AC25" s="130"/>
      <c r="AD25" s="130"/>
    </row>
    <row r="26" spans="1:30" s="135" customFormat="1" ht="36" customHeight="1" x14ac:dyDescent="0.2">
      <c r="A26" s="140"/>
      <c r="B26" s="129"/>
      <c r="C26" s="148"/>
      <c r="D26" s="148"/>
      <c r="E26" s="148"/>
      <c r="F26" s="148"/>
      <c r="G26" s="148"/>
      <c r="H26" s="148"/>
      <c r="I26" s="148"/>
      <c r="J26" s="145"/>
      <c r="K26" s="146"/>
      <c r="L26" s="145"/>
      <c r="M26" s="145"/>
      <c r="N26" s="145"/>
      <c r="O26" s="145"/>
      <c r="P26" s="147"/>
      <c r="R26" s="130"/>
      <c r="S26" s="131"/>
      <c r="T26" s="131"/>
      <c r="U26" s="131"/>
      <c r="V26" s="131"/>
      <c r="W26" s="131"/>
      <c r="X26" s="131"/>
      <c r="Y26" s="136"/>
      <c r="Z26" s="136"/>
      <c r="AA26" s="131"/>
      <c r="AB26" s="131"/>
      <c r="AC26" s="130"/>
      <c r="AD26" s="130"/>
    </row>
    <row r="27" spans="1:30" s="135" customFormat="1" ht="36" customHeight="1" x14ac:dyDescent="0.2">
      <c r="A27" s="140"/>
      <c r="B27" s="129"/>
      <c r="C27" s="148"/>
      <c r="D27" s="148"/>
      <c r="E27" s="148"/>
      <c r="F27" s="148"/>
      <c r="G27" s="148"/>
      <c r="H27" s="148"/>
      <c r="I27" s="148"/>
      <c r="J27" s="145"/>
      <c r="K27" s="146"/>
      <c r="L27" s="145"/>
      <c r="M27" s="145"/>
      <c r="N27" s="145"/>
      <c r="O27" s="145"/>
      <c r="P27" s="147"/>
      <c r="R27" s="130"/>
      <c r="S27" s="131"/>
      <c r="T27" s="131"/>
      <c r="U27" s="131"/>
      <c r="V27" s="131"/>
      <c r="W27" s="131"/>
      <c r="X27" s="131"/>
      <c r="Y27" s="136"/>
      <c r="Z27" s="136"/>
      <c r="AA27" s="131"/>
      <c r="AB27" s="131"/>
      <c r="AC27" s="130"/>
      <c r="AD27" s="130"/>
    </row>
    <row r="28" spans="1:30" s="135" customFormat="1" ht="36" customHeight="1" x14ac:dyDescent="0.2">
      <c r="A28" s="140"/>
      <c r="B28" s="129"/>
      <c r="C28" s="148"/>
      <c r="D28" s="148"/>
      <c r="E28" s="148"/>
      <c r="F28" s="148"/>
      <c r="G28" s="148"/>
      <c r="H28" s="148"/>
      <c r="I28" s="148"/>
      <c r="J28" s="145"/>
      <c r="K28" s="146"/>
      <c r="L28" s="145"/>
      <c r="M28" s="145"/>
      <c r="N28" s="145"/>
      <c r="O28" s="145"/>
      <c r="P28" s="147"/>
      <c r="R28" s="130"/>
      <c r="S28" s="131"/>
      <c r="T28" s="131"/>
      <c r="U28" s="131"/>
      <c r="V28" s="131"/>
      <c r="W28" s="131"/>
      <c r="X28" s="131"/>
      <c r="Y28" s="136"/>
      <c r="Z28" s="136"/>
      <c r="AA28" s="131"/>
      <c r="AB28" s="131"/>
      <c r="AC28" s="130"/>
      <c r="AD28" s="130"/>
    </row>
    <row r="29" spans="1:30" s="135" customFormat="1" ht="36" customHeight="1" x14ac:dyDescent="0.2">
      <c r="A29" s="140"/>
      <c r="B29" s="129"/>
      <c r="C29" s="148"/>
      <c r="D29" s="148"/>
      <c r="E29" s="148"/>
      <c r="F29" s="148"/>
      <c r="G29" s="148"/>
      <c r="H29" s="148"/>
      <c r="I29" s="148"/>
      <c r="J29" s="145"/>
      <c r="K29" s="146"/>
      <c r="L29" s="145"/>
      <c r="M29" s="145"/>
      <c r="N29" s="145"/>
      <c r="O29" s="145"/>
      <c r="P29" s="147"/>
      <c r="R29" s="130"/>
      <c r="S29" s="131"/>
      <c r="T29" s="131"/>
      <c r="U29" s="131"/>
      <c r="V29" s="131"/>
      <c r="W29" s="131"/>
      <c r="X29" s="131"/>
      <c r="Y29" s="136"/>
      <c r="Z29" s="136"/>
      <c r="AA29" s="131"/>
      <c r="AB29" s="131"/>
      <c r="AC29" s="130"/>
      <c r="AD29" s="130"/>
    </row>
    <row r="30" spans="1:30" x14ac:dyDescent="0.2">
      <c r="Y30" s="136"/>
      <c r="Z30" s="136"/>
    </row>
    <row r="31" spans="1:30" x14ac:dyDescent="0.2">
      <c r="Y31" s="136"/>
      <c r="Z31" s="136"/>
    </row>
    <row r="32" spans="1:30" x14ac:dyDescent="0.2">
      <c r="Y32" s="136"/>
      <c r="Z32" s="136"/>
    </row>
    <row r="33" spans="25:26" x14ac:dyDescent="0.2">
      <c r="Y33" s="136"/>
      <c r="Z33" s="136"/>
    </row>
    <row r="34" spans="25:26" x14ac:dyDescent="0.2">
      <c r="Y34" s="136"/>
      <c r="Z34" s="136"/>
    </row>
    <row r="35" spans="25:26" x14ac:dyDescent="0.2">
      <c r="Y35" s="136"/>
      <c r="Z35" s="136"/>
    </row>
    <row r="36" spans="25:26" x14ac:dyDescent="0.2">
      <c r="Y36" s="136"/>
      <c r="Z36" s="136"/>
    </row>
    <row r="37" spans="25:26" x14ac:dyDescent="0.2">
      <c r="Y37" s="136"/>
      <c r="Z37" s="136"/>
    </row>
    <row r="38" spans="25:26" x14ac:dyDescent="0.2">
      <c r="Y38" s="136"/>
      <c r="Z38" s="136"/>
    </row>
    <row r="39" spans="25:26" x14ac:dyDescent="0.2">
      <c r="Y39" s="136"/>
      <c r="Z39" s="136"/>
    </row>
    <row r="40" spans="25:26" x14ac:dyDescent="0.2">
      <c r="Y40" s="136"/>
      <c r="Z40" s="136"/>
    </row>
    <row r="41" spans="25:26" x14ac:dyDescent="0.2">
      <c r="Y41" s="136"/>
      <c r="Z41" s="136"/>
    </row>
    <row r="42" spans="25:26" x14ac:dyDescent="0.2">
      <c r="Y42" s="136"/>
      <c r="Z42" s="136"/>
    </row>
    <row r="43" spans="25:26" x14ac:dyDescent="0.2">
      <c r="Y43" s="136"/>
      <c r="Z43" s="136"/>
    </row>
    <row r="44" spans="25:26" x14ac:dyDescent="0.2">
      <c r="Y44" s="136"/>
      <c r="Z44" s="136"/>
    </row>
    <row r="45" spans="25:26" x14ac:dyDescent="0.2">
      <c r="Y45" s="136"/>
      <c r="Z45" s="136"/>
    </row>
    <row r="46" spans="25:26" x14ac:dyDescent="0.2">
      <c r="Y46" s="136"/>
      <c r="Z46" s="136"/>
    </row>
    <row r="47" spans="25:26" x14ac:dyDescent="0.2">
      <c r="Y47" s="136"/>
      <c r="Z47" s="136"/>
    </row>
    <row r="48" spans="25:26" x14ac:dyDescent="0.2">
      <c r="Y48" s="136"/>
      <c r="Z48" s="136"/>
    </row>
    <row r="49" spans="25:26" x14ac:dyDescent="0.2">
      <c r="Y49" s="136"/>
      <c r="Z49" s="136"/>
    </row>
    <row r="50" spans="25:26" x14ac:dyDescent="0.2">
      <c r="Y50" s="136"/>
      <c r="Z50" s="136"/>
    </row>
    <row r="51" spans="25:26" x14ac:dyDescent="0.2">
      <c r="Y51" s="136"/>
      <c r="Z51" s="136"/>
    </row>
    <row r="52" spans="25:26" x14ac:dyDescent="0.2">
      <c r="Y52" s="136"/>
      <c r="Z52" s="136"/>
    </row>
    <row r="53" spans="25:26" x14ac:dyDescent="0.2">
      <c r="Y53" s="136"/>
      <c r="Z53" s="136"/>
    </row>
    <row r="54" spans="25:26" x14ac:dyDescent="0.2">
      <c r="Y54" s="136"/>
      <c r="Z54" s="136"/>
    </row>
    <row r="55" spans="25:26" x14ac:dyDescent="0.2">
      <c r="Y55" s="136"/>
      <c r="Z55" s="136"/>
    </row>
    <row r="56" spans="25:26" x14ac:dyDescent="0.2">
      <c r="Y56" s="136"/>
      <c r="Z56" s="136"/>
    </row>
    <row r="57" spans="25:26" x14ac:dyDescent="0.2">
      <c r="Y57" s="136"/>
      <c r="Z57" s="136"/>
    </row>
    <row r="58" spans="25:26" x14ac:dyDescent="0.2">
      <c r="Y58" s="136"/>
      <c r="Z58" s="136"/>
    </row>
    <row r="59" spans="25:26" x14ac:dyDescent="0.2">
      <c r="Y59" s="136"/>
      <c r="Z59" s="136"/>
    </row>
    <row r="60" spans="25:26" x14ac:dyDescent="0.2">
      <c r="Y60" s="136"/>
      <c r="Z60" s="136"/>
    </row>
    <row r="61" spans="25:26" x14ac:dyDescent="0.2">
      <c r="Y61" s="136"/>
      <c r="Z61" s="136"/>
    </row>
    <row r="62" spans="25:26" x14ac:dyDescent="0.2">
      <c r="Y62" s="136"/>
      <c r="Z62" s="136"/>
    </row>
    <row r="63" spans="25:26" x14ac:dyDescent="0.2">
      <c r="Y63" s="136"/>
      <c r="Z63" s="136"/>
    </row>
    <row r="64" spans="25:26" x14ac:dyDescent="0.2">
      <c r="Y64" s="136"/>
      <c r="Z64" s="136"/>
    </row>
    <row r="65" spans="25:26" x14ac:dyDescent="0.2">
      <c r="Y65" s="136"/>
      <c r="Z65" s="136"/>
    </row>
    <row r="66" spans="25:26" x14ac:dyDescent="0.2">
      <c r="Y66" s="136"/>
      <c r="Z66" s="136"/>
    </row>
    <row r="67" spans="25:26" x14ac:dyDescent="0.2">
      <c r="Y67" s="136"/>
      <c r="Z67" s="136"/>
    </row>
    <row r="68" spans="25:26" x14ac:dyDescent="0.2">
      <c r="Y68" s="136"/>
      <c r="Z68" s="136"/>
    </row>
    <row r="69" spans="25:26" x14ac:dyDescent="0.2">
      <c r="Y69" s="136"/>
      <c r="Z69" s="136"/>
    </row>
    <row r="70" spans="25:26" x14ac:dyDescent="0.2">
      <c r="Y70" s="136"/>
      <c r="Z70" s="136"/>
    </row>
    <row r="71" spans="25:26" x14ac:dyDescent="0.2">
      <c r="Y71" s="136"/>
      <c r="Z71" s="136"/>
    </row>
    <row r="72" spans="25:26" x14ac:dyDescent="0.2">
      <c r="Y72" s="136"/>
      <c r="Z72" s="136"/>
    </row>
    <row r="73" spans="25:26" x14ac:dyDescent="0.2">
      <c r="Y73" s="136"/>
      <c r="Z73" s="136"/>
    </row>
    <row r="74" spans="25:26" x14ac:dyDescent="0.2">
      <c r="Y74" s="136"/>
      <c r="Z74" s="136"/>
    </row>
    <row r="75" spans="25:26" x14ac:dyDescent="0.2">
      <c r="Y75" s="136"/>
      <c r="Z75" s="136"/>
    </row>
    <row r="76" spans="25:26" x14ac:dyDescent="0.2">
      <c r="Y76" s="136"/>
      <c r="Z76" s="136"/>
    </row>
    <row r="77" spans="25:26" x14ac:dyDescent="0.2">
      <c r="Y77" s="136"/>
      <c r="Z77" s="136"/>
    </row>
    <row r="78" spans="25:26" x14ac:dyDescent="0.2">
      <c r="Y78" s="136"/>
      <c r="Z78" s="136"/>
    </row>
    <row r="79" spans="25:26" x14ac:dyDescent="0.2">
      <c r="Y79" s="136"/>
      <c r="Z79" s="136"/>
    </row>
    <row r="80" spans="25:26" x14ac:dyDescent="0.2">
      <c r="Y80" s="136"/>
      <c r="Z80" s="136"/>
    </row>
    <row r="81" spans="25:26" x14ac:dyDescent="0.2">
      <c r="Y81" s="136"/>
      <c r="Z81" s="136"/>
    </row>
    <row r="82" spans="25:26" x14ac:dyDescent="0.2">
      <c r="Y82" s="136"/>
      <c r="Z82" s="136"/>
    </row>
    <row r="83" spans="25:26" x14ac:dyDescent="0.2">
      <c r="Y83" s="136"/>
      <c r="Z83" s="136"/>
    </row>
    <row r="84" spans="25:26" x14ac:dyDescent="0.2">
      <c r="Y84" s="136"/>
      <c r="Z84" s="136"/>
    </row>
    <row r="85" spans="25:26" x14ac:dyDescent="0.2">
      <c r="Y85" s="136"/>
      <c r="Z85" s="136"/>
    </row>
    <row r="86" spans="25:26" x14ac:dyDescent="0.2">
      <c r="Y86" s="136"/>
      <c r="Z86" s="136"/>
    </row>
    <row r="87" spans="25:26" x14ac:dyDescent="0.2">
      <c r="Y87" s="136"/>
      <c r="Z87" s="136"/>
    </row>
    <row r="88" spans="25:26" x14ac:dyDescent="0.2">
      <c r="Y88" s="136"/>
      <c r="Z88" s="136"/>
    </row>
    <row r="89" spans="25:26" x14ac:dyDescent="0.2">
      <c r="Y89" s="136"/>
      <c r="Z89" s="136"/>
    </row>
    <row r="90" spans="25:26" x14ac:dyDescent="0.2">
      <c r="Y90" s="136"/>
      <c r="Z90" s="136"/>
    </row>
    <row r="91" spans="25:26" x14ac:dyDescent="0.2">
      <c r="Y91" s="136"/>
      <c r="Z91" s="136"/>
    </row>
    <row r="92" spans="25:26" x14ac:dyDescent="0.2">
      <c r="Y92" s="136"/>
      <c r="Z92" s="136"/>
    </row>
    <row r="93" spans="25:26" x14ac:dyDescent="0.2">
      <c r="Y93" s="136"/>
      <c r="Z93" s="136"/>
    </row>
    <row r="94" spans="25:26" x14ac:dyDescent="0.2">
      <c r="Y94" s="136"/>
      <c r="Z94" s="136"/>
    </row>
    <row r="95" spans="25:26" x14ac:dyDescent="0.2">
      <c r="Y95" s="136"/>
      <c r="Z95" s="136"/>
    </row>
    <row r="96" spans="25:26" x14ac:dyDescent="0.2">
      <c r="Y96" s="136"/>
      <c r="Z96" s="136"/>
    </row>
    <row r="97" spans="25:26" x14ac:dyDescent="0.2">
      <c r="Y97" s="136"/>
      <c r="Z97" s="136"/>
    </row>
    <row r="98" spans="25:26" x14ac:dyDescent="0.2">
      <c r="Y98" s="136"/>
      <c r="Z98" s="136"/>
    </row>
    <row r="99" spans="25:26" x14ac:dyDescent="0.2">
      <c r="Y99" s="136"/>
      <c r="Z99" s="136"/>
    </row>
    <row r="100" spans="25:26" x14ac:dyDescent="0.2">
      <c r="Y100" s="136"/>
      <c r="Z100" s="136"/>
    </row>
    <row r="101" spans="25:26" x14ac:dyDescent="0.2">
      <c r="Y101" s="136"/>
      <c r="Z101" s="136"/>
    </row>
    <row r="102" spans="25:26" x14ac:dyDescent="0.2">
      <c r="Y102" s="136"/>
      <c r="Z102" s="136"/>
    </row>
    <row r="103" spans="25:26" x14ac:dyDescent="0.2">
      <c r="Y103" s="136"/>
      <c r="Z103" s="136"/>
    </row>
    <row r="104" spans="25:26" x14ac:dyDescent="0.2">
      <c r="Y104" s="136"/>
      <c r="Z104" s="136"/>
    </row>
  </sheetData>
  <mergeCells count="3">
    <mergeCell ref="L7:O7"/>
    <mergeCell ref="J6:O6"/>
    <mergeCell ref="J2:P2"/>
  </mergeCells>
  <phoneticPr fontId="0" type="noConversion"/>
  <dataValidations count="4">
    <dataValidation allowBlank="1" showInputMessage="1" showErrorMessage="1" prompt="Don't delete this row.  It's OK to hide columns, change width or sort this sheet for easier printing." sqref="B2" xr:uid="{00000000-0002-0000-0D00-000000000000}"/>
    <dataValidation type="list" allowBlank="1" showInputMessage="1" showErrorMessage="1" promptTitle="Mens/Womens Weight Classes" prompt="Make a selection from the Division menu first so the program can choose the Men's or Women's weight classes." sqref="J7" xr:uid="{00000000-0002-0000-0D00-000001000000}">
      <formula1>INDIRECT($B$7)</formula1>
    </dataValidation>
    <dataValidation type="list" allowBlank="1" showInputMessage="1" showErrorMessage="1" sqref="J6" xr:uid="{00000000-0002-0000-0D00-000002000000}">
      <formula1>INDIRECT($B$6)</formula1>
    </dataValidation>
    <dataValidation type="list" allowBlank="1" showInputMessage="1" showErrorMessage="1" sqref="L7:O7" xr:uid="{00000000-0002-0000-0D00-000003000000}">
      <formula1>"PL Total, Best Squat, Best Bench, Best Deadlift, Push Pull Total"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/>
  <dimension ref="B2:N28"/>
  <sheetViews>
    <sheetView workbookViewId="0"/>
  </sheetViews>
  <sheetFormatPr defaultRowHeight="12.75" x14ac:dyDescent="0.2"/>
  <sheetData>
    <row r="2" spans="2:14" x14ac:dyDescent="0.2">
      <c r="B2" s="432" t="s">
        <v>126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2:14" x14ac:dyDescent="0.2">
      <c r="B3" s="432" t="s">
        <v>127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</row>
    <row r="4" spans="2:14" x14ac:dyDescent="0.2">
      <c r="B4" s="432" t="s">
        <v>45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</row>
    <row r="5" spans="2:14" x14ac:dyDescent="0.2"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</row>
    <row r="6" spans="2:14" x14ac:dyDescent="0.2">
      <c r="B6" s="432" t="s">
        <v>129</v>
      </c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</row>
    <row r="7" spans="2:14" x14ac:dyDescent="0.2">
      <c r="B7" s="432" t="s">
        <v>128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</row>
    <row r="8" spans="2:14" x14ac:dyDescent="0.2"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</row>
    <row r="9" spans="2:14" x14ac:dyDescent="0.2">
      <c r="B9" s="432" t="s">
        <v>46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</row>
    <row r="10" spans="2:14" x14ac:dyDescent="0.2">
      <c r="B10" s="432" t="s">
        <v>131</v>
      </c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</row>
    <row r="11" spans="2:14" x14ac:dyDescent="0.2">
      <c r="B11" s="432" t="s">
        <v>47</v>
      </c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</row>
    <row r="12" spans="2:14" x14ac:dyDescent="0.2">
      <c r="B12" s="432" t="s">
        <v>130</v>
      </c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</row>
    <row r="13" spans="2:14" x14ac:dyDescent="0.2">
      <c r="B13" s="432" t="s">
        <v>48</v>
      </c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</row>
    <row r="14" spans="2:14" x14ac:dyDescent="0.2">
      <c r="B14" s="13"/>
    </row>
    <row r="15" spans="2:14" x14ac:dyDescent="0.2">
      <c r="B15" s="13" t="s">
        <v>49</v>
      </c>
    </row>
    <row r="16" spans="2:14" x14ac:dyDescent="0.2">
      <c r="B16" s="13"/>
    </row>
    <row r="17" spans="2:7" x14ac:dyDescent="0.2">
      <c r="B17" s="13" t="s">
        <v>50</v>
      </c>
    </row>
    <row r="18" spans="2:7" x14ac:dyDescent="0.2">
      <c r="B18" t="s">
        <v>51</v>
      </c>
    </row>
    <row r="20" spans="2:7" x14ac:dyDescent="0.2">
      <c r="B20" t="s">
        <v>52</v>
      </c>
    </row>
    <row r="21" spans="2:7" x14ac:dyDescent="0.2">
      <c r="B21" t="s">
        <v>53</v>
      </c>
      <c r="C21" s="14" t="s">
        <v>54</v>
      </c>
    </row>
    <row r="22" spans="2:7" x14ac:dyDescent="0.2">
      <c r="B22" t="s">
        <v>55</v>
      </c>
      <c r="C22" s="14" t="s">
        <v>56</v>
      </c>
    </row>
    <row r="24" spans="2:7" x14ac:dyDescent="0.2">
      <c r="B24" t="s">
        <v>57</v>
      </c>
    </row>
    <row r="25" spans="2:7" x14ac:dyDescent="0.2">
      <c r="B25" t="s">
        <v>53</v>
      </c>
      <c r="C25" t="s">
        <v>58</v>
      </c>
    </row>
    <row r="26" spans="2:7" x14ac:dyDescent="0.2">
      <c r="B26" t="s">
        <v>55</v>
      </c>
      <c r="C26" t="s">
        <v>59</v>
      </c>
    </row>
    <row r="27" spans="2:7" x14ac:dyDescent="0.2">
      <c r="B27" t="s">
        <v>60</v>
      </c>
      <c r="C27" t="s">
        <v>74</v>
      </c>
    </row>
    <row r="28" spans="2:7" x14ac:dyDescent="0.2">
      <c r="G28" s="13"/>
    </row>
  </sheetData>
  <mergeCells count="12">
    <mergeCell ref="B8:N8"/>
    <mergeCell ref="B9:N9"/>
    <mergeCell ref="B13:N13"/>
    <mergeCell ref="B10:N10"/>
    <mergeCell ref="B11:N11"/>
    <mergeCell ref="B12:N12"/>
    <mergeCell ref="B6:N6"/>
    <mergeCell ref="B7:N7"/>
    <mergeCell ref="B2:N2"/>
    <mergeCell ref="B3:N3"/>
    <mergeCell ref="B4:N4"/>
    <mergeCell ref="B5:N5"/>
  </mergeCells>
  <phoneticPr fontId="0" type="noConversion"/>
  <hyperlinks>
    <hyperlink ref="C21" r:id="rId1" xr:uid="{00000000-0004-0000-0E00-000000000000}"/>
    <hyperlink ref="C22" r:id="rId2" xr:uid="{00000000-0004-0000-0E00-000001000000}"/>
  </hyperlink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1:R260"/>
  <sheetViews>
    <sheetView workbookViewId="0">
      <selection activeCell="K2" sqref="K2"/>
    </sheetView>
  </sheetViews>
  <sheetFormatPr defaultColWidth="9.140625" defaultRowHeight="12.75" customHeight="1" x14ac:dyDescent="0.2"/>
  <cols>
    <col min="1" max="1" width="9.7109375" style="190" customWidth="1"/>
    <col min="2" max="2" width="4.7109375" style="193" customWidth="1"/>
    <col min="3" max="3" width="4.7109375" style="194" customWidth="1"/>
    <col min="4" max="4" width="4.7109375" style="193" customWidth="1"/>
    <col min="5" max="5" width="4.7109375" style="194" customWidth="1"/>
    <col min="6" max="6" width="4.7109375" style="193" customWidth="1"/>
    <col min="7" max="7" width="4.7109375" style="194" customWidth="1"/>
    <col min="8" max="8" width="4.7109375" style="193" customWidth="1"/>
    <col min="9" max="9" width="4.7109375" style="194" customWidth="1"/>
    <col min="10" max="10" width="4.7109375" style="193" customWidth="1"/>
    <col min="11" max="11" width="7.28515625" style="194" customWidth="1"/>
    <col min="12" max="18" width="9.140625" style="190" hidden="1" customWidth="1"/>
    <col min="19" max="16384" width="9.140625" style="190"/>
  </cols>
  <sheetData>
    <row r="1" spans="1:17" s="184" customFormat="1" ht="25.5" customHeight="1" x14ac:dyDescent="0.2">
      <c r="A1" s="180" t="s">
        <v>139</v>
      </c>
      <c r="B1" s="181">
        <v>4</v>
      </c>
      <c r="C1" s="182">
        <v>0</v>
      </c>
      <c r="D1" s="181">
        <v>0</v>
      </c>
      <c r="E1" s="182">
        <v>16</v>
      </c>
      <c r="F1" s="181">
        <v>2</v>
      </c>
      <c r="G1" s="182">
        <v>2</v>
      </c>
      <c r="H1" s="181">
        <v>4</v>
      </c>
      <c r="I1" s="182">
        <v>2</v>
      </c>
      <c r="J1" s="181">
        <v>2</v>
      </c>
      <c r="K1" s="182" t="s">
        <v>140</v>
      </c>
      <c r="L1" s="183">
        <f>K2+B2*B1+C2*C1+D2*D1+E2*E1+F2*F1+G2*G1+H2*H1+I2*I1+J2*J1</f>
        <v>632.5</v>
      </c>
      <c r="M1" s="183"/>
    </row>
    <row r="2" spans="1:17" ht="12.75" customHeight="1" x14ac:dyDescent="0.2">
      <c r="A2" s="185" t="s">
        <v>75</v>
      </c>
      <c r="B2" s="186">
        <f>IF($A$2="Kilos",50,110)</f>
        <v>50</v>
      </c>
      <c r="C2" s="187">
        <f>IF($A$2="Kilos",45,100)</f>
        <v>45</v>
      </c>
      <c r="D2" s="186">
        <f>IF($A$2="Kilos",25,55)</f>
        <v>25</v>
      </c>
      <c r="E2" s="187">
        <f>IF($A$2="Kilos",20,45)</f>
        <v>20</v>
      </c>
      <c r="F2" s="186">
        <f>IF($A$2="Kilos",15,35)</f>
        <v>15</v>
      </c>
      <c r="G2" s="187">
        <f>IF($A$2="Kilos",10,25)</f>
        <v>10</v>
      </c>
      <c r="H2" s="186">
        <f>IF($A$2="Kilos",5,10)</f>
        <v>5</v>
      </c>
      <c r="I2" s="187">
        <f>IF($A$2="Kilos",2.5,5)</f>
        <v>2.5</v>
      </c>
      <c r="J2" s="186">
        <f>IF($A$2="Kilos",1.25,2.5)</f>
        <v>1.25</v>
      </c>
      <c r="K2" s="188">
        <v>35</v>
      </c>
      <c r="L2" s="189" t="s">
        <v>141</v>
      </c>
      <c r="M2" s="189"/>
      <c r="O2" s="190">
        <f>IF($A$2="Pounds",P2,Q2)</f>
        <v>20</v>
      </c>
      <c r="P2" s="190">
        <v>45</v>
      </c>
      <c r="Q2" s="190">
        <v>20</v>
      </c>
    </row>
    <row r="3" spans="1:17" ht="12.75" customHeight="1" x14ac:dyDescent="0.2">
      <c r="A3" s="191" t="s">
        <v>142</v>
      </c>
      <c r="B3" s="186"/>
      <c r="C3" s="187"/>
      <c r="D3" s="186"/>
      <c r="E3" s="187"/>
      <c r="F3" s="186"/>
      <c r="G3" s="187"/>
      <c r="H3" s="186"/>
      <c r="I3" s="187"/>
      <c r="J3" s="186"/>
      <c r="K3" s="187"/>
      <c r="L3" s="189"/>
      <c r="M3" s="189" t="s">
        <v>143</v>
      </c>
      <c r="O3" s="190">
        <f>IF($A$2="Pounds",P3,Q3)</f>
        <v>22.5</v>
      </c>
      <c r="P3" s="190">
        <v>50</v>
      </c>
      <c r="Q3" s="190">
        <v>22.5</v>
      </c>
    </row>
    <row r="4" spans="1:17" ht="12.75" customHeight="1" x14ac:dyDescent="0.2">
      <c r="A4" s="191">
        <f>IF(M4+$K$2&gt;$L$1,0,M4+$K$2)</f>
        <v>35</v>
      </c>
      <c r="B4" s="186">
        <f>IF(A4=0,0,MIN($B$1/2,INT(M4/(2*$B$2))))</f>
        <v>0</v>
      </c>
      <c r="C4" s="187">
        <f>IF(A4=0,0,MIN($C$1/2,INT(($M4-2*$B4*$B$2)/(2*$C$2))))</f>
        <v>0</v>
      </c>
      <c r="D4" s="186">
        <f>IF(A4=0,0,MIN($D$1/2,INT(($M4-2*$B4*$B$2-2*$C4*$C$2)/(2*$D$2))))</f>
        <v>0</v>
      </c>
      <c r="E4" s="187">
        <f>IF(A4=0,0,MIN($E$1/2,INT(($M4-2*$B4*$B$2-2*$C4*$C$2-2*$D4*$D$2)/(2*$E$2))))</f>
        <v>0</v>
      </c>
      <c r="F4" s="186">
        <f>IF(A4=0,0,MIN($F$1/2,INT(($M4-2*$B4*$B$2-2*$C4*$C$2-2*$D4*$D$2-2*$E4*$E$2)/(2*$F$2))))</f>
        <v>0</v>
      </c>
      <c r="G4" s="187">
        <f>IF(A4=0,0,MIN($G$1/2,INT(($M4-2*$B4*$B$2-2*$C4*$C$2-2*$D4*$D$2-2*$E4*$E$2-2*$F4*$F$2)/(2*$G$2))))</f>
        <v>0</v>
      </c>
      <c r="H4" s="186">
        <f>IF(A4=0,0,MIN($H$1/2,INT(($M4-2*$B4*$B$2-2*$C4*$C$2-2*$D4*$D$2-2*$E4*$E$2-2*$F4*$F$2-2*$G4*$G$2)/(2*$H$2))))</f>
        <v>0</v>
      </c>
      <c r="I4" s="187">
        <f>IF(A4=0,0,MIN($I$1/2,INT(($M4-2*$B4*$B$2-2*$C4*$C$2-2*$D4*$D$2-2*$E4*$E$2-2*$F4*$F$2-2*$G4*$G$2-2*$H4*$H$2)/(2*$I$2))))</f>
        <v>0</v>
      </c>
      <c r="J4" s="186">
        <f>IF(A4=0,0,MIN($J$1/2,INT(($M4-2*$B4*$B$2-2*$C4*$C$2-2*$D4*$D$2-2*$E4*$E$2-2*$F4*$F$2-2*$G4*$G$2-2*$H4*$H$2-2*$I4*$I$2)/(2*$J$2))))</f>
        <v>0</v>
      </c>
      <c r="K4" s="187"/>
      <c r="L4" s="189">
        <v>0</v>
      </c>
      <c r="M4" s="192">
        <v>0</v>
      </c>
      <c r="N4" s="190" t="str">
        <f>IF($K$2+2*(B4*$B$2+C4*$C$2+D4*$D$2+E4*$E$2+F4*$F$2+G4*$G$2+H4*$H$2+I4*$I$2+J4*$J$2)=A4,"","Not enough weight for this load")</f>
        <v/>
      </c>
      <c r="O4" s="190">
        <f>IF($A$2="Pounds",P4,Q4)</f>
        <v>25</v>
      </c>
      <c r="P4" s="190">
        <v>55</v>
      </c>
      <c r="Q4" s="190">
        <v>25</v>
      </c>
    </row>
    <row r="5" spans="1:17" ht="12.75" customHeight="1" x14ac:dyDescent="0.2">
      <c r="A5" s="191">
        <f t="shared" ref="A5:A68" si="0">IF(M5+$K$2&gt;$L$1,0,M5+$K$2)</f>
        <v>37.5</v>
      </c>
      <c r="B5" s="186">
        <f t="shared" ref="B5:B68" si="1">IF(A5=0,0,MIN($B$1/2,INT(M5/(2*$B$2))))</f>
        <v>0</v>
      </c>
      <c r="C5" s="187">
        <f t="shared" ref="C5:C68" si="2">IF(A5=0,0,MIN($C$1/2,INT(($M5-2*$B5*$B$2)/(2*$C$2))))</f>
        <v>0</v>
      </c>
      <c r="D5" s="186">
        <f t="shared" ref="D5:D68" si="3">IF(A5=0,0,MIN($D$1/2,INT(($M5-2*$B5*$B$2-2*$C5*$C$2)/(2*$D$2))))</f>
        <v>0</v>
      </c>
      <c r="E5" s="187">
        <f t="shared" ref="E5:E68" si="4">IF(A5=0,0,MIN($E$1/2,INT(($M5-2*$B5*$B$2-2*$C5*$C$2-2*$D5*$D$2)/(2*$E$2))))</f>
        <v>0</v>
      </c>
      <c r="F5" s="186">
        <f t="shared" ref="F5:F68" si="5">IF(A5=0,0,MIN($F$1/2,INT(($M5-2*$B5*$B$2-2*$C5*$C$2-2*$D5*$D$2-2*$E5*$E$2)/(2*$F$2))))</f>
        <v>0</v>
      </c>
      <c r="G5" s="187">
        <f t="shared" ref="G5:G68" si="6">IF(A5=0,0,MIN($G$1/2,INT(($M5-2*$B5*$B$2-2*$C5*$C$2-2*$D5*$D$2-2*$E5*$E$2-2*$F5*$F$2)/(2*$G$2))))</f>
        <v>0</v>
      </c>
      <c r="H5" s="186">
        <f t="shared" ref="H5:H68" si="7">IF(A5=0,0,MIN($H$1/2,INT(($M5-2*$B5*$B$2-2*$C5*$C$2-2*$D5*$D$2-2*$E5*$E$2-2*$F5*$F$2-2*$G5*$G$2)/(2*$H$2))))</f>
        <v>0</v>
      </c>
      <c r="I5" s="187">
        <f t="shared" ref="I5:I68" si="8">IF(A5=0,0,MIN($I$1/2,INT(($M5-2*$B5*$B$2-2*$C5*$C$2-2*$D5*$D$2-2*$E5*$E$2-2*$F5*$F$2-2*$G5*$G$2-2*$H5*$H$2)/(2*$I$2))))</f>
        <v>0</v>
      </c>
      <c r="J5" s="186">
        <f t="shared" ref="J5:J68" si="9">IF(A5=0,0,MIN($J$1/2,INT(($M5-2*$B5*$B$2-2*$C5*$C$2-2*$D5*$D$2-2*$E5*$E$2-2*$F5*$F$2-2*$G5*$G$2-2*$H5*$H$2-2*$I5*$I$2)/(2*$J$2))))</f>
        <v>1</v>
      </c>
      <c r="K5" s="187"/>
      <c r="L5" s="189">
        <v>1</v>
      </c>
      <c r="M5" s="189">
        <f t="shared" ref="M5:M68" si="10">IF($A$2="Pounds",5*L5,2.5*L5)</f>
        <v>2.5</v>
      </c>
      <c r="O5" s="190">
        <f>IF($A$2="Pounds",P5,Q5)</f>
        <v>30</v>
      </c>
      <c r="P5" s="190">
        <v>65</v>
      </c>
      <c r="Q5" s="190">
        <v>30</v>
      </c>
    </row>
    <row r="6" spans="1:17" ht="12.75" customHeight="1" x14ac:dyDescent="0.2">
      <c r="A6" s="191">
        <f t="shared" si="0"/>
        <v>40</v>
      </c>
      <c r="B6" s="186">
        <f t="shared" si="1"/>
        <v>0</v>
      </c>
      <c r="C6" s="187">
        <f t="shared" si="2"/>
        <v>0</v>
      </c>
      <c r="D6" s="186">
        <f t="shared" si="3"/>
        <v>0</v>
      </c>
      <c r="E6" s="187">
        <f t="shared" si="4"/>
        <v>0</v>
      </c>
      <c r="F6" s="186">
        <f t="shared" si="5"/>
        <v>0</v>
      </c>
      <c r="G6" s="187">
        <f t="shared" si="6"/>
        <v>0</v>
      </c>
      <c r="H6" s="186">
        <f t="shared" si="7"/>
        <v>0</v>
      </c>
      <c r="I6" s="187">
        <f t="shared" si="8"/>
        <v>1</v>
      </c>
      <c r="J6" s="186">
        <f t="shared" si="9"/>
        <v>0</v>
      </c>
      <c r="K6" s="187"/>
      <c r="L6" s="189">
        <v>2</v>
      </c>
      <c r="M6" s="189">
        <f t="shared" si="10"/>
        <v>5</v>
      </c>
      <c r="O6" s="190">
        <f>IF($A$2="Pounds",P6,Q6)</f>
        <v>32.5</v>
      </c>
      <c r="P6" s="190">
        <v>70</v>
      </c>
      <c r="Q6" s="190">
        <v>32.5</v>
      </c>
    </row>
    <row r="7" spans="1:17" ht="12.75" customHeight="1" x14ac:dyDescent="0.2">
      <c r="A7" s="191">
        <f t="shared" si="0"/>
        <v>42.5</v>
      </c>
      <c r="B7" s="186">
        <f t="shared" si="1"/>
        <v>0</v>
      </c>
      <c r="C7" s="187">
        <f t="shared" si="2"/>
        <v>0</v>
      </c>
      <c r="D7" s="186">
        <f t="shared" si="3"/>
        <v>0</v>
      </c>
      <c r="E7" s="187">
        <f t="shared" si="4"/>
        <v>0</v>
      </c>
      <c r="F7" s="186">
        <f t="shared" si="5"/>
        <v>0</v>
      </c>
      <c r="G7" s="187">
        <f t="shared" si="6"/>
        <v>0</v>
      </c>
      <c r="H7" s="186">
        <f t="shared" si="7"/>
        <v>0</v>
      </c>
      <c r="I7" s="187">
        <f t="shared" si="8"/>
        <v>1</v>
      </c>
      <c r="J7" s="186">
        <f t="shared" si="9"/>
        <v>1</v>
      </c>
      <c r="K7" s="187"/>
      <c r="L7" s="189">
        <v>3</v>
      </c>
      <c r="M7" s="189">
        <f t="shared" si="10"/>
        <v>7.5</v>
      </c>
      <c r="O7" s="190">
        <v>35</v>
      </c>
      <c r="P7" s="190">
        <v>75</v>
      </c>
      <c r="Q7" s="190">
        <v>35</v>
      </c>
    </row>
    <row r="8" spans="1:17" ht="12.75" customHeight="1" x14ac:dyDescent="0.2">
      <c r="A8" s="191">
        <f t="shared" si="0"/>
        <v>45</v>
      </c>
      <c r="B8" s="186">
        <f t="shared" si="1"/>
        <v>0</v>
      </c>
      <c r="C8" s="187">
        <f t="shared" si="2"/>
        <v>0</v>
      </c>
      <c r="D8" s="186">
        <f t="shared" si="3"/>
        <v>0</v>
      </c>
      <c r="E8" s="187">
        <f t="shared" si="4"/>
        <v>0</v>
      </c>
      <c r="F8" s="186">
        <f t="shared" si="5"/>
        <v>0</v>
      </c>
      <c r="G8" s="187">
        <f t="shared" si="6"/>
        <v>0</v>
      </c>
      <c r="H8" s="186">
        <f t="shared" si="7"/>
        <v>1</v>
      </c>
      <c r="I8" s="187">
        <f t="shared" si="8"/>
        <v>0</v>
      </c>
      <c r="J8" s="186">
        <f t="shared" si="9"/>
        <v>0</v>
      </c>
      <c r="K8" s="187"/>
      <c r="L8" s="189">
        <v>4</v>
      </c>
      <c r="M8" s="189">
        <f t="shared" si="10"/>
        <v>10</v>
      </c>
    </row>
    <row r="9" spans="1:17" ht="12.75" customHeight="1" x14ac:dyDescent="0.2">
      <c r="A9" s="191">
        <f t="shared" si="0"/>
        <v>47.5</v>
      </c>
      <c r="B9" s="186">
        <f t="shared" si="1"/>
        <v>0</v>
      </c>
      <c r="C9" s="187">
        <f t="shared" si="2"/>
        <v>0</v>
      </c>
      <c r="D9" s="186">
        <f t="shared" si="3"/>
        <v>0</v>
      </c>
      <c r="E9" s="187">
        <f t="shared" si="4"/>
        <v>0</v>
      </c>
      <c r="F9" s="186">
        <f t="shared" si="5"/>
        <v>0</v>
      </c>
      <c r="G9" s="187">
        <f t="shared" si="6"/>
        <v>0</v>
      </c>
      <c r="H9" s="186">
        <f t="shared" si="7"/>
        <v>1</v>
      </c>
      <c r="I9" s="187">
        <f t="shared" si="8"/>
        <v>0</v>
      </c>
      <c r="J9" s="186">
        <f t="shared" si="9"/>
        <v>1</v>
      </c>
      <c r="K9" s="187"/>
      <c r="L9" s="189">
        <v>5</v>
      </c>
      <c r="M9" s="189">
        <f t="shared" si="10"/>
        <v>12.5</v>
      </c>
    </row>
    <row r="10" spans="1:17" ht="12.75" customHeight="1" x14ac:dyDescent="0.2">
      <c r="A10" s="191">
        <f t="shared" si="0"/>
        <v>50</v>
      </c>
      <c r="B10" s="186">
        <f t="shared" si="1"/>
        <v>0</v>
      </c>
      <c r="C10" s="187">
        <f t="shared" si="2"/>
        <v>0</v>
      </c>
      <c r="D10" s="186">
        <f t="shared" si="3"/>
        <v>0</v>
      </c>
      <c r="E10" s="187">
        <f t="shared" si="4"/>
        <v>0</v>
      </c>
      <c r="F10" s="186">
        <f t="shared" si="5"/>
        <v>0</v>
      </c>
      <c r="G10" s="187">
        <f t="shared" si="6"/>
        <v>0</v>
      </c>
      <c r="H10" s="186">
        <f t="shared" si="7"/>
        <v>1</v>
      </c>
      <c r="I10" s="187">
        <f t="shared" si="8"/>
        <v>1</v>
      </c>
      <c r="J10" s="186">
        <f t="shared" si="9"/>
        <v>0</v>
      </c>
      <c r="K10" s="187"/>
      <c r="L10" s="189">
        <v>6</v>
      </c>
      <c r="M10" s="189">
        <f t="shared" si="10"/>
        <v>15</v>
      </c>
    </row>
    <row r="11" spans="1:17" ht="12.75" customHeight="1" x14ac:dyDescent="0.2">
      <c r="A11" s="191">
        <f t="shared" si="0"/>
        <v>52.5</v>
      </c>
      <c r="B11" s="186">
        <f t="shared" si="1"/>
        <v>0</v>
      </c>
      <c r="C11" s="187">
        <f t="shared" si="2"/>
        <v>0</v>
      </c>
      <c r="D11" s="186">
        <f t="shared" si="3"/>
        <v>0</v>
      </c>
      <c r="E11" s="187">
        <f t="shared" si="4"/>
        <v>0</v>
      </c>
      <c r="F11" s="186">
        <f t="shared" si="5"/>
        <v>0</v>
      </c>
      <c r="G11" s="187">
        <f t="shared" si="6"/>
        <v>0</v>
      </c>
      <c r="H11" s="186">
        <f t="shared" si="7"/>
        <v>1</v>
      </c>
      <c r="I11" s="187">
        <f t="shared" si="8"/>
        <v>1</v>
      </c>
      <c r="J11" s="186">
        <f t="shared" si="9"/>
        <v>1</v>
      </c>
      <c r="K11" s="187"/>
      <c r="L11" s="189">
        <v>7</v>
      </c>
      <c r="M11" s="189">
        <f t="shared" si="10"/>
        <v>17.5</v>
      </c>
    </row>
    <row r="12" spans="1:17" ht="12.75" customHeight="1" x14ac:dyDescent="0.2">
      <c r="A12" s="191">
        <f t="shared" si="0"/>
        <v>55</v>
      </c>
      <c r="B12" s="186">
        <f t="shared" si="1"/>
        <v>0</v>
      </c>
      <c r="C12" s="187">
        <f t="shared" si="2"/>
        <v>0</v>
      </c>
      <c r="D12" s="186">
        <f t="shared" si="3"/>
        <v>0</v>
      </c>
      <c r="E12" s="187">
        <f t="shared" si="4"/>
        <v>0</v>
      </c>
      <c r="F12" s="186">
        <f t="shared" si="5"/>
        <v>0</v>
      </c>
      <c r="G12" s="187">
        <f t="shared" si="6"/>
        <v>1</v>
      </c>
      <c r="H12" s="186">
        <f t="shared" si="7"/>
        <v>0</v>
      </c>
      <c r="I12" s="187">
        <f t="shared" si="8"/>
        <v>0</v>
      </c>
      <c r="J12" s="186">
        <f t="shared" si="9"/>
        <v>0</v>
      </c>
      <c r="K12" s="187"/>
      <c r="L12" s="189">
        <v>8</v>
      </c>
      <c r="M12" s="189">
        <f t="shared" si="10"/>
        <v>20</v>
      </c>
    </row>
    <row r="13" spans="1:17" ht="12.75" customHeight="1" x14ac:dyDescent="0.2">
      <c r="A13" s="191">
        <f t="shared" si="0"/>
        <v>57.5</v>
      </c>
      <c r="B13" s="186">
        <f t="shared" si="1"/>
        <v>0</v>
      </c>
      <c r="C13" s="187">
        <f t="shared" si="2"/>
        <v>0</v>
      </c>
      <c r="D13" s="186">
        <f t="shared" si="3"/>
        <v>0</v>
      </c>
      <c r="E13" s="187">
        <f t="shared" si="4"/>
        <v>0</v>
      </c>
      <c r="F13" s="186">
        <f t="shared" si="5"/>
        <v>0</v>
      </c>
      <c r="G13" s="187">
        <f t="shared" si="6"/>
        <v>1</v>
      </c>
      <c r="H13" s="186">
        <f t="shared" si="7"/>
        <v>0</v>
      </c>
      <c r="I13" s="187">
        <f t="shared" si="8"/>
        <v>0</v>
      </c>
      <c r="J13" s="186">
        <f t="shared" si="9"/>
        <v>1</v>
      </c>
      <c r="K13" s="187"/>
      <c r="L13" s="189">
        <f t="shared" ref="L13:L76" si="11">L12+1</f>
        <v>9</v>
      </c>
      <c r="M13" s="189">
        <f t="shared" si="10"/>
        <v>22.5</v>
      </c>
    </row>
    <row r="14" spans="1:17" ht="12.75" customHeight="1" x14ac:dyDescent="0.2">
      <c r="A14" s="191">
        <f t="shared" si="0"/>
        <v>60</v>
      </c>
      <c r="B14" s="186">
        <f t="shared" si="1"/>
        <v>0</v>
      </c>
      <c r="C14" s="187">
        <f t="shared" si="2"/>
        <v>0</v>
      </c>
      <c r="D14" s="186">
        <f t="shared" si="3"/>
        <v>0</v>
      </c>
      <c r="E14" s="187">
        <f t="shared" si="4"/>
        <v>0</v>
      </c>
      <c r="F14" s="186">
        <f t="shared" si="5"/>
        <v>0</v>
      </c>
      <c r="G14" s="187">
        <f t="shared" si="6"/>
        <v>1</v>
      </c>
      <c r="H14" s="186">
        <f t="shared" si="7"/>
        <v>0</v>
      </c>
      <c r="I14" s="187">
        <f t="shared" si="8"/>
        <v>1</v>
      </c>
      <c r="J14" s="186">
        <f t="shared" si="9"/>
        <v>0</v>
      </c>
      <c r="K14" s="187"/>
      <c r="L14" s="189">
        <f t="shared" si="11"/>
        <v>10</v>
      </c>
      <c r="M14" s="189">
        <f t="shared" si="10"/>
        <v>25</v>
      </c>
    </row>
    <row r="15" spans="1:17" ht="12.75" customHeight="1" x14ac:dyDescent="0.2">
      <c r="A15" s="191">
        <f t="shared" si="0"/>
        <v>62.5</v>
      </c>
      <c r="B15" s="186">
        <f t="shared" si="1"/>
        <v>0</v>
      </c>
      <c r="C15" s="187">
        <f t="shared" si="2"/>
        <v>0</v>
      </c>
      <c r="D15" s="186">
        <f t="shared" si="3"/>
        <v>0</v>
      </c>
      <c r="E15" s="187">
        <f t="shared" si="4"/>
        <v>0</v>
      </c>
      <c r="F15" s="186">
        <f t="shared" si="5"/>
        <v>0</v>
      </c>
      <c r="G15" s="187">
        <f t="shared" si="6"/>
        <v>1</v>
      </c>
      <c r="H15" s="186">
        <f t="shared" si="7"/>
        <v>0</v>
      </c>
      <c r="I15" s="187">
        <f t="shared" si="8"/>
        <v>1</v>
      </c>
      <c r="J15" s="186">
        <f t="shared" si="9"/>
        <v>1</v>
      </c>
      <c r="K15" s="187"/>
      <c r="L15" s="189">
        <f t="shared" si="11"/>
        <v>11</v>
      </c>
      <c r="M15" s="189">
        <f t="shared" si="10"/>
        <v>27.5</v>
      </c>
    </row>
    <row r="16" spans="1:17" ht="12.75" customHeight="1" x14ac:dyDescent="0.2">
      <c r="A16" s="191">
        <f t="shared" si="0"/>
        <v>65</v>
      </c>
      <c r="B16" s="186">
        <f t="shared" si="1"/>
        <v>0</v>
      </c>
      <c r="C16" s="187">
        <f t="shared" si="2"/>
        <v>0</v>
      </c>
      <c r="D16" s="186">
        <f t="shared" si="3"/>
        <v>0</v>
      </c>
      <c r="E16" s="187">
        <f t="shared" si="4"/>
        <v>0</v>
      </c>
      <c r="F16" s="186">
        <f t="shared" si="5"/>
        <v>1</v>
      </c>
      <c r="G16" s="187">
        <f t="shared" si="6"/>
        <v>0</v>
      </c>
      <c r="H16" s="186">
        <f t="shared" si="7"/>
        <v>0</v>
      </c>
      <c r="I16" s="187">
        <f t="shared" si="8"/>
        <v>0</v>
      </c>
      <c r="J16" s="186">
        <f t="shared" si="9"/>
        <v>0</v>
      </c>
      <c r="K16" s="187"/>
      <c r="L16" s="189">
        <f t="shared" si="11"/>
        <v>12</v>
      </c>
      <c r="M16" s="189">
        <f t="shared" si="10"/>
        <v>30</v>
      </c>
    </row>
    <row r="17" spans="1:13" ht="12.75" customHeight="1" x14ac:dyDescent="0.2">
      <c r="A17" s="191">
        <f t="shared" si="0"/>
        <v>67.5</v>
      </c>
      <c r="B17" s="186">
        <f t="shared" si="1"/>
        <v>0</v>
      </c>
      <c r="C17" s="187">
        <f t="shared" si="2"/>
        <v>0</v>
      </c>
      <c r="D17" s="186">
        <f t="shared" si="3"/>
        <v>0</v>
      </c>
      <c r="E17" s="187">
        <f t="shared" si="4"/>
        <v>0</v>
      </c>
      <c r="F17" s="186">
        <f t="shared" si="5"/>
        <v>1</v>
      </c>
      <c r="G17" s="187">
        <f t="shared" si="6"/>
        <v>0</v>
      </c>
      <c r="H17" s="186">
        <f t="shared" si="7"/>
        <v>0</v>
      </c>
      <c r="I17" s="187">
        <f t="shared" si="8"/>
        <v>0</v>
      </c>
      <c r="J17" s="186">
        <f t="shared" si="9"/>
        <v>1</v>
      </c>
      <c r="K17" s="187"/>
      <c r="L17" s="189">
        <f t="shared" si="11"/>
        <v>13</v>
      </c>
      <c r="M17" s="189">
        <f t="shared" si="10"/>
        <v>32.5</v>
      </c>
    </row>
    <row r="18" spans="1:13" ht="12.75" customHeight="1" x14ac:dyDescent="0.2">
      <c r="A18" s="191">
        <f t="shared" si="0"/>
        <v>70</v>
      </c>
      <c r="B18" s="186">
        <f t="shared" si="1"/>
        <v>0</v>
      </c>
      <c r="C18" s="187">
        <f t="shared" si="2"/>
        <v>0</v>
      </c>
      <c r="D18" s="186">
        <f t="shared" si="3"/>
        <v>0</v>
      </c>
      <c r="E18" s="187">
        <f t="shared" si="4"/>
        <v>0</v>
      </c>
      <c r="F18" s="186">
        <f t="shared" si="5"/>
        <v>1</v>
      </c>
      <c r="G18" s="187">
        <f t="shared" si="6"/>
        <v>0</v>
      </c>
      <c r="H18" s="186">
        <f t="shared" si="7"/>
        <v>0</v>
      </c>
      <c r="I18" s="187">
        <f t="shared" si="8"/>
        <v>1</v>
      </c>
      <c r="J18" s="186">
        <f t="shared" si="9"/>
        <v>0</v>
      </c>
      <c r="K18" s="187"/>
      <c r="L18" s="189">
        <f t="shared" si="11"/>
        <v>14</v>
      </c>
      <c r="M18" s="189">
        <f t="shared" si="10"/>
        <v>35</v>
      </c>
    </row>
    <row r="19" spans="1:13" ht="12.75" customHeight="1" x14ac:dyDescent="0.2">
      <c r="A19" s="191">
        <f t="shared" si="0"/>
        <v>72.5</v>
      </c>
      <c r="B19" s="186">
        <f t="shared" si="1"/>
        <v>0</v>
      </c>
      <c r="C19" s="187">
        <f t="shared" si="2"/>
        <v>0</v>
      </c>
      <c r="D19" s="186">
        <f t="shared" si="3"/>
        <v>0</v>
      </c>
      <c r="E19" s="187">
        <f t="shared" si="4"/>
        <v>0</v>
      </c>
      <c r="F19" s="186">
        <f t="shared" si="5"/>
        <v>1</v>
      </c>
      <c r="G19" s="187">
        <f t="shared" si="6"/>
        <v>0</v>
      </c>
      <c r="H19" s="186">
        <f t="shared" si="7"/>
        <v>0</v>
      </c>
      <c r="I19" s="187">
        <f t="shared" si="8"/>
        <v>1</v>
      </c>
      <c r="J19" s="186">
        <f t="shared" si="9"/>
        <v>1</v>
      </c>
      <c r="K19" s="187"/>
      <c r="L19" s="189">
        <f t="shared" si="11"/>
        <v>15</v>
      </c>
      <c r="M19" s="189">
        <f t="shared" si="10"/>
        <v>37.5</v>
      </c>
    </row>
    <row r="20" spans="1:13" ht="12.75" customHeight="1" x14ac:dyDescent="0.2">
      <c r="A20" s="191">
        <f t="shared" si="0"/>
        <v>75</v>
      </c>
      <c r="B20" s="186">
        <f t="shared" si="1"/>
        <v>0</v>
      </c>
      <c r="C20" s="187">
        <f t="shared" si="2"/>
        <v>0</v>
      </c>
      <c r="D20" s="186">
        <f t="shared" si="3"/>
        <v>0</v>
      </c>
      <c r="E20" s="187">
        <f t="shared" si="4"/>
        <v>1</v>
      </c>
      <c r="F20" s="186">
        <f t="shared" si="5"/>
        <v>0</v>
      </c>
      <c r="G20" s="187">
        <f t="shared" si="6"/>
        <v>0</v>
      </c>
      <c r="H20" s="186">
        <f t="shared" si="7"/>
        <v>0</v>
      </c>
      <c r="I20" s="187">
        <f t="shared" si="8"/>
        <v>0</v>
      </c>
      <c r="J20" s="186">
        <f t="shared" si="9"/>
        <v>0</v>
      </c>
      <c r="K20" s="187"/>
      <c r="L20" s="189">
        <f t="shared" si="11"/>
        <v>16</v>
      </c>
      <c r="M20" s="189">
        <f t="shared" si="10"/>
        <v>40</v>
      </c>
    </row>
    <row r="21" spans="1:13" ht="12.75" customHeight="1" x14ac:dyDescent="0.2">
      <c r="A21" s="191">
        <f t="shared" si="0"/>
        <v>77.5</v>
      </c>
      <c r="B21" s="186">
        <f t="shared" si="1"/>
        <v>0</v>
      </c>
      <c r="C21" s="187">
        <f t="shared" si="2"/>
        <v>0</v>
      </c>
      <c r="D21" s="186">
        <f t="shared" si="3"/>
        <v>0</v>
      </c>
      <c r="E21" s="187">
        <f t="shared" si="4"/>
        <v>1</v>
      </c>
      <c r="F21" s="186">
        <f t="shared" si="5"/>
        <v>0</v>
      </c>
      <c r="G21" s="187">
        <f t="shared" si="6"/>
        <v>0</v>
      </c>
      <c r="H21" s="186">
        <f t="shared" si="7"/>
        <v>0</v>
      </c>
      <c r="I21" s="187">
        <f t="shared" si="8"/>
        <v>0</v>
      </c>
      <c r="J21" s="186">
        <f t="shared" si="9"/>
        <v>1</v>
      </c>
      <c r="K21" s="187"/>
      <c r="L21" s="189">
        <f t="shared" si="11"/>
        <v>17</v>
      </c>
      <c r="M21" s="189">
        <f t="shared" si="10"/>
        <v>42.5</v>
      </c>
    </row>
    <row r="22" spans="1:13" ht="12.75" customHeight="1" x14ac:dyDescent="0.2">
      <c r="A22" s="191">
        <f t="shared" si="0"/>
        <v>80</v>
      </c>
      <c r="B22" s="186">
        <f t="shared" si="1"/>
        <v>0</v>
      </c>
      <c r="C22" s="187">
        <f t="shared" si="2"/>
        <v>0</v>
      </c>
      <c r="D22" s="186">
        <f t="shared" si="3"/>
        <v>0</v>
      </c>
      <c r="E22" s="187">
        <f t="shared" si="4"/>
        <v>1</v>
      </c>
      <c r="F22" s="186">
        <f t="shared" si="5"/>
        <v>0</v>
      </c>
      <c r="G22" s="187">
        <f t="shared" si="6"/>
        <v>0</v>
      </c>
      <c r="H22" s="186">
        <f t="shared" si="7"/>
        <v>0</v>
      </c>
      <c r="I22" s="187">
        <f t="shared" si="8"/>
        <v>1</v>
      </c>
      <c r="J22" s="186">
        <f t="shared" si="9"/>
        <v>0</v>
      </c>
      <c r="K22" s="187"/>
      <c r="L22" s="189">
        <f t="shared" si="11"/>
        <v>18</v>
      </c>
      <c r="M22" s="189">
        <f t="shared" si="10"/>
        <v>45</v>
      </c>
    </row>
    <row r="23" spans="1:13" ht="12.75" customHeight="1" x14ac:dyDescent="0.2">
      <c r="A23" s="191">
        <f t="shared" si="0"/>
        <v>82.5</v>
      </c>
      <c r="B23" s="186">
        <f t="shared" si="1"/>
        <v>0</v>
      </c>
      <c r="C23" s="187">
        <f t="shared" si="2"/>
        <v>0</v>
      </c>
      <c r="D23" s="186">
        <f t="shared" si="3"/>
        <v>0</v>
      </c>
      <c r="E23" s="187">
        <f t="shared" si="4"/>
        <v>1</v>
      </c>
      <c r="F23" s="186">
        <f t="shared" si="5"/>
        <v>0</v>
      </c>
      <c r="G23" s="187">
        <f t="shared" si="6"/>
        <v>0</v>
      </c>
      <c r="H23" s="186">
        <f t="shared" si="7"/>
        <v>0</v>
      </c>
      <c r="I23" s="187">
        <f t="shared" si="8"/>
        <v>1</v>
      </c>
      <c r="J23" s="186">
        <f t="shared" si="9"/>
        <v>1</v>
      </c>
      <c r="K23" s="187"/>
      <c r="L23" s="189">
        <f t="shared" si="11"/>
        <v>19</v>
      </c>
      <c r="M23" s="189">
        <f t="shared" si="10"/>
        <v>47.5</v>
      </c>
    </row>
    <row r="24" spans="1:13" ht="12.75" customHeight="1" x14ac:dyDescent="0.2">
      <c r="A24" s="191">
        <f t="shared" si="0"/>
        <v>85</v>
      </c>
      <c r="B24" s="186">
        <f t="shared" si="1"/>
        <v>0</v>
      </c>
      <c r="C24" s="187">
        <f t="shared" si="2"/>
        <v>0</v>
      </c>
      <c r="D24" s="186">
        <f t="shared" si="3"/>
        <v>0</v>
      </c>
      <c r="E24" s="187">
        <f t="shared" si="4"/>
        <v>1</v>
      </c>
      <c r="F24" s="186">
        <f t="shared" si="5"/>
        <v>0</v>
      </c>
      <c r="G24" s="187">
        <f t="shared" si="6"/>
        <v>0</v>
      </c>
      <c r="H24" s="186">
        <f t="shared" si="7"/>
        <v>1</v>
      </c>
      <c r="I24" s="187">
        <f t="shared" si="8"/>
        <v>0</v>
      </c>
      <c r="J24" s="186">
        <f t="shared" si="9"/>
        <v>0</v>
      </c>
      <c r="K24" s="187"/>
      <c r="L24" s="189">
        <f t="shared" si="11"/>
        <v>20</v>
      </c>
      <c r="M24" s="189">
        <f t="shared" si="10"/>
        <v>50</v>
      </c>
    </row>
    <row r="25" spans="1:13" ht="12.75" customHeight="1" x14ac:dyDescent="0.2">
      <c r="A25" s="191">
        <f t="shared" si="0"/>
        <v>87.5</v>
      </c>
      <c r="B25" s="186">
        <f t="shared" si="1"/>
        <v>0</v>
      </c>
      <c r="C25" s="187">
        <f t="shared" si="2"/>
        <v>0</v>
      </c>
      <c r="D25" s="186">
        <f t="shared" si="3"/>
        <v>0</v>
      </c>
      <c r="E25" s="187">
        <f t="shared" si="4"/>
        <v>1</v>
      </c>
      <c r="F25" s="186">
        <f t="shared" si="5"/>
        <v>0</v>
      </c>
      <c r="G25" s="187">
        <f t="shared" si="6"/>
        <v>0</v>
      </c>
      <c r="H25" s="186">
        <f t="shared" si="7"/>
        <v>1</v>
      </c>
      <c r="I25" s="187">
        <f t="shared" si="8"/>
        <v>0</v>
      </c>
      <c r="J25" s="186">
        <f t="shared" si="9"/>
        <v>1</v>
      </c>
      <c r="K25" s="187"/>
      <c r="L25" s="189">
        <f t="shared" si="11"/>
        <v>21</v>
      </c>
      <c r="M25" s="189">
        <f t="shared" si="10"/>
        <v>52.5</v>
      </c>
    </row>
    <row r="26" spans="1:13" ht="12.75" customHeight="1" x14ac:dyDescent="0.2">
      <c r="A26" s="191">
        <f t="shared" si="0"/>
        <v>90</v>
      </c>
      <c r="B26" s="186">
        <f t="shared" si="1"/>
        <v>0</v>
      </c>
      <c r="C26" s="187">
        <f t="shared" si="2"/>
        <v>0</v>
      </c>
      <c r="D26" s="186">
        <f t="shared" si="3"/>
        <v>0</v>
      </c>
      <c r="E26" s="187">
        <f t="shared" si="4"/>
        <v>1</v>
      </c>
      <c r="F26" s="186">
        <f t="shared" si="5"/>
        <v>0</v>
      </c>
      <c r="G26" s="187">
        <f t="shared" si="6"/>
        <v>0</v>
      </c>
      <c r="H26" s="186">
        <f t="shared" si="7"/>
        <v>1</v>
      </c>
      <c r="I26" s="187">
        <f t="shared" si="8"/>
        <v>1</v>
      </c>
      <c r="J26" s="186">
        <f t="shared" si="9"/>
        <v>0</v>
      </c>
      <c r="K26" s="187"/>
      <c r="L26" s="189">
        <f t="shared" si="11"/>
        <v>22</v>
      </c>
      <c r="M26" s="189">
        <f t="shared" si="10"/>
        <v>55</v>
      </c>
    </row>
    <row r="27" spans="1:13" ht="12.75" customHeight="1" x14ac:dyDescent="0.2">
      <c r="A27" s="191">
        <f t="shared" si="0"/>
        <v>92.5</v>
      </c>
      <c r="B27" s="186">
        <f t="shared" si="1"/>
        <v>0</v>
      </c>
      <c r="C27" s="187">
        <f t="shared" si="2"/>
        <v>0</v>
      </c>
      <c r="D27" s="186">
        <f t="shared" si="3"/>
        <v>0</v>
      </c>
      <c r="E27" s="187">
        <f t="shared" si="4"/>
        <v>1</v>
      </c>
      <c r="F27" s="186">
        <f t="shared" si="5"/>
        <v>0</v>
      </c>
      <c r="G27" s="187">
        <f t="shared" si="6"/>
        <v>0</v>
      </c>
      <c r="H27" s="186">
        <f t="shared" si="7"/>
        <v>1</v>
      </c>
      <c r="I27" s="187">
        <f t="shared" si="8"/>
        <v>1</v>
      </c>
      <c r="J27" s="186">
        <f t="shared" si="9"/>
        <v>1</v>
      </c>
      <c r="K27" s="187"/>
      <c r="L27" s="189">
        <f t="shared" si="11"/>
        <v>23</v>
      </c>
      <c r="M27" s="189">
        <f t="shared" si="10"/>
        <v>57.5</v>
      </c>
    </row>
    <row r="28" spans="1:13" ht="12.75" customHeight="1" x14ac:dyDescent="0.2">
      <c r="A28" s="191">
        <f t="shared" si="0"/>
        <v>95</v>
      </c>
      <c r="B28" s="186">
        <f t="shared" si="1"/>
        <v>0</v>
      </c>
      <c r="C28" s="187">
        <f t="shared" si="2"/>
        <v>0</v>
      </c>
      <c r="D28" s="186">
        <f t="shared" si="3"/>
        <v>0</v>
      </c>
      <c r="E28" s="187">
        <f t="shared" si="4"/>
        <v>1</v>
      </c>
      <c r="F28" s="186">
        <f t="shared" si="5"/>
        <v>0</v>
      </c>
      <c r="G28" s="187">
        <f t="shared" si="6"/>
        <v>1</v>
      </c>
      <c r="H28" s="186">
        <f t="shared" si="7"/>
        <v>0</v>
      </c>
      <c r="I28" s="187">
        <f t="shared" si="8"/>
        <v>0</v>
      </c>
      <c r="J28" s="186">
        <f t="shared" si="9"/>
        <v>0</v>
      </c>
      <c r="K28" s="187"/>
      <c r="L28" s="189">
        <f t="shared" si="11"/>
        <v>24</v>
      </c>
      <c r="M28" s="189">
        <f t="shared" si="10"/>
        <v>60</v>
      </c>
    </row>
    <row r="29" spans="1:13" ht="12.75" customHeight="1" x14ac:dyDescent="0.2">
      <c r="A29" s="191">
        <f t="shared" si="0"/>
        <v>97.5</v>
      </c>
      <c r="B29" s="186">
        <f t="shared" si="1"/>
        <v>0</v>
      </c>
      <c r="C29" s="187">
        <f t="shared" si="2"/>
        <v>0</v>
      </c>
      <c r="D29" s="186">
        <f t="shared" si="3"/>
        <v>0</v>
      </c>
      <c r="E29" s="187">
        <f t="shared" si="4"/>
        <v>1</v>
      </c>
      <c r="F29" s="186">
        <f t="shared" si="5"/>
        <v>0</v>
      </c>
      <c r="G29" s="187">
        <f t="shared" si="6"/>
        <v>1</v>
      </c>
      <c r="H29" s="186">
        <f t="shared" si="7"/>
        <v>0</v>
      </c>
      <c r="I29" s="187">
        <f t="shared" si="8"/>
        <v>0</v>
      </c>
      <c r="J29" s="186">
        <f t="shared" si="9"/>
        <v>1</v>
      </c>
      <c r="K29" s="187"/>
      <c r="L29" s="189">
        <f t="shared" si="11"/>
        <v>25</v>
      </c>
      <c r="M29" s="189">
        <f t="shared" si="10"/>
        <v>62.5</v>
      </c>
    </row>
    <row r="30" spans="1:13" ht="12.75" customHeight="1" x14ac:dyDescent="0.2">
      <c r="A30" s="191">
        <f t="shared" si="0"/>
        <v>100</v>
      </c>
      <c r="B30" s="186">
        <f t="shared" si="1"/>
        <v>0</v>
      </c>
      <c r="C30" s="187">
        <f t="shared" si="2"/>
        <v>0</v>
      </c>
      <c r="D30" s="186">
        <f t="shared" si="3"/>
        <v>0</v>
      </c>
      <c r="E30" s="187">
        <f t="shared" si="4"/>
        <v>1</v>
      </c>
      <c r="F30" s="186">
        <f t="shared" si="5"/>
        <v>0</v>
      </c>
      <c r="G30" s="187">
        <f t="shared" si="6"/>
        <v>1</v>
      </c>
      <c r="H30" s="186">
        <f t="shared" si="7"/>
        <v>0</v>
      </c>
      <c r="I30" s="187">
        <f t="shared" si="8"/>
        <v>1</v>
      </c>
      <c r="J30" s="186">
        <f t="shared" si="9"/>
        <v>0</v>
      </c>
      <c r="K30" s="187"/>
      <c r="L30" s="189">
        <f t="shared" si="11"/>
        <v>26</v>
      </c>
      <c r="M30" s="189">
        <f t="shared" si="10"/>
        <v>65</v>
      </c>
    </row>
    <row r="31" spans="1:13" ht="12.75" customHeight="1" x14ac:dyDescent="0.2">
      <c r="A31" s="191">
        <f t="shared" si="0"/>
        <v>102.5</v>
      </c>
      <c r="B31" s="186">
        <f t="shared" si="1"/>
        <v>0</v>
      </c>
      <c r="C31" s="187">
        <f t="shared" si="2"/>
        <v>0</v>
      </c>
      <c r="D31" s="186">
        <f t="shared" si="3"/>
        <v>0</v>
      </c>
      <c r="E31" s="187">
        <f t="shared" si="4"/>
        <v>1</v>
      </c>
      <c r="F31" s="186">
        <f t="shared" si="5"/>
        <v>0</v>
      </c>
      <c r="G31" s="187">
        <f t="shared" si="6"/>
        <v>1</v>
      </c>
      <c r="H31" s="186">
        <f t="shared" si="7"/>
        <v>0</v>
      </c>
      <c r="I31" s="187">
        <f t="shared" si="8"/>
        <v>1</v>
      </c>
      <c r="J31" s="186">
        <f t="shared" si="9"/>
        <v>1</v>
      </c>
      <c r="K31" s="187"/>
      <c r="L31" s="189">
        <f t="shared" si="11"/>
        <v>27</v>
      </c>
      <c r="M31" s="189">
        <f t="shared" si="10"/>
        <v>67.5</v>
      </c>
    </row>
    <row r="32" spans="1:13" ht="12.75" customHeight="1" x14ac:dyDescent="0.2">
      <c r="A32" s="191">
        <f t="shared" si="0"/>
        <v>105</v>
      </c>
      <c r="B32" s="186">
        <f t="shared" si="1"/>
        <v>0</v>
      </c>
      <c r="C32" s="187">
        <f t="shared" si="2"/>
        <v>0</v>
      </c>
      <c r="D32" s="186">
        <f t="shared" si="3"/>
        <v>0</v>
      </c>
      <c r="E32" s="187">
        <f t="shared" si="4"/>
        <v>1</v>
      </c>
      <c r="F32" s="186">
        <f t="shared" si="5"/>
        <v>1</v>
      </c>
      <c r="G32" s="187">
        <f t="shared" si="6"/>
        <v>0</v>
      </c>
      <c r="H32" s="186">
        <f t="shared" si="7"/>
        <v>0</v>
      </c>
      <c r="I32" s="187">
        <f t="shared" si="8"/>
        <v>0</v>
      </c>
      <c r="J32" s="186">
        <f t="shared" si="9"/>
        <v>0</v>
      </c>
      <c r="K32" s="187"/>
      <c r="L32" s="189">
        <f t="shared" si="11"/>
        <v>28</v>
      </c>
      <c r="M32" s="189">
        <f t="shared" si="10"/>
        <v>70</v>
      </c>
    </row>
    <row r="33" spans="1:13" ht="12.75" customHeight="1" x14ac:dyDescent="0.2">
      <c r="A33" s="191">
        <f t="shared" si="0"/>
        <v>107.5</v>
      </c>
      <c r="B33" s="186">
        <f t="shared" si="1"/>
        <v>0</v>
      </c>
      <c r="C33" s="187">
        <f t="shared" si="2"/>
        <v>0</v>
      </c>
      <c r="D33" s="186">
        <f t="shared" si="3"/>
        <v>0</v>
      </c>
      <c r="E33" s="187">
        <f t="shared" si="4"/>
        <v>1</v>
      </c>
      <c r="F33" s="186">
        <f t="shared" si="5"/>
        <v>1</v>
      </c>
      <c r="G33" s="187">
        <f t="shared" si="6"/>
        <v>0</v>
      </c>
      <c r="H33" s="186">
        <f t="shared" si="7"/>
        <v>0</v>
      </c>
      <c r="I33" s="187">
        <f t="shared" si="8"/>
        <v>0</v>
      </c>
      <c r="J33" s="186">
        <f t="shared" si="9"/>
        <v>1</v>
      </c>
      <c r="K33" s="187"/>
      <c r="L33" s="189">
        <f t="shared" si="11"/>
        <v>29</v>
      </c>
      <c r="M33" s="189">
        <f t="shared" si="10"/>
        <v>72.5</v>
      </c>
    </row>
    <row r="34" spans="1:13" ht="12.75" customHeight="1" x14ac:dyDescent="0.2">
      <c r="A34" s="191">
        <f t="shared" si="0"/>
        <v>110</v>
      </c>
      <c r="B34" s="186">
        <f t="shared" si="1"/>
        <v>0</v>
      </c>
      <c r="C34" s="187">
        <f t="shared" si="2"/>
        <v>0</v>
      </c>
      <c r="D34" s="186">
        <f t="shared" si="3"/>
        <v>0</v>
      </c>
      <c r="E34" s="187">
        <f t="shared" si="4"/>
        <v>1</v>
      </c>
      <c r="F34" s="186">
        <f t="shared" si="5"/>
        <v>1</v>
      </c>
      <c r="G34" s="187">
        <f t="shared" si="6"/>
        <v>0</v>
      </c>
      <c r="H34" s="186">
        <f t="shared" si="7"/>
        <v>0</v>
      </c>
      <c r="I34" s="187">
        <f t="shared" si="8"/>
        <v>1</v>
      </c>
      <c r="J34" s="186">
        <f t="shared" si="9"/>
        <v>0</v>
      </c>
      <c r="K34" s="187"/>
      <c r="L34" s="189">
        <f t="shared" si="11"/>
        <v>30</v>
      </c>
      <c r="M34" s="189">
        <f t="shared" si="10"/>
        <v>75</v>
      </c>
    </row>
    <row r="35" spans="1:13" ht="12.75" customHeight="1" x14ac:dyDescent="0.2">
      <c r="A35" s="191">
        <f t="shared" si="0"/>
        <v>112.5</v>
      </c>
      <c r="B35" s="186">
        <f t="shared" si="1"/>
        <v>0</v>
      </c>
      <c r="C35" s="187">
        <f t="shared" si="2"/>
        <v>0</v>
      </c>
      <c r="D35" s="186">
        <f t="shared" si="3"/>
        <v>0</v>
      </c>
      <c r="E35" s="187">
        <f t="shared" si="4"/>
        <v>1</v>
      </c>
      <c r="F35" s="186">
        <f t="shared" si="5"/>
        <v>1</v>
      </c>
      <c r="G35" s="187">
        <f t="shared" si="6"/>
        <v>0</v>
      </c>
      <c r="H35" s="186">
        <f t="shared" si="7"/>
        <v>0</v>
      </c>
      <c r="I35" s="187">
        <f t="shared" si="8"/>
        <v>1</v>
      </c>
      <c r="J35" s="186">
        <f t="shared" si="9"/>
        <v>1</v>
      </c>
      <c r="K35" s="187"/>
      <c r="L35" s="189">
        <f t="shared" si="11"/>
        <v>31</v>
      </c>
      <c r="M35" s="189">
        <f t="shared" si="10"/>
        <v>77.5</v>
      </c>
    </row>
    <row r="36" spans="1:13" ht="12.75" customHeight="1" x14ac:dyDescent="0.2">
      <c r="A36" s="191">
        <f t="shared" si="0"/>
        <v>115</v>
      </c>
      <c r="B36" s="186">
        <f t="shared" si="1"/>
        <v>0</v>
      </c>
      <c r="C36" s="187">
        <f t="shared" si="2"/>
        <v>0</v>
      </c>
      <c r="D36" s="186">
        <f t="shared" si="3"/>
        <v>0</v>
      </c>
      <c r="E36" s="187">
        <f t="shared" si="4"/>
        <v>2</v>
      </c>
      <c r="F36" s="186">
        <f t="shared" si="5"/>
        <v>0</v>
      </c>
      <c r="G36" s="187">
        <f t="shared" si="6"/>
        <v>0</v>
      </c>
      <c r="H36" s="186">
        <f t="shared" si="7"/>
        <v>0</v>
      </c>
      <c r="I36" s="187">
        <f t="shared" si="8"/>
        <v>0</v>
      </c>
      <c r="J36" s="186">
        <f t="shared" si="9"/>
        <v>0</v>
      </c>
      <c r="K36" s="187"/>
      <c r="L36" s="189">
        <f t="shared" si="11"/>
        <v>32</v>
      </c>
      <c r="M36" s="189">
        <f t="shared" si="10"/>
        <v>80</v>
      </c>
    </row>
    <row r="37" spans="1:13" ht="12.75" customHeight="1" x14ac:dyDescent="0.2">
      <c r="A37" s="191">
        <f t="shared" si="0"/>
        <v>117.5</v>
      </c>
      <c r="B37" s="186">
        <f t="shared" si="1"/>
        <v>0</v>
      </c>
      <c r="C37" s="187">
        <f t="shared" si="2"/>
        <v>0</v>
      </c>
      <c r="D37" s="186">
        <f t="shared" si="3"/>
        <v>0</v>
      </c>
      <c r="E37" s="187">
        <f t="shared" si="4"/>
        <v>2</v>
      </c>
      <c r="F37" s="186">
        <f t="shared" si="5"/>
        <v>0</v>
      </c>
      <c r="G37" s="187">
        <f t="shared" si="6"/>
        <v>0</v>
      </c>
      <c r="H37" s="186">
        <f t="shared" si="7"/>
        <v>0</v>
      </c>
      <c r="I37" s="187">
        <f t="shared" si="8"/>
        <v>0</v>
      </c>
      <c r="J37" s="186">
        <f t="shared" si="9"/>
        <v>1</v>
      </c>
      <c r="K37" s="187"/>
      <c r="L37" s="189">
        <f t="shared" si="11"/>
        <v>33</v>
      </c>
      <c r="M37" s="189">
        <f t="shared" si="10"/>
        <v>82.5</v>
      </c>
    </row>
    <row r="38" spans="1:13" ht="12.75" customHeight="1" x14ac:dyDescent="0.2">
      <c r="A38" s="191">
        <f t="shared" si="0"/>
        <v>120</v>
      </c>
      <c r="B38" s="186">
        <f t="shared" si="1"/>
        <v>0</v>
      </c>
      <c r="C38" s="187">
        <f t="shared" si="2"/>
        <v>0</v>
      </c>
      <c r="D38" s="186">
        <f t="shared" si="3"/>
        <v>0</v>
      </c>
      <c r="E38" s="187">
        <f t="shared" si="4"/>
        <v>2</v>
      </c>
      <c r="F38" s="186">
        <f t="shared" si="5"/>
        <v>0</v>
      </c>
      <c r="G38" s="187">
        <f t="shared" si="6"/>
        <v>0</v>
      </c>
      <c r="H38" s="186">
        <f t="shared" si="7"/>
        <v>0</v>
      </c>
      <c r="I38" s="187">
        <f t="shared" si="8"/>
        <v>1</v>
      </c>
      <c r="J38" s="186">
        <f t="shared" si="9"/>
        <v>0</v>
      </c>
      <c r="K38" s="187"/>
      <c r="L38" s="189">
        <f t="shared" si="11"/>
        <v>34</v>
      </c>
      <c r="M38" s="189">
        <f t="shared" si="10"/>
        <v>85</v>
      </c>
    </row>
    <row r="39" spans="1:13" ht="12.75" customHeight="1" x14ac:dyDescent="0.2">
      <c r="A39" s="191">
        <f t="shared" si="0"/>
        <v>122.5</v>
      </c>
      <c r="B39" s="186">
        <f t="shared" si="1"/>
        <v>0</v>
      </c>
      <c r="C39" s="187">
        <f t="shared" si="2"/>
        <v>0</v>
      </c>
      <c r="D39" s="186">
        <f t="shared" si="3"/>
        <v>0</v>
      </c>
      <c r="E39" s="187">
        <f t="shared" si="4"/>
        <v>2</v>
      </c>
      <c r="F39" s="186">
        <f t="shared" si="5"/>
        <v>0</v>
      </c>
      <c r="G39" s="187">
        <f t="shared" si="6"/>
        <v>0</v>
      </c>
      <c r="H39" s="186">
        <f t="shared" si="7"/>
        <v>0</v>
      </c>
      <c r="I39" s="187">
        <f t="shared" si="8"/>
        <v>1</v>
      </c>
      <c r="J39" s="186">
        <f t="shared" si="9"/>
        <v>1</v>
      </c>
      <c r="K39" s="187"/>
      <c r="L39" s="189">
        <f t="shared" si="11"/>
        <v>35</v>
      </c>
      <c r="M39" s="189">
        <f t="shared" si="10"/>
        <v>87.5</v>
      </c>
    </row>
    <row r="40" spans="1:13" ht="12.75" customHeight="1" x14ac:dyDescent="0.2">
      <c r="A40" s="191">
        <f t="shared" si="0"/>
        <v>125</v>
      </c>
      <c r="B40" s="186">
        <f t="shared" si="1"/>
        <v>0</v>
      </c>
      <c r="C40" s="187">
        <f t="shared" si="2"/>
        <v>0</v>
      </c>
      <c r="D40" s="186">
        <f t="shared" si="3"/>
        <v>0</v>
      </c>
      <c r="E40" s="187">
        <f t="shared" si="4"/>
        <v>2</v>
      </c>
      <c r="F40" s="186">
        <f t="shared" si="5"/>
        <v>0</v>
      </c>
      <c r="G40" s="187">
        <f t="shared" si="6"/>
        <v>0</v>
      </c>
      <c r="H40" s="186">
        <f t="shared" si="7"/>
        <v>1</v>
      </c>
      <c r="I40" s="187">
        <f t="shared" si="8"/>
        <v>0</v>
      </c>
      <c r="J40" s="186">
        <f t="shared" si="9"/>
        <v>0</v>
      </c>
      <c r="K40" s="187"/>
      <c r="L40" s="189">
        <f t="shared" si="11"/>
        <v>36</v>
      </c>
      <c r="M40" s="189">
        <f t="shared" si="10"/>
        <v>90</v>
      </c>
    </row>
    <row r="41" spans="1:13" ht="12.75" customHeight="1" x14ac:dyDescent="0.2">
      <c r="A41" s="191">
        <f t="shared" si="0"/>
        <v>127.5</v>
      </c>
      <c r="B41" s="186">
        <f t="shared" si="1"/>
        <v>0</v>
      </c>
      <c r="C41" s="187">
        <f t="shared" si="2"/>
        <v>0</v>
      </c>
      <c r="D41" s="186">
        <f t="shared" si="3"/>
        <v>0</v>
      </c>
      <c r="E41" s="187">
        <f t="shared" si="4"/>
        <v>2</v>
      </c>
      <c r="F41" s="186">
        <f t="shared" si="5"/>
        <v>0</v>
      </c>
      <c r="G41" s="187">
        <f t="shared" si="6"/>
        <v>0</v>
      </c>
      <c r="H41" s="186">
        <f t="shared" si="7"/>
        <v>1</v>
      </c>
      <c r="I41" s="187">
        <f t="shared" si="8"/>
        <v>0</v>
      </c>
      <c r="J41" s="186">
        <f t="shared" si="9"/>
        <v>1</v>
      </c>
      <c r="K41" s="187"/>
      <c r="L41" s="189">
        <f t="shared" si="11"/>
        <v>37</v>
      </c>
      <c r="M41" s="189">
        <f t="shared" si="10"/>
        <v>92.5</v>
      </c>
    </row>
    <row r="42" spans="1:13" ht="12.75" customHeight="1" x14ac:dyDescent="0.2">
      <c r="A42" s="191">
        <f t="shared" si="0"/>
        <v>130</v>
      </c>
      <c r="B42" s="186">
        <f t="shared" si="1"/>
        <v>0</v>
      </c>
      <c r="C42" s="187">
        <f t="shared" si="2"/>
        <v>0</v>
      </c>
      <c r="D42" s="186">
        <f t="shared" si="3"/>
        <v>0</v>
      </c>
      <c r="E42" s="187">
        <f t="shared" si="4"/>
        <v>2</v>
      </c>
      <c r="F42" s="186">
        <f t="shared" si="5"/>
        <v>0</v>
      </c>
      <c r="G42" s="187">
        <f t="shared" si="6"/>
        <v>0</v>
      </c>
      <c r="H42" s="186">
        <f t="shared" si="7"/>
        <v>1</v>
      </c>
      <c r="I42" s="187">
        <f t="shared" si="8"/>
        <v>1</v>
      </c>
      <c r="J42" s="186">
        <f t="shared" si="9"/>
        <v>0</v>
      </c>
      <c r="K42" s="187"/>
      <c r="L42" s="189">
        <f t="shared" si="11"/>
        <v>38</v>
      </c>
      <c r="M42" s="189">
        <f t="shared" si="10"/>
        <v>95</v>
      </c>
    </row>
    <row r="43" spans="1:13" ht="12.75" customHeight="1" x14ac:dyDescent="0.2">
      <c r="A43" s="191">
        <f t="shared" si="0"/>
        <v>132.5</v>
      </c>
      <c r="B43" s="186">
        <f t="shared" si="1"/>
        <v>0</v>
      </c>
      <c r="C43" s="187">
        <f t="shared" si="2"/>
        <v>0</v>
      </c>
      <c r="D43" s="186">
        <f t="shared" si="3"/>
        <v>0</v>
      </c>
      <c r="E43" s="187">
        <f t="shared" si="4"/>
        <v>2</v>
      </c>
      <c r="F43" s="186">
        <f t="shared" si="5"/>
        <v>0</v>
      </c>
      <c r="G43" s="187">
        <f t="shared" si="6"/>
        <v>0</v>
      </c>
      <c r="H43" s="186">
        <f t="shared" si="7"/>
        <v>1</v>
      </c>
      <c r="I43" s="187">
        <f t="shared" si="8"/>
        <v>1</v>
      </c>
      <c r="J43" s="186">
        <f t="shared" si="9"/>
        <v>1</v>
      </c>
      <c r="K43" s="187"/>
      <c r="L43" s="189">
        <f t="shared" si="11"/>
        <v>39</v>
      </c>
      <c r="M43" s="189">
        <f t="shared" si="10"/>
        <v>97.5</v>
      </c>
    </row>
    <row r="44" spans="1:13" ht="12.75" customHeight="1" x14ac:dyDescent="0.2">
      <c r="A44" s="191">
        <f t="shared" si="0"/>
        <v>135</v>
      </c>
      <c r="B44" s="186">
        <f t="shared" si="1"/>
        <v>1</v>
      </c>
      <c r="C44" s="187">
        <f t="shared" si="2"/>
        <v>0</v>
      </c>
      <c r="D44" s="186">
        <f t="shared" si="3"/>
        <v>0</v>
      </c>
      <c r="E44" s="187">
        <f t="shared" si="4"/>
        <v>0</v>
      </c>
      <c r="F44" s="186">
        <f t="shared" si="5"/>
        <v>0</v>
      </c>
      <c r="G44" s="187">
        <f t="shared" si="6"/>
        <v>0</v>
      </c>
      <c r="H44" s="186">
        <f t="shared" si="7"/>
        <v>0</v>
      </c>
      <c r="I44" s="187">
        <f t="shared" si="8"/>
        <v>0</v>
      </c>
      <c r="J44" s="186">
        <f t="shared" si="9"/>
        <v>0</v>
      </c>
      <c r="K44" s="187"/>
      <c r="L44" s="189">
        <f t="shared" si="11"/>
        <v>40</v>
      </c>
      <c r="M44" s="189">
        <f t="shared" si="10"/>
        <v>100</v>
      </c>
    </row>
    <row r="45" spans="1:13" ht="12.75" customHeight="1" x14ac:dyDescent="0.2">
      <c r="A45" s="191">
        <f t="shared" si="0"/>
        <v>137.5</v>
      </c>
      <c r="B45" s="186">
        <f t="shared" si="1"/>
        <v>1</v>
      </c>
      <c r="C45" s="187">
        <f t="shared" si="2"/>
        <v>0</v>
      </c>
      <c r="D45" s="186">
        <f t="shared" si="3"/>
        <v>0</v>
      </c>
      <c r="E45" s="187">
        <f t="shared" si="4"/>
        <v>0</v>
      </c>
      <c r="F45" s="186">
        <f t="shared" si="5"/>
        <v>0</v>
      </c>
      <c r="G45" s="187">
        <f t="shared" si="6"/>
        <v>0</v>
      </c>
      <c r="H45" s="186">
        <f t="shared" si="7"/>
        <v>0</v>
      </c>
      <c r="I45" s="187">
        <f t="shared" si="8"/>
        <v>0</v>
      </c>
      <c r="J45" s="186">
        <f t="shared" si="9"/>
        <v>1</v>
      </c>
      <c r="K45" s="187"/>
      <c r="L45" s="189">
        <f t="shared" si="11"/>
        <v>41</v>
      </c>
      <c r="M45" s="189">
        <f t="shared" si="10"/>
        <v>102.5</v>
      </c>
    </row>
    <row r="46" spans="1:13" ht="12.75" customHeight="1" x14ac:dyDescent="0.2">
      <c r="A46" s="191">
        <f t="shared" si="0"/>
        <v>140</v>
      </c>
      <c r="B46" s="186">
        <f t="shared" si="1"/>
        <v>1</v>
      </c>
      <c r="C46" s="187">
        <f t="shared" si="2"/>
        <v>0</v>
      </c>
      <c r="D46" s="186">
        <f t="shared" si="3"/>
        <v>0</v>
      </c>
      <c r="E46" s="187">
        <f t="shared" si="4"/>
        <v>0</v>
      </c>
      <c r="F46" s="186">
        <f t="shared" si="5"/>
        <v>0</v>
      </c>
      <c r="G46" s="187">
        <f t="shared" si="6"/>
        <v>0</v>
      </c>
      <c r="H46" s="186">
        <f t="shared" si="7"/>
        <v>0</v>
      </c>
      <c r="I46" s="187">
        <f t="shared" si="8"/>
        <v>1</v>
      </c>
      <c r="J46" s="186">
        <f t="shared" si="9"/>
        <v>0</v>
      </c>
      <c r="K46" s="187"/>
      <c r="L46" s="189">
        <f t="shared" si="11"/>
        <v>42</v>
      </c>
      <c r="M46" s="189">
        <f t="shared" si="10"/>
        <v>105</v>
      </c>
    </row>
    <row r="47" spans="1:13" ht="12.75" customHeight="1" x14ac:dyDescent="0.2">
      <c r="A47" s="191">
        <f t="shared" si="0"/>
        <v>142.5</v>
      </c>
      <c r="B47" s="186">
        <f t="shared" si="1"/>
        <v>1</v>
      </c>
      <c r="C47" s="187">
        <f t="shared" si="2"/>
        <v>0</v>
      </c>
      <c r="D47" s="186">
        <f t="shared" si="3"/>
        <v>0</v>
      </c>
      <c r="E47" s="187">
        <f t="shared" si="4"/>
        <v>0</v>
      </c>
      <c r="F47" s="186">
        <f t="shared" si="5"/>
        <v>0</v>
      </c>
      <c r="G47" s="187">
        <f t="shared" si="6"/>
        <v>0</v>
      </c>
      <c r="H47" s="186">
        <f t="shared" si="7"/>
        <v>0</v>
      </c>
      <c r="I47" s="187">
        <f t="shared" si="8"/>
        <v>1</v>
      </c>
      <c r="J47" s="186">
        <f t="shared" si="9"/>
        <v>1</v>
      </c>
      <c r="K47" s="187"/>
      <c r="L47" s="189">
        <f t="shared" si="11"/>
        <v>43</v>
      </c>
      <c r="M47" s="189">
        <f t="shared" si="10"/>
        <v>107.5</v>
      </c>
    </row>
    <row r="48" spans="1:13" ht="12.75" customHeight="1" x14ac:dyDescent="0.2">
      <c r="A48" s="191">
        <f t="shared" si="0"/>
        <v>145</v>
      </c>
      <c r="B48" s="186">
        <f t="shared" si="1"/>
        <v>1</v>
      </c>
      <c r="C48" s="187">
        <f t="shared" si="2"/>
        <v>0</v>
      </c>
      <c r="D48" s="186">
        <f t="shared" si="3"/>
        <v>0</v>
      </c>
      <c r="E48" s="187">
        <f t="shared" si="4"/>
        <v>0</v>
      </c>
      <c r="F48" s="186">
        <f t="shared" si="5"/>
        <v>0</v>
      </c>
      <c r="G48" s="187">
        <f t="shared" si="6"/>
        <v>0</v>
      </c>
      <c r="H48" s="186">
        <f t="shared" si="7"/>
        <v>1</v>
      </c>
      <c r="I48" s="187">
        <f t="shared" si="8"/>
        <v>0</v>
      </c>
      <c r="J48" s="186">
        <f t="shared" si="9"/>
        <v>0</v>
      </c>
      <c r="K48" s="187"/>
      <c r="L48" s="189">
        <f t="shared" si="11"/>
        <v>44</v>
      </c>
      <c r="M48" s="189">
        <f t="shared" si="10"/>
        <v>110</v>
      </c>
    </row>
    <row r="49" spans="1:13" ht="12.75" customHeight="1" x14ac:dyDescent="0.2">
      <c r="A49" s="191">
        <f t="shared" si="0"/>
        <v>147.5</v>
      </c>
      <c r="B49" s="186">
        <f t="shared" si="1"/>
        <v>1</v>
      </c>
      <c r="C49" s="187">
        <f t="shared" si="2"/>
        <v>0</v>
      </c>
      <c r="D49" s="186">
        <f t="shared" si="3"/>
        <v>0</v>
      </c>
      <c r="E49" s="187">
        <f t="shared" si="4"/>
        <v>0</v>
      </c>
      <c r="F49" s="186">
        <f t="shared" si="5"/>
        <v>0</v>
      </c>
      <c r="G49" s="187">
        <f t="shared" si="6"/>
        <v>0</v>
      </c>
      <c r="H49" s="186">
        <f t="shared" si="7"/>
        <v>1</v>
      </c>
      <c r="I49" s="187">
        <f t="shared" si="8"/>
        <v>0</v>
      </c>
      <c r="J49" s="186">
        <f t="shared" si="9"/>
        <v>1</v>
      </c>
      <c r="K49" s="187"/>
      <c r="L49" s="189">
        <f t="shared" si="11"/>
        <v>45</v>
      </c>
      <c r="M49" s="189">
        <f t="shared" si="10"/>
        <v>112.5</v>
      </c>
    </row>
    <row r="50" spans="1:13" ht="12.75" customHeight="1" x14ac:dyDescent="0.2">
      <c r="A50" s="191">
        <f t="shared" si="0"/>
        <v>150</v>
      </c>
      <c r="B50" s="186">
        <f t="shared" si="1"/>
        <v>1</v>
      </c>
      <c r="C50" s="187">
        <f t="shared" si="2"/>
        <v>0</v>
      </c>
      <c r="D50" s="186">
        <f t="shared" si="3"/>
        <v>0</v>
      </c>
      <c r="E50" s="187">
        <f t="shared" si="4"/>
        <v>0</v>
      </c>
      <c r="F50" s="186">
        <f t="shared" si="5"/>
        <v>0</v>
      </c>
      <c r="G50" s="187">
        <f t="shared" si="6"/>
        <v>0</v>
      </c>
      <c r="H50" s="186">
        <f t="shared" si="7"/>
        <v>1</v>
      </c>
      <c r="I50" s="187">
        <f t="shared" si="8"/>
        <v>1</v>
      </c>
      <c r="J50" s="186">
        <f t="shared" si="9"/>
        <v>0</v>
      </c>
      <c r="K50" s="187"/>
      <c r="L50" s="189">
        <f t="shared" si="11"/>
        <v>46</v>
      </c>
      <c r="M50" s="189">
        <f t="shared" si="10"/>
        <v>115</v>
      </c>
    </row>
    <row r="51" spans="1:13" ht="12.75" customHeight="1" x14ac:dyDescent="0.2">
      <c r="A51" s="191">
        <f t="shared" si="0"/>
        <v>152.5</v>
      </c>
      <c r="B51" s="186">
        <f t="shared" si="1"/>
        <v>1</v>
      </c>
      <c r="C51" s="187">
        <f t="shared" si="2"/>
        <v>0</v>
      </c>
      <c r="D51" s="186">
        <f t="shared" si="3"/>
        <v>0</v>
      </c>
      <c r="E51" s="187">
        <f t="shared" si="4"/>
        <v>0</v>
      </c>
      <c r="F51" s="186">
        <f t="shared" si="5"/>
        <v>0</v>
      </c>
      <c r="G51" s="187">
        <f t="shared" si="6"/>
        <v>0</v>
      </c>
      <c r="H51" s="186">
        <f t="shared" si="7"/>
        <v>1</v>
      </c>
      <c r="I51" s="187">
        <f t="shared" si="8"/>
        <v>1</v>
      </c>
      <c r="J51" s="186">
        <f t="shared" si="9"/>
        <v>1</v>
      </c>
      <c r="K51" s="187"/>
      <c r="L51" s="189">
        <f t="shared" si="11"/>
        <v>47</v>
      </c>
      <c r="M51" s="189">
        <f t="shared" si="10"/>
        <v>117.5</v>
      </c>
    </row>
    <row r="52" spans="1:13" ht="12.75" customHeight="1" x14ac:dyDescent="0.2">
      <c r="A52" s="191">
        <f t="shared" si="0"/>
        <v>155</v>
      </c>
      <c r="B52" s="186">
        <f t="shared" si="1"/>
        <v>1</v>
      </c>
      <c r="C52" s="187">
        <f t="shared" si="2"/>
        <v>0</v>
      </c>
      <c r="D52" s="186">
        <f t="shared" si="3"/>
        <v>0</v>
      </c>
      <c r="E52" s="187">
        <f t="shared" si="4"/>
        <v>0</v>
      </c>
      <c r="F52" s="186">
        <f t="shared" si="5"/>
        <v>0</v>
      </c>
      <c r="G52" s="187">
        <f t="shared" si="6"/>
        <v>1</v>
      </c>
      <c r="H52" s="186">
        <f t="shared" si="7"/>
        <v>0</v>
      </c>
      <c r="I52" s="187">
        <f t="shared" si="8"/>
        <v>0</v>
      </c>
      <c r="J52" s="186">
        <f t="shared" si="9"/>
        <v>0</v>
      </c>
      <c r="K52" s="187"/>
      <c r="L52" s="189">
        <f t="shared" si="11"/>
        <v>48</v>
      </c>
      <c r="M52" s="189">
        <f t="shared" si="10"/>
        <v>120</v>
      </c>
    </row>
    <row r="53" spans="1:13" ht="12.75" customHeight="1" x14ac:dyDescent="0.2">
      <c r="A53" s="191">
        <f t="shared" si="0"/>
        <v>157.5</v>
      </c>
      <c r="B53" s="186">
        <f t="shared" si="1"/>
        <v>1</v>
      </c>
      <c r="C53" s="187">
        <f t="shared" si="2"/>
        <v>0</v>
      </c>
      <c r="D53" s="186">
        <f t="shared" si="3"/>
        <v>0</v>
      </c>
      <c r="E53" s="187">
        <f t="shared" si="4"/>
        <v>0</v>
      </c>
      <c r="F53" s="186">
        <f t="shared" si="5"/>
        <v>0</v>
      </c>
      <c r="G53" s="187">
        <f t="shared" si="6"/>
        <v>1</v>
      </c>
      <c r="H53" s="186">
        <f t="shared" si="7"/>
        <v>0</v>
      </c>
      <c r="I53" s="187">
        <f t="shared" si="8"/>
        <v>0</v>
      </c>
      <c r="J53" s="186">
        <f t="shared" si="9"/>
        <v>1</v>
      </c>
      <c r="K53" s="187"/>
      <c r="L53" s="189">
        <f t="shared" si="11"/>
        <v>49</v>
      </c>
      <c r="M53" s="189">
        <f t="shared" si="10"/>
        <v>122.5</v>
      </c>
    </row>
    <row r="54" spans="1:13" ht="12.75" customHeight="1" x14ac:dyDescent="0.2">
      <c r="A54" s="191">
        <f t="shared" si="0"/>
        <v>160</v>
      </c>
      <c r="B54" s="186">
        <f t="shared" si="1"/>
        <v>1</v>
      </c>
      <c r="C54" s="187">
        <f t="shared" si="2"/>
        <v>0</v>
      </c>
      <c r="D54" s="186">
        <f t="shared" si="3"/>
        <v>0</v>
      </c>
      <c r="E54" s="187">
        <f t="shared" si="4"/>
        <v>0</v>
      </c>
      <c r="F54" s="186">
        <f t="shared" si="5"/>
        <v>0</v>
      </c>
      <c r="G54" s="187">
        <f t="shared" si="6"/>
        <v>1</v>
      </c>
      <c r="H54" s="186">
        <f t="shared" si="7"/>
        <v>0</v>
      </c>
      <c r="I54" s="187">
        <f t="shared" si="8"/>
        <v>1</v>
      </c>
      <c r="J54" s="186">
        <f t="shared" si="9"/>
        <v>0</v>
      </c>
      <c r="K54" s="187"/>
      <c r="L54" s="189">
        <f t="shared" si="11"/>
        <v>50</v>
      </c>
      <c r="M54" s="189">
        <f t="shared" si="10"/>
        <v>125</v>
      </c>
    </row>
    <row r="55" spans="1:13" ht="12.75" customHeight="1" x14ac:dyDescent="0.2">
      <c r="A55" s="191">
        <f t="shared" si="0"/>
        <v>162.5</v>
      </c>
      <c r="B55" s="186">
        <f t="shared" si="1"/>
        <v>1</v>
      </c>
      <c r="C55" s="187">
        <f t="shared" si="2"/>
        <v>0</v>
      </c>
      <c r="D55" s="186">
        <f t="shared" si="3"/>
        <v>0</v>
      </c>
      <c r="E55" s="187">
        <f t="shared" si="4"/>
        <v>0</v>
      </c>
      <c r="F55" s="186">
        <f t="shared" si="5"/>
        <v>0</v>
      </c>
      <c r="G55" s="187">
        <f t="shared" si="6"/>
        <v>1</v>
      </c>
      <c r="H55" s="186">
        <f t="shared" si="7"/>
        <v>0</v>
      </c>
      <c r="I55" s="187">
        <f t="shared" si="8"/>
        <v>1</v>
      </c>
      <c r="J55" s="186">
        <f t="shared" si="9"/>
        <v>1</v>
      </c>
      <c r="K55" s="187"/>
      <c r="L55" s="189">
        <f t="shared" si="11"/>
        <v>51</v>
      </c>
      <c r="M55" s="189">
        <f t="shared" si="10"/>
        <v>127.5</v>
      </c>
    </row>
    <row r="56" spans="1:13" ht="12.75" customHeight="1" x14ac:dyDescent="0.2">
      <c r="A56" s="191">
        <f t="shared" si="0"/>
        <v>165</v>
      </c>
      <c r="B56" s="186">
        <f t="shared" si="1"/>
        <v>1</v>
      </c>
      <c r="C56" s="187">
        <f t="shared" si="2"/>
        <v>0</v>
      </c>
      <c r="D56" s="186">
        <f t="shared" si="3"/>
        <v>0</v>
      </c>
      <c r="E56" s="187">
        <f t="shared" si="4"/>
        <v>0</v>
      </c>
      <c r="F56" s="186">
        <f t="shared" si="5"/>
        <v>1</v>
      </c>
      <c r="G56" s="187">
        <f t="shared" si="6"/>
        <v>0</v>
      </c>
      <c r="H56" s="186">
        <f t="shared" si="7"/>
        <v>0</v>
      </c>
      <c r="I56" s="187">
        <f t="shared" si="8"/>
        <v>0</v>
      </c>
      <c r="J56" s="186">
        <f t="shared" si="9"/>
        <v>0</v>
      </c>
      <c r="K56" s="187"/>
      <c r="L56" s="189">
        <f t="shared" si="11"/>
        <v>52</v>
      </c>
      <c r="M56" s="189">
        <f t="shared" si="10"/>
        <v>130</v>
      </c>
    </row>
    <row r="57" spans="1:13" ht="12.75" customHeight="1" x14ac:dyDescent="0.2">
      <c r="A57" s="191">
        <f t="shared" si="0"/>
        <v>167.5</v>
      </c>
      <c r="B57" s="186">
        <f t="shared" si="1"/>
        <v>1</v>
      </c>
      <c r="C57" s="187">
        <f t="shared" si="2"/>
        <v>0</v>
      </c>
      <c r="D57" s="186">
        <f t="shared" si="3"/>
        <v>0</v>
      </c>
      <c r="E57" s="187">
        <f t="shared" si="4"/>
        <v>0</v>
      </c>
      <c r="F57" s="186">
        <f t="shared" si="5"/>
        <v>1</v>
      </c>
      <c r="G57" s="187">
        <f t="shared" si="6"/>
        <v>0</v>
      </c>
      <c r="H57" s="186">
        <f t="shared" si="7"/>
        <v>0</v>
      </c>
      <c r="I57" s="187">
        <f t="shared" si="8"/>
        <v>0</v>
      </c>
      <c r="J57" s="186">
        <f t="shared" si="9"/>
        <v>1</v>
      </c>
      <c r="K57" s="187"/>
      <c r="L57" s="189">
        <f t="shared" si="11"/>
        <v>53</v>
      </c>
      <c r="M57" s="189">
        <f t="shared" si="10"/>
        <v>132.5</v>
      </c>
    </row>
    <row r="58" spans="1:13" ht="12.75" customHeight="1" x14ac:dyDescent="0.2">
      <c r="A58" s="191">
        <f t="shared" si="0"/>
        <v>170</v>
      </c>
      <c r="B58" s="186">
        <f t="shared" si="1"/>
        <v>1</v>
      </c>
      <c r="C58" s="187">
        <f t="shared" si="2"/>
        <v>0</v>
      </c>
      <c r="D58" s="186">
        <f t="shared" si="3"/>
        <v>0</v>
      </c>
      <c r="E58" s="187">
        <f t="shared" si="4"/>
        <v>0</v>
      </c>
      <c r="F58" s="186">
        <f t="shared" si="5"/>
        <v>1</v>
      </c>
      <c r="G58" s="187">
        <f t="shared" si="6"/>
        <v>0</v>
      </c>
      <c r="H58" s="186">
        <f t="shared" si="7"/>
        <v>0</v>
      </c>
      <c r="I58" s="187">
        <f t="shared" si="8"/>
        <v>1</v>
      </c>
      <c r="J58" s="186">
        <f t="shared" si="9"/>
        <v>0</v>
      </c>
      <c r="K58" s="187"/>
      <c r="L58" s="189">
        <f t="shared" si="11"/>
        <v>54</v>
      </c>
      <c r="M58" s="189">
        <f t="shared" si="10"/>
        <v>135</v>
      </c>
    </row>
    <row r="59" spans="1:13" ht="12.75" customHeight="1" x14ac:dyDescent="0.2">
      <c r="A59" s="191">
        <f t="shared" si="0"/>
        <v>172.5</v>
      </c>
      <c r="B59" s="186">
        <f t="shared" si="1"/>
        <v>1</v>
      </c>
      <c r="C59" s="187">
        <f t="shared" si="2"/>
        <v>0</v>
      </c>
      <c r="D59" s="186">
        <f t="shared" si="3"/>
        <v>0</v>
      </c>
      <c r="E59" s="187">
        <f t="shared" si="4"/>
        <v>0</v>
      </c>
      <c r="F59" s="186">
        <f t="shared" si="5"/>
        <v>1</v>
      </c>
      <c r="G59" s="187">
        <f t="shared" si="6"/>
        <v>0</v>
      </c>
      <c r="H59" s="186">
        <f t="shared" si="7"/>
        <v>0</v>
      </c>
      <c r="I59" s="187">
        <f t="shared" si="8"/>
        <v>1</v>
      </c>
      <c r="J59" s="186">
        <f t="shared" si="9"/>
        <v>1</v>
      </c>
      <c r="K59" s="187"/>
      <c r="L59" s="189">
        <f t="shared" si="11"/>
        <v>55</v>
      </c>
      <c r="M59" s="189">
        <f t="shared" si="10"/>
        <v>137.5</v>
      </c>
    </row>
    <row r="60" spans="1:13" ht="12.75" customHeight="1" x14ac:dyDescent="0.2">
      <c r="A60" s="191">
        <f t="shared" si="0"/>
        <v>175</v>
      </c>
      <c r="B60" s="186">
        <f t="shared" si="1"/>
        <v>1</v>
      </c>
      <c r="C60" s="187">
        <f t="shared" si="2"/>
        <v>0</v>
      </c>
      <c r="D60" s="186">
        <f t="shared" si="3"/>
        <v>0</v>
      </c>
      <c r="E60" s="187">
        <f t="shared" si="4"/>
        <v>1</v>
      </c>
      <c r="F60" s="186">
        <f t="shared" si="5"/>
        <v>0</v>
      </c>
      <c r="G60" s="187">
        <f t="shared" si="6"/>
        <v>0</v>
      </c>
      <c r="H60" s="186">
        <f t="shared" si="7"/>
        <v>0</v>
      </c>
      <c r="I60" s="187">
        <f t="shared" si="8"/>
        <v>0</v>
      </c>
      <c r="J60" s="186">
        <f t="shared" si="9"/>
        <v>0</v>
      </c>
      <c r="K60" s="187"/>
      <c r="L60" s="189">
        <f t="shared" si="11"/>
        <v>56</v>
      </c>
      <c r="M60" s="189">
        <f t="shared" si="10"/>
        <v>140</v>
      </c>
    </row>
    <row r="61" spans="1:13" ht="12.75" customHeight="1" x14ac:dyDescent="0.2">
      <c r="A61" s="191">
        <f t="shared" si="0"/>
        <v>177.5</v>
      </c>
      <c r="B61" s="186">
        <f t="shared" si="1"/>
        <v>1</v>
      </c>
      <c r="C61" s="187">
        <f t="shared" si="2"/>
        <v>0</v>
      </c>
      <c r="D61" s="186">
        <f t="shared" si="3"/>
        <v>0</v>
      </c>
      <c r="E61" s="187">
        <f t="shared" si="4"/>
        <v>1</v>
      </c>
      <c r="F61" s="186">
        <f t="shared" si="5"/>
        <v>0</v>
      </c>
      <c r="G61" s="187">
        <f t="shared" si="6"/>
        <v>0</v>
      </c>
      <c r="H61" s="186">
        <f t="shared" si="7"/>
        <v>0</v>
      </c>
      <c r="I61" s="187">
        <f t="shared" si="8"/>
        <v>0</v>
      </c>
      <c r="J61" s="186">
        <f t="shared" si="9"/>
        <v>1</v>
      </c>
      <c r="K61" s="187"/>
      <c r="L61" s="189">
        <f t="shared" si="11"/>
        <v>57</v>
      </c>
      <c r="M61" s="189">
        <f t="shared" si="10"/>
        <v>142.5</v>
      </c>
    </row>
    <row r="62" spans="1:13" ht="12.75" customHeight="1" x14ac:dyDescent="0.2">
      <c r="A62" s="191">
        <f t="shared" si="0"/>
        <v>180</v>
      </c>
      <c r="B62" s="186">
        <f t="shared" si="1"/>
        <v>1</v>
      </c>
      <c r="C62" s="187">
        <f t="shared" si="2"/>
        <v>0</v>
      </c>
      <c r="D62" s="186">
        <f t="shared" si="3"/>
        <v>0</v>
      </c>
      <c r="E62" s="187">
        <f t="shared" si="4"/>
        <v>1</v>
      </c>
      <c r="F62" s="186">
        <f t="shared" si="5"/>
        <v>0</v>
      </c>
      <c r="G62" s="187">
        <f t="shared" si="6"/>
        <v>0</v>
      </c>
      <c r="H62" s="186">
        <f t="shared" si="7"/>
        <v>0</v>
      </c>
      <c r="I62" s="187">
        <f t="shared" si="8"/>
        <v>1</v>
      </c>
      <c r="J62" s="186">
        <f t="shared" si="9"/>
        <v>0</v>
      </c>
      <c r="K62" s="187"/>
      <c r="L62" s="189">
        <f t="shared" si="11"/>
        <v>58</v>
      </c>
      <c r="M62" s="189">
        <f t="shared" si="10"/>
        <v>145</v>
      </c>
    </row>
    <row r="63" spans="1:13" ht="12.75" customHeight="1" x14ac:dyDescent="0.2">
      <c r="A63" s="191">
        <f t="shared" si="0"/>
        <v>182.5</v>
      </c>
      <c r="B63" s="186">
        <f t="shared" si="1"/>
        <v>1</v>
      </c>
      <c r="C63" s="187">
        <f t="shared" si="2"/>
        <v>0</v>
      </c>
      <c r="D63" s="186">
        <f t="shared" si="3"/>
        <v>0</v>
      </c>
      <c r="E63" s="187">
        <f t="shared" si="4"/>
        <v>1</v>
      </c>
      <c r="F63" s="186">
        <f t="shared" si="5"/>
        <v>0</v>
      </c>
      <c r="G63" s="187">
        <f t="shared" si="6"/>
        <v>0</v>
      </c>
      <c r="H63" s="186">
        <f t="shared" si="7"/>
        <v>0</v>
      </c>
      <c r="I63" s="187">
        <f t="shared" si="8"/>
        <v>1</v>
      </c>
      <c r="J63" s="186">
        <f t="shared" si="9"/>
        <v>1</v>
      </c>
      <c r="K63" s="187"/>
      <c r="L63" s="189">
        <f t="shared" si="11"/>
        <v>59</v>
      </c>
      <c r="M63" s="189">
        <f t="shared" si="10"/>
        <v>147.5</v>
      </c>
    </row>
    <row r="64" spans="1:13" ht="12.75" customHeight="1" x14ac:dyDescent="0.2">
      <c r="A64" s="191">
        <f t="shared" si="0"/>
        <v>185</v>
      </c>
      <c r="B64" s="186">
        <f t="shared" si="1"/>
        <v>1</v>
      </c>
      <c r="C64" s="187">
        <f t="shared" si="2"/>
        <v>0</v>
      </c>
      <c r="D64" s="186">
        <f t="shared" si="3"/>
        <v>0</v>
      </c>
      <c r="E64" s="187">
        <f t="shared" si="4"/>
        <v>1</v>
      </c>
      <c r="F64" s="186">
        <f t="shared" si="5"/>
        <v>0</v>
      </c>
      <c r="G64" s="187">
        <f t="shared" si="6"/>
        <v>0</v>
      </c>
      <c r="H64" s="186">
        <f t="shared" si="7"/>
        <v>1</v>
      </c>
      <c r="I64" s="187">
        <f t="shared" si="8"/>
        <v>0</v>
      </c>
      <c r="J64" s="186">
        <f t="shared" si="9"/>
        <v>0</v>
      </c>
      <c r="K64" s="187"/>
      <c r="L64" s="189">
        <f t="shared" si="11"/>
        <v>60</v>
      </c>
      <c r="M64" s="189">
        <f t="shared" si="10"/>
        <v>150</v>
      </c>
    </row>
    <row r="65" spans="1:13" ht="12.75" customHeight="1" x14ac:dyDescent="0.2">
      <c r="A65" s="191">
        <f t="shared" si="0"/>
        <v>187.5</v>
      </c>
      <c r="B65" s="186">
        <f t="shared" si="1"/>
        <v>1</v>
      </c>
      <c r="C65" s="187">
        <f t="shared" si="2"/>
        <v>0</v>
      </c>
      <c r="D65" s="186">
        <f t="shared" si="3"/>
        <v>0</v>
      </c>
      <c r="E65" s="187">
        <f t="shared" si="4"/>
        <v>1</v>
      </c>
      <c r="F65" s="186">
        <f t="shared" si="5"/>
        <v>0</v>
      </c>
      <c r="G65" s="187">
        <f t="shared" si="6"/>
        <v>0</v>
      </c>
      <c r="H65" s="186">
        <f t="shared" si="7"/>
        <v>1</v>
      </c>
      <c r="I65" s="187">
        <f t="shared" si="8"/>
        <v>0</v>
      </c>
      <c r="J65" s="186">
        <f t="shared" si="9"/>
        <v>1</v>
      </c>
      <c r="K65" s="187"/>
      <c r="L65" s="189">
        <f t="shared" si="11"/>
        <v>61</v>
      </c>
      <c r="M65" s="189">
        <f t="shared" si="10"/>
        <v>152.5</v>
      </c>
    </row>
    <row r="66" spans="1:13" ht="12.75" customHeight="1" x14ac:dyDescent="0.2">
      <c r="A66" s="191">
        <f t="shared" si="0"/>
        <v>190</v>
      </c>
      <c r="B66" s="186">
        <f t="shared" si="1"/>
        <v>1</v>
      </c>
      <c r="C66" s="187">
        <f t="shared" si="2"/>
        <v>0</v>
      </c>
      <c r="D66" s="186">
        <f t="shared" si="3"/>
        <v>0</v>
      </c>
      <c r="E66" s="187">
        <f t="shared" si="4"/>
        <v>1</v>
      </c>
      <c r="F66" s="186">
        <f t="shared" si="5"/>
        <v>0</v>
      </c>
      <c r="G66" s="187">
        <f t="shared" si="6"/>
        <v>0</v>
      </c>
      <c r="H66" s="186">
        <f t="shared" si="7"/>
        <v>1</v>
      </c>
      <c r="I66" s="187">
        <f t="shared" si="8"/>
        <v>1</v>
      </c>
      <c r="J66" s="186">
        <f t="shared" si="9"/>
        <v>0</v>
      </c>
      <c r="K66" s="187"/>
      <c r="L66" s="189">
        <f t="shared" si="11"/>
        <v>62</v>
      </c>
      <c r="M66" s="189">
        <f t="shared" si="10"/>
        <v>155</v>
      </c>
    </row>
    <row r="67" spans="1:13" ht="12.75" customHeight="1" x14ac:dyDescent="0.2">
      <c r="A67" s="191">
        <f t="shared" si="0"/>
        <v>192.5</v>
      </c>
      <c r="B67" s="186">
        <f t="shared" si="1"/>
        <v>1</v>
      </c>
      <c r="C67" s="187">
        <f t="shared" si="2"/>
        <v>0</v>
      </c>
      <c r="D67" s="186">
        <f t="shared" si="3"/>
        <v>0</v>
      </c>
      <c r="E67" s="187">
        <f t="shared" si="4"/>
        <v>1</v>
      </c>
      <c r="F67" s="186">
        <f t="shared" si="5"/>
        <v>0</v>
      </c>
      <c r="G67" s="187">
        <f t="shared" si="6"/>
        <v>0</v>
      </c>
      <c r="H67" s="186">
        <f t="shared" si="7"/>
        <v>1</v>
      </c>
      <c r="I67" s="187">
        <f t="shared" si="8"/>
        <v>1</v>
      </c>
      <c r="J67" s="186">
        <f t="shared" si="9"/>
        <v>1</v>
      </c>
      <c r="K67" s="187"/>
      <c r="L67" s="189">
        <f t="shared" si="11"/>
        <v>63</v>
      </c>
      <c r="M67" s="189">
        <f t="shared" si="10"/>
        <v>157.5</v>
      </c>
    </row>
    <row r="68" spans="1:13" ht="12.75" customHeight="1" x14ac:dyDescent="0.2">
      <c r="A68" s="191">
        <f t="shared" si="0"/>
        <v>195</v>
      </c>
      <c r="B68" s="186">
        <f t="shared" si="1"/>
        <v>1</v>
      </c>
      <c r="C68" s="187">
        <f t="shared" si="2"/>
        <v>0</v>
      </c>
      <c r="D68" s="186">
        <f t="shared" si="3"/>
        <v>0</v>
      </c>
      <c r="E68" s="187">
        <f t="shared" si="4"/>
        <v>1</v>
      </c>
      <c r="F68" s="186">
        <f t="shared" si="5"/>
        <v>0</v>
      </c>
      <c r="G68" s="187">
        <f t="shared" si="6"/>
        <v>1</v>
      </c>
      <c r="H68" s="186">
        <f t="shared" si="7"/>
        <v>0</v>
      </c>
      <c r="I68" s="187">
        <f t="shared" si="8"/>
        <v>0</v>
      </c>
      <c r="J68" s="186">
        <f t="shared" si="9"/>
        <v>0</v>
      </c>
      <c r="K68" s="187"/>
      <c r="L68" s="189">
        <f t="shared" si="11"/>
        <v>64</v>
      </c>
      <c r="M68" s="189">
        <f t="shared" si="10"/>
        <v>160</v>
      </c>
    </row>
    <row r="69" spans="1:13" ht="12.75" customHeight="1" x14ac:dyDescent="0.2">
      <c r="A69" s="191">
        <f t="shared" ref="A69:A132" si="12">IF(M69+$K$2&gt;$L$1,0,M69+$K$2)</f>
        <v>197.5</v>
      </c>
      <c r="B69" s="186">
        <f t="shared" ref="B69:B132" si="13">IF(A69=0,0,MIN($B$1/2,INT(M69/(2*$B$2))))</f>
        <v>1</v>
      </c>
      <c r="C69" s="187">
        <f t="shared" ref="C69:C132" si="14">IF(A69=0,0,MIN($C$1/2,INT(($M69-2*$B69*$B$2)/(2*$C$2))))</f>
        <v>0</v>
      </c>
      <c r="D69" s="186">
        <f t="shared" ref="D69:D132" si="15">IF(A69=0,0,MIN($D$1/2,INT(($M69-2*$B69*$B$2-2*$C69*$C$2)/(2*$D$2))))</f>
        <v>0</v>
      </c>
      <c r="E69" s="187">
        <f t="shared" ref="E69:E132" si="16">IF(A69=0,0,MIN($E$1/2,INT(($M69-2*$B69*$B$2-2*$C69*$C$2-2*$D69*$D$2)/(2*$E$2))))</f>
        <v>1</v>
      </c>
      <c r="F69" s="186">
        <f t="shared" ref="F69:F132" si="17">IF(A69=0,0,MIN($F$1/2,INT(($M69-2*$B69*$B$2-2*$C69*$C$2-2*$D69*$D$2-2*$E69*$E$2)/(2*$F$2))))</f>
        <v>0</v>
      </c>
      <c r="G69" s="187">
        <f t="shared" ref="G69:G132" si="18">IF(A69=0,0,MIN($G$1/2,INT(($M69-2*$B69*$B$2-2*$C69*$C$2-2*$D69*$D$2-2*$E69*$E$2-2*$F69*$F$2)/(2*$G$2))))</f>
        <v>1</v>
      </c>
      <c r="H69" s="186">
        <f t="shared" ref="H69:H132" si="19">IF(A69=0,0,MIN($H$1/2,INT(($M69-2*$B69*$B$2-2*$C69*$C$2-2*$D69*$D$2-2*$E69*$E$2-2*$F69*$F$2-2*$G69*$G$2)/(2*$H$2))))</f>
        <v>0</v>
      </c>
      <c r="I69" s="187">
        <f t="shared" ref="I69:I132" si="20">IF(A69=0,0,MIN($I$1/2,INT(($M69-2*$B69*$B$2-2*$C69*$C$2-2*$D69*$D$2-2*$E69*$E$2-2*$F69*$F$2-2*$G69*$G$2-2*$H69*$H$2)/(2*$I$2))))</f>
        <v>0</v>
      </c>
      <c r="J69" s="186">
        <f t="shared" ref="J69:J132" si="21">IF(A69=0,0,MIN($J$1/2,INT(($M69-2*$B69*$B$2-2*$C69*$C$2-2*$D69*$D$2-2*$E69*$E$2-2*$F69*$F$2-2*$G69*$G$2-2*$H69*$H$2-2*$I69*$I$2)/(2*$J$2))))</f>
        <v>1</v>
      </c>
      <c r="K69" s="187"/>
      <c r="L69" s="189">
        <f t="shared" si="11"/>
        <v>65</v>
      </c>
      <c r="M69" s="189">
        <f t="shared" ref="M69:M132" si="22">IF($A$2="Pounds",5*L69,2.5*L69)</f>
        <v>162.5</v>
      </c>
    </row>
    <row r="70" spans="1:13" ht="12.75" customHeight="1" x14ac:dyDescent="0.2">
      <c r="A70" s="191">
        <f t="shared" si="12"/>
        <v>200</v>
      </c>
      <c r="B70" s="186">
        <f t="shared" si="13"/>
        <v>1</v>
      </c>
      <c r="C70" s="187">
        <f t="shared" si="14"/>
        <v>0</v>
      </c>
      <c r="D70" s="186">
        <f t="shared" si="15"/>
        <v>0</v>
      </c>
      <c r="E70" s="187">
        <f t="shared" si="16"/>
        <v>1</v>
      </c>
      <c r="F70" s="186">
        <f t="shared" si="17"/>
        <v>0</v>
      </c>
      <c r="G70" s="187">
        <f t="shared" si="18"/>
        <v>1</v>
      </c>
      <c r="H70" s="186">
        <f t="shared" si="19"/>
        <v>0</v>
      </c>
      <c r="I70" s="187">
        <f t="shared" si="20"/>
        <v>1</v>
      </c>
      <c r="J70" s="186">
        <f t="shared" si="21"/>
        <v>0</v>
      </c>
      <c r="K70" s="187"/>
      <c r="L70" s="189">
        <f t="shared" si="11"/>
        <v>66</v>
      </c>
      <c r="M70" s="189">
        <f t="shared" si="22"/>
        <v>165</v>
      </c>
    </row>
    <row r="71" spans="1:13" ht="12.75" customHeight="1" x14ac:dyDescent="0.2">
      <c r="A71" s="191">
        <f t="shared" si="12"/>
        <v>202.5</v>
      </c>
      <c r="B71" s="186">
        <f t="shared" si="13"/>
        <v>1</v>
      </c>
      <c r="C71" s="187">
        <f t="shared" si="14"/>
        <v>0</v>
      </c>
      <c r="D71" s="186">
        <f t="shared" si="15"/>
        <v>0</v>
      </c>
      <c r="E71" s="187">
        <f t="shared" si="16"/>
        <v>1</v>
      </c>
      <c r="F71" s="186">
        <f t="shared" si="17"/>
        <v>0</v>
      </c>
      <c r="G71" s="187">
        <f t="shared" si="18"/>
        <v>1</v>
      </c>
      <c r="H71" s="186">
        <f t="shared" si="19"/>
        <v>0</v>
      </c>
      <c r="I71" s="187">
        <f t="shared" si="20"/>
        <v>1</v>
      </c>
      <c r="J71" s="186">
        <f t="shared" si="21"/>
        <v>1</v>
      </c>
      <c r="K71" s="187"/>
      <c r="L71" s="189">
        <f t="shared" si="11"/>
        <v>67</v>
      </c>
      <c r="M71" s="189">
        <f t="shared" si="22"/>
        <v>167.5</v>
      </c>
    </row>
    <row r="72" spans="1:13" ht="12.75" customHeight="1" x14ac:dyDescent="0.2">
      <c r="A72" s="191">
        <f t="shared" si="12"/>
        <v>205</v>
      </c>
      <c r="B72" s="186">
        <f t="shared" si="13"/>
        <v>1</v>
      </c>
      <c r="C72" s="187">
        <f t="shared" si="14"/>
        <v>0</v>
      </c>
      <c r="D72" s="186">
        <f t="shared" si="15"/>
        <v>0</v>
      </c>
      <c r="E72" s="187">
        <f t="shared" si="16"/>
        <v>1</v>
      </c>
      <c r="F72" s="186">
        <f t="shared" si="17"/>
        <v>1</v>
      </c>
      <c r="G72" s="187">
        <f t="shared" si="18"/>
        <v>0</v>
      </c>
      <c r="H72" s="186">
        <f t="shared" si="19"/>
        <v>0</v>
      </c>
      <c r="I72" s="187">
        <f t="shared" si="20"/>
        <v>0</v>
      </c>
      <c r="J72" s="186">
        <f t="shared" si="21"/>
        <v>0</v>
      </c>
      <c r="K72" s="187"/>
      <c r="L72" s="189">
        <f t="shared" si="11"/>
        <v>68</v>
      </c>
      <c r="M72" s="189">
        <f t="shared" si="22"/>
        <v>170</v>
      </c>
    </row>
    <row r="73" spans="1:13" ht="12.75" customHeight="1" x14ac:dyDescent="0.2">
      <c r="A73" s="191">
        <f t="shared" si="12"/>
        <v>207.5</v>
      </c>
      <c r="B73" s="186">
        <f t="shared" si="13"/>
        <v>1</v>
      </c>
      <c r="C73" s="187">
        <f t="shared" si="14"/>
        <v>0</v>
      </c>
      <c r="D73" s="186">
        <f t="shared" si="15"/>
        <v>0</v>
      </c>
      <c r="E73" s="187">
        <f t="shared" si="16"/>
        <v>1</v>
      </c>
      <c r="F73" s="186">
        <f t="shared" si="17"/>
        <v>1</v>
      </c>
      <c r="G73" s="187">
        <f t="shared" si="18"/>
        <v>0</v>
      </c>
      <c r="H73" s="186">
        <f t="shared" si="19"/>
        <v>0</v>
      </c>
      <c r="I73" s="187">
        <f t="shared" si="20"/>
        <v>0</v>
      </c>
      <c r="J73" s="186">
        <f t="shared" si="21"/>
        <v>1</v>
      </c>
      <c r="K73" s="187"/>
      <c r="L73" s="189">
        <f t="shared" si="11"/>
        <v>69</v>
      </c>
      <c r="M73" s="189">
        <f t="shared" si="22"/>
        <v>172.5</v>
      </c>
    </row>
    <row r="74" spans="1:13" ht="12.75" customHeight="1" x14ac:dyDescent="0.2">
      <c r="A74" s="191">
        <f t="shared" si="12"/>
        <v>210</v>
      </c>
      <c r="B74" s="186">
        <f t="shared" si="13"/>
        <v>1</v>
      </c>
      <c r="C74" s="187">
        <f t="shared" si="14"/>
        <v>0</v>
      </c>
      <c r="D74" s="186">
        <f t="shared" si="15"/>
        <v>0</v>
      </c>
      <c r="E74" s="187">
        <f t="shared" si="16"/>
        <v>1</v>
      </c>
      <c r="F74" s="186">
        <f t="shared" si="17"/>
        <v>1</v>
      </c>
      <c r="G74" s="187">
        <f t="shared" si="18"/>
        <v>0</v>
      </c>
      <c r="H74" s="186">
        <f t="shared" si="19"/>
        <v>0</v>
      </c>
      <c r="I74" s="187">
        <f t="shared" si="20"/>
        <v>1</v>
      </c>
      <c r="J74" s="186">
        <f t="shared" si="21"/>
        <v>0</v>
      </c>
      <c r="K74" s="187"/>
      <c r="L74" s="189">
        <f t="shared" si="11"/>
        <v>70</v>
      </c>
      <c r="M74" s="189">
        <f t="shared" si="22"/>
        <v>175</v>
      </c>
    </row>
    <row r="75" spans="1:13" ht="12.75" customHeight="1" x14ac:dyDescent="0.2">
      <c r="A75" s="191">
        <f t="shared" si="12"/>
        <v>212.5</v>
      </c>
      <c r="B75" s="186">
        <f t="shared" si="13"/>
        <v>1</v>
      </c>
      <c r="C75" s="187">
        <f t="shared" si="14"/>
        <v>0</v>
      </c>
      <c r="D75" s="186">
        <f t="shared" si="15"/>
        <v>0</v>
      </c>
      <c r="E75" s="187">
        <f t="shared" si="16"/>
        <v>1</v>
      </c>
      <c r="F75" s="186">
        <f t="shared" si="17"/>
        <v>1</v>
      </c>
      <c r="G75" s="187">
        <f t="shared" si="18"/>
        <v>0</v>
      </c>
      <c r="H75" s="186">
        <f t="shared" si="19"/>
        <v>0</v>
      </c>
      <c r="I75" s="187">
        <f t="shared" si="20"/>
        <v>1</v>
      </c>
      <c r="J75" s="186">
        <f t="shared" si="21"/>
        <v>1</v>
      </c>
      <c r="K75" s="187"/>
      <c r="L75" s="189">
        <f t="shared" si="11"/>
        <v>71</v>
      </c>
      <c r="M75" s="189">
        <f t="shared" si="22"/>
        <v>177.5</v>
      </c>
    </row>
    <row r="76" spans="1:13" ht="12.75" customHeight="1" x14ac:dyDescent="0.2">
      <c r="A76" s="191">
        <f t="shared" si="12"/>
        <v>215</v>
      </c>
      <c r="B76" s="186">
        <f t="shared" si="13"/>
        <v>1</v>
      </c>
      <c r="C76" s="187">
        <f t="shared" si="14"/>
        <v>0</v>
      </c>
      <c r="D76" s="186">
        <f t="shared" si="15"/>
        <v>0</v>
      </c>
      <c r="E76" s="187">
        <f t="shared" si="16"/>
        <v>2</v>
      </c>
      <c r="F76" s="186">
        <f t="shared" si="17"/>
        <v>0</v>
      </c>
      <c r="G76" s="187">
        <f t="shared" si="18"/>
        <v>0</v>
      </c>
      <c r="H76" s="186">
        <f t="shared" si="19"/>
        <v>0</v>
      </c>
      <c r="I76" s="187">
        <f t="shared" si="20"/>
        <v>0</v>
      </c>
      <c r="J76" s="186">
        <f t="shared" si="21"/>
        <v>0</v>
      </c>
      <c r="K76" s="187"/>
      <c r="L76" s="189">
        <f t="shared" si="11"/>
        <v>72</v>
      </c>
      <c r="M76" s="189">
        <f t="shared" si="22"/>
        <v>180</v>
      </c>
    </row>
    <row r="77" spans="1:13" ht="12.75" customHeight="1" x14ac:dyDescent="0.2">
      <c r="A77" s="191">
        <f t="shared" si="12"/>
        <v>217.5</v>
      </c>
      <c r="B77" s="186">
        <f t="shared" si="13"/>
        <v>1</v>
      </c>
      <c r="C77" s="187">
        <f t="shared" si="14"/>
        <v>0</v>
      </c>
      <c r="D77" s="186">
        <f t="shared" si="15"/>
        <v>0</v>
      </c>
      <c r="E77" s="187">
        <f t="shared" si="16"/>
        <v>2</v>
      </c>
      <c r="F77" s="186">
        <f t="shared" si="17"/>
        <v>0</v>
      </c>
      <c r="G77" s="187">
        <f t="shared" si="18"/>
        <v>0</v>
      </c>
      <c r="H77" s="186">
        <f t="shared" si="19"/>
        <v>0</v>
      </c>
      <c r="I77" s="187">
        <f t="shared" si="20"/>
        <v>0</v>
      </c>
      <c r="J77" s="186">
        <f t="shared" si="21"/>
        <v>1</v>
      </c>
      <c r="K77" s="187"/>
      <c r="L77" s="189">
        <f t="shared" ref="L77:L140" si="23">L76+1</f>
        <v>73</v>
      </c>
      <c r="M77" s="189">
        <f t="shared" si="22"/>
        <v>182.5</v>
      </c>
    </row>
    <row r="78" spans="1:13" ht="12.75" customHeight="1" x14ac:dyDescent="0.2">
      <c r="A78" s="191">
        <f t="shared" si="12"/>
        <v>220</v>
      </c>
      <c r="B78" s="186">
        <f t="shared" si="13"/>
        <v>1</v>
      </c>
      <c r="C78" s="187">
        <f t="shared" si="14"/>
        <v>0</v>
      </c>
      <c r="D78" s="186">
        <f t="shared" si="15"/>
        <v>0</v>
      </c>
      <c r="E78" s="187">
        <f t="shared" si="16"/>
        <v>2</v>
      </c>
      <c r="F78" s="186">
        <f t="shared" si="17"/>
        <v>0</v>
      </c>
      <c r="G78" s="187">
        <f t="shared" si="18"/>
        <v>0</v>
      </c>
      <c r="H78" s="186">
        <f t="shared" si="19"/>
        <v>0</v>
      </c>
      <c r="I78" s="187">
        <f t="shared" si="20"/>
        <v>1</v>
      </c>
      <c r="J78" s="186">
        <f t="shared" si="21"/>
        <v>0</v>
      </c>
      <c r="K78" s="187"/>
      <c r="L78" s="189">
        <f t="shared" si="23"/>
        <v>74</v>
      </c>
      <c r="M78" s="189">
        <f t="shared" si="22"/>
        <v>185</v>
      </c>
    </row>
    <row r="79" spans="1:13" ht="12.75" customHeight="1" x14ac:dyDescent="0.2">
      <c r="A79" s="191">
        <f t="shared" si="12"/>
        <v>222.5</v>
      </c>
      <c r="B79" s="186">
        <f t="shared" si="13"/>
        <v>1</v>
      </c>
      <c r="C79" s="187">
        <f t="shared" si="14"/>
        <v>0</v>
      </c>
      <c r="D79" s="186">
        <f t="shared" si="15"/>
        <v>0</v>
      </c>
      <c r="E79" s="187">
        <f t="shared" si="16"/>
        <v>2</v>
      </c>
      <c r="F79" s="186">
        <f t="shared" si="17"/>
        <v>0</v>
      </c>
      <c r="G79" s="187">
        <f t="shared" si="18"/>
        <v>0</v>
      </c>
      <c r="H79" s="186">
        <f t="shared" si="19"/>
        <v>0</v>
      </c>
      <c r="I79" s="187">
        <f t="shared" si="20"/>
        <v>1</v>
      </c>
      <c r="J79" s="186">
        <f t="shared" si="21"/>
        <v>1</v>
      </c>
      <c r="K79" s="187"/>
      <c r="L79" s="189">
        <f t="shared" si="23"/>
        <v>75</v>
      </c>
      <c r="M79" s="189">
        <f t="shared" si="22"/>
        <v>187.5</v>
      </c>
    </row>
    <row r="80" spans="1:13" ht="12.75" customHeight="1" x14ac:dyDescent="0.2">
      <c r="A80" s="191">
        <f t="shared" si="12"/>
        <v>225</v>
      </c>
      <c r="B80" s="186">
        <f t="shared" si="13"/>
        <v>1</v>
      </c>
      <c r="C80" s="187">
        <f t="shared" si="14"/>
        <v>0</v>
      </c>
      <c r="D80" s="186">
        <f t="shared" si="15"/>
        <v>0</v>
      </c>
      <c r="E80" s="187">
        <f t="shared" si="16"/>
        <v>2</v>
      </c>
      <c r="F80" s="186">
        <f t="shared" si="17"/>
        <v>0</v>
      </c>
      <c r="G80" s="187">
        <f t="shared" si="18"/>
        <v>0</v>
      </c>
      <c r="H80" s="186">
        <f t="shared" si="19"/>
        <v>1</v>
      </c>
      <c r="I80" s="187">
        <f t="shared" si="20"/>
        <v>0</v>
      </c>
      <c r="J80" s="186">
        <f t="shared" si="21"/>
        <v>0</v>
      </c>
      <c r="K80" s="187"/>
      <c r="L80" s="189">
        <f t="shared" si="23"/>
        <v>76</v>
      </c>
      <c r="M80" s="189">
        <f t="shared" si="22"/>
        <v>190</v>
      </c>
    </row>
    <row r="81" spans="1:13" ht="12.75" customHeight="1" x14ac:dyDescent="0.2">
      <c r="A81" s="191">
        <f t="shared" si="12"/>
        <v>227.5</v>
      </c>
      <c r="B81" s="186">
        <f t="shared" si="13"/>
        <v>1</v>
      </c>
      <c r="C81" s="187">
        <f t="shared" si="14"/>
        <v>0</v>
      </c>
      <c r="D81" s="186">
        <f t="shared" si="15"/>
        <v>0</v>
      </c>
      <c r="E81" s="187">
        <f t="shared" si="16"/>
        <v>2</v>
      </c>
      <c r="F81" s="186">
        <f t="shared" si="17"/>
        <v>0</v>
      </c>
      <c r="G81" s="187">
        <f t="shared" si="18"/>
        <v>0</v>
      </c>
      <c r="H81" s="186">
        <f t="shared" si="19"/>
        <v>1</v>
      </c>
      <c r="I81" s="187">
        <f t="shared" si="20"/>
        <v>0</v>
      </c>
      <c r="J81" s="186">
        <f t="shared" si="21"/>
        <v>1</v>
      </c>
      <c r="K81" s="187"/>
      <c r="L81" s="189">
        <f t="shared" si="23"/>
        <v>77</v>
      </c>
      <c r="M81" s="189">
        <f t="shared" si="22"/>
        <v>192.5</v>
      </c>
    </row>
    <row r="82" spans="1:13" ht="12.75" customHeight="1" x14ac:dyDescent="0.2">
      <c r="A82" s="191">
        <f t="shared" si="12"/>
        <v>230</v>
      </c>
      <c r="B82" s="186">
        <f t="shared" si="13"/>
        <v>1</v>
      </c>
      <c r="C82" s="187">
        <f t="shared" si="14"/>
        <v>0</v>
      </c>
      <c r="D82" s="186">
        <f t="shared" si="15"/>
        <v>0</v>
      </c>
      <c r="E82" s="187">
        <f t="shared" si="16"/>
        <v>2</v>
      </c>
      <c r="F82" s="186">
        <f t="shared" si="17"/>
        <v>0</v>
      </c>
      <c r="G82" s="187">
        <f t="shared" si="18"/>
        <v>0</v>
      </c>
      <c r="H82" s="186">
        <f t="shared" si="19"/>
        <v>1</v>
      </c>
      <c r="I82" s="187">
        <f t="shared" si="20"/>
        <v>1</v>
      </c>
      <c r="J82" s="186">
        <f t="shared" si="21"/>
        <v>0</v>
      </c>
      <c r="K82" s="187"/>
      <c r="L82" s="189">
        <f t="shared" si="23"/>
        <v>78</v>
      </c>
      <c r="M82" s="189">
        <f t="shared" si="22"/>
        <v>195</v>
      </c>
    </row>
    <row r="83" spans="1:13" ht="12.75" customHeight="1" x14ac:dyDescent="0.2">
      <c r="A83" s="191">
        <f t="shared" si="12"/>
        <v>232.5</v>
      </c>
      <c r="B83" s="186">
        <f t="shared" si="13"/>
        <v>1</v>
      </c>
      <c r="C83" s="187">
        <f t="shared" si="14"/>
        <v>0</v>
      </c>
      <c r="D83" s="186">
        <f t="shared" si="15"/>
        <v>0</v>
      </c>
      <c r="E83" s="187">
        <f t="shared" si="16"/>
        <v>2</v>
      </c>
      <c r="F83" s="186">
        <f t="shared" si="17"/>
        <v>0</v>
      </c>
      <c r="G83" s="187">
        <f t="shared" si="18"/>
        <v>0</v>
      </c>
      <c r="H83" s="186">
        <f t="shared" si="19"/>
        <v>1</v>
      </c>
      <c r="I83" s="187">
        <f t="shared" si="20"/>
        <v>1</v>
      </c>
      <c r="J83" s="186">
        <f t="shared" si="21"/>
        <v>1</v>
      </c>
      <c r="K83" s="187"/>
      <c r="L83" s="189">
        <f t="shared" si="23"/>
        <v>79</v>
      </c>
      <c r="M83" s="189">
        <f t="shared" si="22"/>
        <v>197.5</v>
      </c>
    </row>
    <row r="84" spans="1:13" ht="12.75" customHeight="1" x14ac:dyDescent="0.2">
      <c r="A84" s="191">
        <f t="shared" si="12"/>
        <v>235</v>
      </c>
      <c r="B84" s="186">
        <f t="shared" si="13"/>
        <v>2</v>
      </c>
      <c r="C84" s="187">
        <f t="shared" si="14"/>
        <v>0</v>
      </c>
      <c r="D84" s="186">
        <f t="shared" si="15"/>
        <v>0</v>
      </c>
      <c r="E84" s="187">
        <f t="shared" si="16"/>
        <v>0</v>
      </c>
      <c r="F84" s="186">
        <f t="shared" si="17"/>
        <v>0</v>
      </c>
      <c r="G84" s="187">
        <f t="shared" si="18"/>
        <v>0</v>
      </c>
      <c r="H84" s="186">
        <f t="shared" si="19"/>
        <v>0</v>
      </c>
      <c r="I84" s="187">
        <f t="shared" si="20"/>
        <v>0</v>
      </c>
      <c r="J84" s="186">
        <f t="shared" si="21"/>
        <v>0</v>
      </c>
      <c r="K84" s="187"/>
      <c r="L84" s="189">
        <f t="shared" si="23"/>
        <v>80</v>
      </c>
      <c r="M84" s="189">
        <f t="shared" si="22"/>
        <v>200</v>
      </c>
    </row>
    <row r="85" spans="1:13" ht="12.75" customHeight="1" x14ac:dyDescent="0.2">
      <c r="A85" s="191">
        <f t="shared" si="12"/>
        <v>237.5</v>
      </c>
      <c r="B85" s="186">
        <f t="shared" si="13"/>
        <v>2</v>
      </c>
      <c r="C85" s="187">
        <f t="shared" si="14"/>
        <v>0</v>
      </c>
      <c r="D85" s="186">
        <f t="shared" si="15"/>
        <v>0</v>
      </c>
      <c r="E85" s="187">
        <f t="shared" si="16"/>
        <v>0</v>
      </c>
      <c r="F85" s="186">
        <f t="shared" si="17"/>
        <v>0</v>
      </c>
      <c r="G85" s="187">
        <f t="shared" si="18"/>
        <v>0</v>
      </c>
      <c r="H85" s="186">
        <f t="shared" si="19"/>
        <v>0</v>
      </c>
      <c r="I85" s="187">
        <f t="shared" si="20"/>
        <v>0</v>
      </c>
      <c r="J85" s="186">
        <f t="shared" si="21"/>
        <v>1</v>
      </c>
      <c r="K85" s="187"/>
      <c r="L85" s="189">
        <f t="shared" si="23"/>
        <v>81</v>
      </c>
      <c r="M85" s="189">
        <f t="shared" si="22"/>
        <v>202.5</v>
      </c>
    </row>
    <row r="86" spans="1:13" ht="12.75" customHeight="1" x14ac:dyDescent="0.2">
      <c r="A86" s="191">
        <f t="shared" si="12"/>
        <v>240</v>
      </c>
      <c r="B86" s="186">
        <f t="shared" si="13"/>
        <v>2</v>
      </c>
      <c r="C86" s="187">
        <f t="shared" si="14"/>
        <v>0</v>
      </c>
      <c r="D86" s="186">
        <f t="shared" si="15"/>
        <v>0</v>
      </c>
      <c r="E86" s="187">
        <f t="shared" si="16"/>
        <v>0</v>
      </c>
      <c r="F86" s="186">
        <f t="shared" si="17"/>
        <v>0</v>
      </c>
      <c r="G86" s="187">
        <f t="shared" si="18"/>
        <v>0</v>
      </c>
      <c r="H86" s="186">
        <f t="shared" si="19"/>
        <v>0</v>
      </c>
      <c r="I86" s="187">
        <f t="shared" si="20"/>
        <v>1</v>
      </c>
      <c r="J86" s="186">
        <f t="shared" si="21"/>
        <v>0</v>
      </c>
      <c r="K86" s="187"/>
      <c r="L86" s="189">
        <f t="shared" si="23"/>
        <v>82</v>
      </c>
      <c r="M86" s="189">
        <f t="shared" si="22"/>
        <v>205</v>
      </c>
    </row>
    <row r="87" spans="1:13" ht="12.75" customHeight="1" x14ac:dyDescent="0.2">
      <c r="A87" s="191">
        <f t="shared" si="12"/>
        <v>242.5</v>
      </c>
      <c r="B87" s="186">
        <f t="shared" si="13"/>
        <v>2</v>
      </c>
      <c r="C87" s="187">
        <f t="shared" si="14"/>
        <v>0</v>
      </c>
      <c r="D87" s="186">
        <f t="shared" si="15"/>
        <v>0</v>
      </c>
      <c r="E87" s="187">
        <f t="shared" si="16"/>
        <v>0</v>
      </c>
      <c r="F87" s="186">
        <f t="shared" si="17"/>
        <v>0</v>
      </c>
      <c r="G87" s="187">
        <f t="shared" si="18"/>
        <v>0</v>
      </c>
      <c r="H87" s="186">
        <f t="shared" si="19"/>
        <v>0</v>
      </c>
      <c r="I87" s="187">
        <f t="shared" si="20"/>
        <v>1</v>
      </c>
      <c r="J87" s="186">
        <f t="shared" si="21"/>
        <v>1</v>
      </c>
      <c r="K87" s="187"/>
      <c r="L87" s="189">
        <f t="shared" si="23"/>
        <v>83</v>
      </c>
      <c r="M87" s="189">
        <f t="shared" si="22"/>
        <v>207.5</v>
      </c>
    </row>
    <row r="88" spans="1:13" ht="12.75" customHeight="1" x14ac:dyDescent="0.2">
      <c r="A88" s="191">
        <f t="shared" si="12"/>
        <v>245</v>
      </c>
      <c r="B88" s="186">
        <f t="shared" si="13"/>
        <v>2</v>
      </c>
      <c r="C88" s="187">
        <f t="shared" si="14"/>
        <v>0</v>
      </c>
      <c r="D88" s="186">
        <f t="shared" si="15"/>
        <v>0</v>
      </c>
      <c r="E88" s="187">
        <f t="shared" si="16"/>
        <v>0</v>
      </c>
      <c r="F88" s="186">
        <f t="shared" si="17"/>
        <v>0</v>
      </c>
      <c r="G88" s="187">
        <f t="shared" si="18"/>
        <v>0</v>
      </c>
      <c r="H88" s="186">
        <f t="shared" si="19"/>
        <v>1</v>
      </c>
      <c r="I88" s="187">
        <f t="shared" si="20"/>
        <v>0</v>
      </c>
      <c r="J88" s="186">
        <f t="shared" si="21"/>
        <v>0</v>
      </c>
      <c r="K88" s="187"/>
      <c r="L88" s="189">
        <f t="shared" si="23"/>
        <v>84</v>
      </c>
      <c r="M88" s="189">
        <f t="shared" si="22"/>
        <v>210</v>
      </c>
    </row>
    <row r="89" spans="1:13" ht="12.75" customHeight="1" x14ac:dyDescent="0.2">
      <c r="A89" s="191">
        <f t="shared" si="12"/>
        <v>247.5</v>
      </c>
      <c r="B89" s="186">
        <f t="shared" si="13"/>
        <v>2</v>
      </c>
      <c r="C89" s="187">
        <f t="shared" si="14"/>
        <v>0</v>
      </c>
      <c r="D89" s="186">
        <f t="shared" si="15"/>
        <v>0</v>
      </c>
      <c r="E89" s="187">
        <f t="shared" si="16"/>
        <v>0</v>
      </c>
      <c r="F89" s="186">
        <f t="shared" si="17"/>
        <v>0</v>
      </c>
      <c r="G89" s="187">
        <f t="shared" si="18"/>
        <v>0</v>
      </c>
      <c r="H89" s="186">
        <f t="shared" si="19"/>
        <v>1</v>
      </c>
      <c r="I89" s="187">
        <f t="shared" si="20"/>
        <v>0</v>
      </c>
      <c r="J89" s="186">
        <f t="shared" si="21"/>
        <v>1</v>
      </c>
      <c r="K89" s="187"/>
      <c r="L89" s="189">
        <f t="shared" si="23"/>
        <v>85</v>
      </c>
      <c r="M89" s="189">
        <f t="shared" si="22"/>
        <v>212.5</v>
      </c>
    </row>
    <row r="90" spans="1:13" ht="12.75" customHeight="1" x14ac:dyDescent="0.2">
      <c r="A90" s="191">
        <f t="shared" si="12"/>
        <v>250</v>
      </c>
      <c r="B90" s="186">
        <f t="shared" si="13"/>
        <v>2</v>
      </c>
      <c r="C90" s="187">
        <f t="shared" si="14"/>
        <v>0</v>
      </c>
      <c r="D90" s="186">
        <f t="shared" si="15"/>
        <v>0</v>
      </c>
      <c r="E90" s="187">
        <f t="shared" si="16"/>
        <v>0</v>
      </c>
      <c r="F90" s="186">
        <f t="shared" si="17"/>
        <v>0</v>
      </c>
      <c r="G90" s="187">
        <f t="shared" si="18"/>
        <v>0</v>
      </c>
      <c r="H90" s="186">
        <f t="shared" si="19"/>
        <v>1</v>
      </c>
      <c r="I90" s="187">
        <f t="shared" si="20"/>
        <v>1</v>
      </c>
      <c r="J90" s="186">
        <f t="shared" si="21"/>
        <v>0</v>
      </c>
      <c r="K90" s="187"/>
      <c r="L90" s="189">
        <f t="shared" si="23"/>
        <v>86</v>
      </c>
      <c r="M90" s="189">
        <f t="shared" si="22"/>
        <v>215</v>
      </c>
    </row>
    <row r="91" spans="1:13" ht="12.75" customHeight="1" x14ac:dyDescent="0.2">
      <c r="A91" s="191">
        <f t="shared" si="12"/>
        <v>252.5</v>
      </c>
      <c r="B91" s="186">
        <f t="shared" si="13"/>
        <v>2</v>
      </c>
      <c r="C91" s="187">
        <f t="shared" si="14"/>
        <v>0</v>
      </c>
      <c r="D91" s="186">
        <f t="shared" si="15"/>
        <v>0</v>
      </c>
      <c r="E91" s="187">
        <f t="shared" si="16"/>
        <v>0</v>
      </c>
      <c r="F91" s="186">
        <f t="shared" si="17"/>
        <v>0</v>
      </c>
      <c r="G91" s="187">
        <f t="shared" si="18"/>
        <v>0</v>
      </c>
      <c r="H91" s="186">
        <f t="shared" si="19"/>
        <v>1</v>
      </c>
      <c r="I91" s="187">
        <f t="shared" si="20"/>
        <v>1</v>
      </c>
      <c r="J91" s="186">
        <f t="shared" si="21"/>
        <v>1</v>
      </c>
      <c r="K91" s="187"/>
      <c r="L91" s="189">
        <f t="shared" si="23"/>
        <v>87</v>
      </c>
      <c r="M91" s="189">
        <f t="shared" si="22"/>
        <v>217.5</v>
      </c>
    </row>
    <row r="92" spans="1:13" ht="12.75" customHeight="1" x14ac:dyDescent="0.2">
      <c r="A92" s="191">
        <f t="shared" si="12"/>
        <v>255</v>
      </c>
      <c r="B92" s="186">
        <f t="shared" si="13"/>
        <v>2</v>
      </c>
      <c r="C92" s="187">
        <f t="shared" si="14"/>
        <v>0</v>
      </c>
      <c r="D92" s="186">
        <f t="shared" si="15"/>
        <v>0</v>
      </c>
      <c r="E92" s="187">
        <f t="shared" si="16"/>
        <v>0</v>
      </c>
      <c r="F92" s="186">
        <f t="shared" si="17"/>
        <v>0</v>
      </c>
      <c r="G92" s="187">
        <f t="shared" si="18"/>
        <v>1</v>
      </c>
      <c r="H92" s="186">
        <f t="shared" si="19"/>
        <v>0</v>
      </c>
      <c r="I92" s="187">
        <f t="shared" si="20"/>
        <v>0</v>
      </c>
      <c r="J92" s="186">
        <f t="shared" si="21"/>
        <v>0</v>
      </c>
      <c r="K92" s="187"/>
      <c r="L92" s="189">
        <f t="shared" si="23"/>
        <v>88</v>
      </c>
      <c r="M92" s="189">
        <f t="shared" si="22"/>
        <v>220</v>
      </c>
    </row>
    <row r="93" spans="1:13" ht="12.75" customHeight="1" x14ac:dyDescent="0.2">
      <c r="A93" s="191">
        <f t="shared" si="12"/>
        <v>257.5</v>
      </c>
      <c r="B93" s="186">
        <f t="shared" si="13"/>
        <v>2</v>
      </c>
      <c r="C93" s="187">
        <f t="shared" si="14"/>
        <v>0</v>
      </c>
      <c r="D93" s="186">
        <f t="shared" si="15"/>
        <v>0</v>
      </c>
      <c r="E93" s="187">
        <f t="shared" si="16"/>
        <v>0</v>
      </c>
      <c r="F93" s="186">
        <f t="shared" si="17"/>
        <v>0</v>
      </c>
      <c r="G93" s="187">
        <f t="shared" si="18"/>
        <v>1</v>
      </c>
      <c r="H93" s="186">
        <f t="shared" si="19"/>
        <v>0</v>
      </c>
      <c r="I93" s="187">
        <f t="shared" si="20"/>
        <v>0</v>
      </c>
      <c r="J93" s="186">
        <f t="shared" si="21"/>
        <v>1</v>
      </c>
      <c r="K93" s="187"/>
      <c r="L93" s="189">
        <f t="shared" si="23"/>
        <v>89</v>
      </c>
      <c r="M93" s="189">
        <f t="shared" si="22"/>
        <v>222.5</v>
      </c>
    </row>
    <row r="94" spans="1:13" ht="12.75" customHeight="1" x14ac:dyDescent="0.2">
      <c r="A94" s="191">
        <f t="shared" si="12"/>
        <v>260</v>
      </c>
      <c r="B94" s="186">
        <f t="shared" si="13"/>
        <v>2</v>
      </c>
      <c r="C94" s="187">
        <f t="shared" si="14"/>
        <v>0</v>
      </c>
      <c r="D94" s="186">
        <f t="shared" si="15"/>
        <v>0</v>
      </c>
      <c r="E94" s="187">
        <f t="shared" si="16"/>
        <v>0</v>
      </c>
      <c r="F94" s="186">
        <f t="shared" si="17"/>
        <v>0</v>
      </c>
      <c r="G94" s="187">
        <f t="shared" si="18"/>
        <v>1</v>
      </c>
      <c r="H94" s="186">
        <f t="shared" si="19"/>
        <v>0</v>
      </c>
      <c r="I94" s="187">
        <f t="shared" si="20"/>
        <v>1</v>
      </c>
      <c r="J94" s="186">
        <f t="shared" si="21"/>
        <v>0</v>
      </c>
      <c r="K94" s="187"/>
      <c r="L94" s="189">
        <f t="shared" si="23"/>
        <v>90</v>
      </c>
      <c r="M94" s="189">
        <f t="shared" si="22"/>
        <v>225</v>
      </c>
    </row>
    <row r="95" spans="1:13" ht="12.75" customHeight="1" x14ac:dyDescent="0.2">
      <c r="A95" s="191">
        <f t="shared" si="12"/>
        <v>262.5</v>
      </c>
      <c r="B95" s="186">
        <f t="shared" si="13"/>
        <v>2</v>
      </c>
      <c r="C95" s="187">
        <f t="shared" si="14"/>
        <v>0</v>
      </c>
      <c r="D95" s="186">
        <f t="shared" si="15"/>
        <v>0</v>
      </c>
      <c r="E95" s="187">
        <f t="shared" si="16"/>
        <v>0</v>
      </c>
      <c r="F95" s="186">
        <f t="shared" si="17"/>
        <v>0</v>
      </c>
      <c r="G95" s="187">
        <f t="shared" si="18"/>
        <v>1</v>
      </c>
      <c r="H95" s="186">
        <f t="shared" si="19"/>
        <v>0</v>
      </c>
      <c r="I95" s="187">
        <f t="shared" si="20"/>
        <v>1</v>
      </c>
      <c r="J95" s="186">
        <f t="shared" si="21"/>
        <v>1</v>
      </c>
      <c r="K95" s="187"/>
      <c r="L95" s="189">
        <f t="shared" si="23"/>
        <v>91</v>
      </c>
      <c r="M95" s="189">
        <f t="shared" si="22"/>
        <v>227.5</v>
      </c>
    </row>
    <row r="96" spans="1:13" ht="12.75" customHeight="1" x14ac:dyDescent="0.2">
      <c r="A96" s="191">
        <f t="shared" si="12"/>
        <v>265</v>
      </c>
      <c r="B96" s="186">
        <f t="shared" si="13"/>
        <v>2</v>
      </c>
      <c r="C96" s="187">
        <f t="shared" si="14"/>
        <v>0</v>
      </c>
      <c r="D96" s="186">
        <f t="shared" si="15"/>
        <v>0</v>
      </c>
      <c r="E96" s="187">
        <f t="shared" si="16"/>
        <v>0</v>
      </c>
      <c r="F96" s="186">
        <f t="shared" si="17"/>
        <v>1</v>
      </c>
      <c r="G96" s="187">
        <f t="shared" si="18"/>
        <v>0</v>
      </c>
      <c r="H96" s="186">
        <f t="shared" si="19"/>
        <v>0</v>
      </c>
      <c r="I96" s="187">
        <f t="shared" si="20"/>
        <v>0</v>
      </c>
      <c r="J96" s="186">
        <f t="shared" si="21"/>
        <v>0</v>
      </c>
      <c r="K96" s="187"/>
      <c r="L96" s="189">
        <f t="shared" si="23"/>
        <v>92</v>
      </c>
      <c r="M96" s="189">
        <f t="shared" si="22"/>
        <v>230</v>
      </c>
    </row>
    <row r="97" spans="1:13" ht="12.75" customHeight="1" x14ac:dyDescent="0.2">
      <c r="A97" s="191">
        <f t="shared" si="12"/>
        <v>267.5</v>
      </c>
      <c r="B97" s="186">
        <f t="shared" si="13"/>
        <v>2</v>
      </c>
      <c r="C97" s="187">
        <f t="shared" si="14"/>
        <v>0</v>
      </c>
      <c r="D97" s="186">
        <f t="shared" si="15"/>
        <v>0</v>
      </c>
      <c r="E97" s="187">
        <f t="shared" si="16"/>
        <v>0</v>
      </c>
      <c r="F97" s="186">
        <f t="shared" si="17"/>
        <v>1</v>
      </c>
      <c r="G97" s="187">
        <f t="shared" si="18"/>
        <v>0</v>
      </c>
      <c r="H97" s="186">
        <f t="shared" si="19"/>
        <v>0</v>
      </c>
      <c r="I97" s="187">
        <f t="shared" si="20"/>
        <v>0</v>
      </c>
      <c r="J97" s="186">
        <f t="shared" si="21"/>
        <v>1</v>
      </c>
      <c r="K97" s="187"/>
      <c r="L97" s="189">
        <f t="shared" si="23"/>
        <v>93</v>
      </c>
      <c r="M97" s="189">
        <f t="shared" si="22"/>
        <v>232.5</v>
      </c>
    </row>
    <row r="98" spans="1:13" ht="12.75" customHeight="1" x14ac:dyDescent="0.2">
      <c r="A98" s="191">
        <f t="shared" si="12"/>
        <v>270</v>
      </c>
      <c r="B98" s="186">
        <f t="shared" si="13"/>
        <v>2</v>
      </c>
      <c r="C98" s="187">
        <f t="shared" si="14"/>
        <v>0</v>
      </c>
      <c r="D98" s="186">
        <f t="shared" si="15"/>
        <v>0</v>
      </c>
      <c r="E98" s="187">
        <f t="shared" si="16"/>
        <v>0</v>
      </c>
      <c r="F98" s="186">
        <f t="shared" si="17"/>
        <v>1</v>
      </c>
      <c r="G98" s="187">
        <f t="shared" si="18"/>
        <v>0</v>
      </c>
      <c r="H98" s="186">
        <f t="shared" si="19"/>
        <v>0</v>
      </c>
      <c r="I98" s="187">
        <f t="shared" si="20"/>
        <v>1</v>
      </c>
      <c r="J98" s="186">
        <f t="shared" si="21"/>
        <v>0</v>
      </c>
      <c r="K98" s="187"/>
      <c r="L98" s="189">
        <f t="shared" si="23"/>
        <v>94</v>
      </c>
      <c r="M98" s="189">
        <f t="shared" si="22"/>
        <v>235</v>
      </c>
    </row>
    <row r="99" spans="1:13" ht="12.75" customHeight="1" x14ac:dyDescent="0.2">
      <c r="A99" s="191">
        <f t="shared" si="12"/>
        <v>272.5</v>
      </c>
      <c r="B99" s="186">
        <f t="shared" si="13"/>
        <v>2</v>
      </c>
      <c r="C99" s="187">
        <f t="shared" si="14"/>
        <v>0</v>
      </c>
      <c r="D99" s="186">
        <f t="shared" si="15"/>
        <v>0</v>
      </c>
      <c r="E99" s="187">
        <f t="shared" si="16"/>
        <v>0</v>
      </c>
      <c r="F99" s="186">
        <f t="shared" si="17"/>
        <v>1</v>
      </c>
      <c r="G99" s="187">
        <f t="shared" si="18"/>
        <v>0</v>
      </c>
      <c r="H99" s="186">
        <f t="shared" si="19"/>
        <v>0</v>
      </c>
      <c r="I99" s="187">
        <f t="shared" si="20"/>
        <v>1</v>
      </c>
      <c r="J99" s="186">
        <f t="shared" si="21"/>
        <v>1</v>
      </c>
      <c r="K99" s="187"/>
      <c r="L99" s="189">
        <f t="shared" si="23"/>
        <v>95</v>
      </c>
      <c r="M99" s="189">
        <f t="shared" si="22"/>
        <v>237.5</v>
      </c>
    </row>
    <row r="100" spans="1:13" ht="12.75" customHeight="1" x14ac:dyDescent="0.2">
      <c r="A100" s="191">
        <f t="shared" si="12"/>
        <v>275</v>
      </c>
      <c r="B100" s="186">
        <f t="shared" si="13"/>
        <v>2</v>
      </c>
      <c r="C100" s="187">
        <f t="shared" si="14"/>
        <v>0</v>
      </c>
      <c r="D100" s="186">
        <f t="shared" si="15"/>
        <v>0</v>
      </c>
      <c r="E100" s="187">
        <f t="shared" si="16"/>
        <v>1</v>
      </c>
      <c r="F100" s="186">
        <f t="shared" si="17"/>
        <v>0</v>
      </c>
      <c r="G100" s="187">
        <f t="shared" si="18"/>
        <v>0</v>
      </c>
      <c r="H100" s="186">
        <f t="shared" si="19"/>
        <v>0</v>
      </c>
      <c r="I100" s="187">
        <f t="shared" si="20"/>
        <v>0</v>
      </c>
      <c r="J100" s="186">
        <f t="shared" si="21"/>
        <v>0</v>
      </c>
      <c r="K100" s="187"/>
      <c r="L100" s="189">
        <f t="shared" si="23"/>
        <v>96</v>
      </c>
      <c r="M100" s="189">
        <f t="shared" si="22"/>
        <v>240</v>
      </c>
    </row>
    <row r="101" spans="1:13" ht="12.75" customHeight="1" x14ac:dyDescent="0.2">
      <c r="A101" s="191">
        <f t="shared" si="12"/>
        <v>277.5</v>
      </c>
      <c r="B101" s="186">
        <f t="shared" si="13"/>
        <v>2</v>
      </c>
      <c r="C101" s="187">
        <f t="shared" si="14"/>
        <v>0</v>
      </c>
      <c r="D101" s="186">
        <f t="shared" si="15"/>
        <v>0</v>
      </c>
      <c r="E101" s="187">
        <f t="shared" si="16"/>
        <v>1</v>
      </c>
      <c r="F101" s="186">
        <f t="shared" si="17"/>
        <v>0</v>
      </c>
      <c r="G101" s="187">
        <f t="shared" si="18"/>
        <v>0</v>
      </c>
      <c r="H101" s="186">
        <f t="shared" si="19"/>
        <v>0</v>
      </c>
      <c r="I101" s="187">
        <f t="shared" si="20"/>
        <v>0</v>
      </c>
      <c r="J101" s="186">
        <f t="shared" si="21"/>
        <v>1</v>
      </c>
      <c r="K101" s="187"/>
      <c r="L101" s="189">
        <f t="shared" si="23"/>
        <v>97</v>
      </c>
      <c r="M101" s="189">
        <f t="shared" si="22"/>
        <v>242.5</v>
      </c>
    </row>
    <row r="102" spans="1:13" ht="12.75" customHeight="1" x14ac:dyDescent="0.2">
      <c r="A102" s="191">
        <f t="shared" si="12"/>
        <v>280</v>
      </c>
      <c r="B102" s="186">
        <f t="shared" si="13"/>
        <v>2</v>
      </c>
      <c r="C102" s="187">
        <f t="shared" si="14"/>
        <v>0</v>
      </c>
      <c r="D102" s="186">
        <f t="shared" si="15"/>
        <v>0</v>
      </c>
      <c r="E102" s="187">
        <f t="shared" si="16"/>
        <v>1</v>
      </c>
      <c r="F102" s="186">
        <f t="shared" si="17"/>
        <v>0</v>
      </c>
      <c r="G102" s="187">
        <f t="shared" si="18"/>
        <v>0</v>
      </c>
      <c r="H102" s="186">
        <f t="shared" si="19"/>
        <v>0</v>
      </c>
      <c r="I102" s="187">
        <f t="shared" si="20"/>
        <v>1</v>
      </c>
      <c r="J102" s="186">
        <f t="shared" si="21"/>
        <v>0</v>
      </c>
      <c r="K102" s="187"/>
      <c r="L102" s="189">
        <f t="shared" si="23"/>
        <v>98</v>
      </c>
      <c r="M102" s="189">
        <f t="shared" si="22"/>
        <v>245</v>
      </c>
    </row>
    <row r="103" spans="1:13" ht="12.75" customHeight="1" x14ac:dyDescent="0.2">
      <c r="A103" s="191">
        <f t="shared" si="12"/>
        <v>282.5</v>
      </c>
      <c r="B103" s="186">
        <f t="shared" si="13"/>
        <v>2</v>
      </c>
      <c r="C103" s="187">
        <f t="shared" si="14"/>
        <v>0</v>
      </c>
      <c r="D103" s="186">
        <f t="shared" si="15"/>
        <v>0</v>
      </c>
      <c r="E103" s="187">
        <f t="shared" si="16"/>
        <v>1</v>
      </c>
      <c r="F103" s="186">
        <f t="shared" si="17"/>
        <v>0</v>
      </c>
      <c r="G103" s="187">
        <f t="shared" si="18"/>
        <v>0</v>
      </c>
      <c r="H103" s="186">
        <f t="shared" si="19"/>
        <v>0</v>
      </c>
      <c r="I103" s="187">
        <f t="shared" si="20"/>
        <v>1</v>
      </c>
      <c r="J103" s="186">
        <f t="shared" si="21"/>
        <v>1</v>
      </c>
      <c r="K103" s="187"/>
      <c r="L103" s="189">
        <f t="shared" si="23"/>
        <v>99</v>
      </c>
      <c r="M103" s="189">
        <f t="shared" si="22"/>
        <v>247.5</v>
      </c>
    </row>
    <row r="104" spans="1:13" ht="12.75" customHeight="1" x14ac:dyDescent="0.2">
      <c r="A104" s="191">
        <f t="shared" si="12"/>
        <v>285</v>
      </c>
      <c r="B104" s="186">
        <f t="shared" si="13"/>
        <v>2</v>
      </c>
      <c r="C104" s="187">
        <f t="shared" si="14"/>
        <v>0</v>
      </c>
      <c r="D104" s="186">
        <f t="shared" si="15"/>
        <v>0</v>
      </c>
      <c r="E104" s="187">
        <f t="shared" si="16"/>
        <v>1</v>
      </c>
      <c r="F104" s="186">
        <f t="shared" si="17"/>
        <v>0</v>
      </c>
      <c r="G104" s="187">
        <f t="shared" si="18"/>
        <v>0</v>
      </c>
      <c r="H104" s="186">
        <f t="shared" si="19"/>
        <v>1</v>
      </c>
      <c r="I104" s="187">
        <f t="shared" si="20"/>
        <v>0</v>
      </c>
      <c r="J104" s="186">
        <f t="shared" si="21"/>
        <v>0</v>
      </c>
      <c r="K104" s="187"/>
      <c r="L104" s="189">
        <f t="shared" si="23"/>
        <v>100</v>
      </c>
      <c r="M104" s="189">
        <f t="shared" si="22"/>
        <v>250</v>
      </c>
    </row>
    <row r="105" spans="1:13" ht="12.75" customHeight="1" x14ac:dyDescent="0.2">
      <c r="A105" s="191">
        <f t="shared" si="12"/>
        <v>287.5</v>
      </c>
      <c r="B105" s="186">
        <f t="shared" si="13"/>
        <v>2</v>
      </c>
      <c r="C105" s="187">
        <f t="shared" si="14"/>
        <v>0</v>
      </c>
      <c r="D105" s="186">
        <f t="shared" si="15"/>
        <v>0</v>
      </c>
      <c r="E105" s="187">
        <f t="shared" si="16"/>
        <v>1</v>
      </c>
      <c r="F105" s="186">
        <f t="shared" si="17"/>
        <v>0</v>
      </c>
      <c r="G105" s="187">
        <f t="shared" si="18"/>
        <v>0</v>
      </c>
      <c r="H105" s="186">
        <f t="shared" si="19"/>
        <v>1</v>
      </c>
      <c r="I105" s="187">
        <f t="shared" si="20"/>
        <v>0</v>
      </c>
      <c r="J105" s="186">
        <f t="shared" si="21"/>
        <v>1</v>
      </c>
      <c r="K105" s="187"/>
      <c r="L105" s="189">
        <f t="shared" si="23"/>
        <v>101</v>
      </c>
      <c r="M105" s="189">
        <f t="shared" si="22"/>
        <v>252.5</v>
      </c>
    </row>
    <row r="106" spans="1:13" ht="12.75" customHeight="1" x14ac:dyDescent="0.2">
      <c r="A106" s="191">
        <f t="shared" si="12"/>
        <v>290</v>
      </c>
      <c r="B106" s="186">
        <f t="shared" si="13"/>
        <v>2</v>
      </c>
      <c r="C106" s="187">
        <f t="shared" si="14"/>
        <v>0</v>
      </c>
      <c r="D106" s="186">
        <f t="shared" si="15"/>
        <v>0</v>
      </c>
      <c r="E106" s="187">
        <f t="shared" si="16"/>
        <v>1</v>
      </c>
      <c r="F106" s="186">
        <f t="shared" si="17"/>
        <v>0</v>
      </c>
      <c r="G106" s="187">
        <f t="shared" si="18"/>
        <v>0</v>
      </c>
      <c r="H106" s="186">
        <f t="shared" si="19"/>
        <v>1</v>
      </c>
      <c r="I106" s="187">
        <f t="shared" si="20"/>
        <v>1</v>
      </c>
      <c r="J106" s="186">
        <f t="shared" si="21"/>
        <v>0</v>
      </c>
      <c r="K106" s="187"/>
      <c r="L106" s="189">
        <f t="shared" si="23"/>
        <v>102</v>
      </c>
      <c r="M106" s="189">
        <f t="shared" si="22"/>
        <v>255</v>
      </c>
    </row>
    <row r="107" spans="1:13" ht="12.75" customHeight="1" x14ac:dyDescent="0.2">
      <c r="A107" s="191">
        <f t="shared" si="12"/>
        <v>292.5</v>
      </c>
      <c r="B107" s="186">
        <f t="shared" si="13"/>
        <v>2</v>
      </c>
      <c r="C107" s="187">
        <f t="shared" si="14"/>
        <v>0</v>
      </c>
      <c r="D107" s="186">
        <f t="shared" si="15"/>
        <v>0</v>
      </c>
      <c r="E107" s="187">
        <f t="shared" si="16"/>
        <v>1</v>
      </c>
      <c r="F107" s="186">
        <f t="shared" si="17"/>
        <v>0</v>
      </c>
      <c r="G107" s="187">
        <f t="shared" si="18"/>
        <v>0</v>
      </c>
      <c r="H107" s="186">
        <f t="shared" si="19"/>
        <v>1</v>
      </c>
      <c r="I107" s="187">
        <f t="shared" si="20"/>
        <v>1</v>
      </c>
      <c r="J107" s="186">
        <f t="shared" si="21"/>
        <v>1</v>
      </c>
      <c r="K107" s="187"/>
      <c r="L107" s="189">
        <f t="shared" si="23"/>
        <v>103</v>
      </c>
      <c r="M107" s="189">
        <f t="shared" si="22"/>
        <v>257.5</v>
      </c>
    </row>
    <row r="108" spans="1:13" ht="12.75" customHeight="1" x14ac:dyDescent="0.2">
      <c r="A108" s="191">
        <f t="shared" si="12"/>
        <v>295</v>
      </c>
      <c r="B108" s="186">
        <f t="shared" si="13"/>
        <v>2</v>
      </c>
      <c r="C108" s="187">
        <f t="shared" si="14"/>
        <v>0</v>
      </c>
      <c r="D108" s="186">
        <f t="shared" si="15"/>
        <v>0</v>
      </c>
      <c r="E108" s="187">
        <f t="shared" si="16"/>
        <v>1</v>
      </c>
      <c r="F108" s="186">
        <f t="shared" si="17"/>
        <v>0</v>
      </c>
      <c r="G108" s="187">
        <f t="shared" si="18"/>
        <v>1</v>
      </c>
      <c r="H108" s="186">
        <f t="shared" si="19"/>
        <v>0</v>
      </c>
      <c r="I108" s="187">
        <f t="shared" si="20"/>
        <v>0</v>
      </c>
      <c r="J108" s="186">
        <f t="shared" si="21"/>
        <v>0</v>
      </c>
      <c r="K108" s="187"/>
      <c r="L108" s="189">
        <f t="shared" si="23"/>
        <v>104</v>
      </c>
      <c r="M108" s="189">
        <f t="shared" si="22"/>
        <v>260</v>
      </c>
    </row>
    <row r="109" spans="1:13" ht="12.75" customHeight="1" x14ac:dyDescent="0.2">
      <c r="A109" s="191">
        <f t="shared" si="12"/>
        <v>297.5</v>
      </c>
      <c r="B109" s="186">
        <f t="shared" si="13"/>
        <v>2</v>
      </c>
      <c r="C109" s="187">
        <f t="shared" si="14"/>
        <v>0</v>
      </c>
      <c r="D109" s="186">
        <f t="shared" si="15"/>
        <v>0</v>
      </c>
      <c r="E109" s="187">
        <f t="shared" si="16"/>
        <v>1</v>
      </c>
      <c r="F109" s="186">
        <f t="shared" si="17"/>
        <v>0</v>
      </c>
      <c r="G109" s="187">
        <f t="shared" si="18"/>
        <v>1</v>
      </c>
      <c r="H109" s="186">
        <f t="shared" si="19"/>
        <v>0</v>
      </c>
      <c r="I109" s="187">
        <f t="shared" si="20"/>
        <v>0</v>
      </c>
      <c r="J109" s="186">
        <f t="shared" si="21"/>
        <v>1</v>
      </c>
      <c r="K109" s="187"/>
      <c r="L109" s="189">
        <f t="shared" si="23"/>
        <v>105</v>
      </c>
      <c r="M109" s="189">
        <f t="shared" si="22"/>
        <v>262.5</v>
      </c>
    </row>
    <row r="110" spans="1:13" ht="12.75" customHeight="1" x14ac:dyDescent="0.2">
      <c r="A110" s="191">
        <f t="shared" si="12"/>
        <v>300</v>
      </c>
      <c r="B110" s="186">
        <f t="shared" si="13"/>
        <v>2</v>
      </c>
      <c r="C110" s="187">
        <f t="shared" si="14"/>
        <v>0</v>
      </c>
      <c r="D110" s="186">
        <f t="shared" si="15"/>
        <v>0</v>
      </c>
      <c r="E110" s="187">
        <f t="shared" si="16"/>
        <v>1</v>
      </c>
      <c r="F110" s="186">
        <f t="shared" si="17"/>
        <v>0</v>
      </c>
      <c r="G110" s="187">
        <f t="shared" si="18"/>
        <v>1</v>
      </c>
      <c r="H110" s="186">
        <f t="shared" si="19"/>
        <v>0</v>
      </c>
      <c r="I110" s="187">
        <f t="shared" si="20"/>
        <v>1</v>
      </c>
      <c r="J110" s="186">
        <f t="shared" si="21"/>
        <v>0</v>
      </c>
      <c r="K110" s="187"/>
      <c r="L110" s="189">
        <f t="shared" si="23"/>
        <v>106</v>
      </c>
      <c r="M110" s="189">
        <f t="shared" si="22"/>
        <v>265</v>
      </c>
    </row>
    <row r="111" spans="1:13" ht="12.75" customHeight="1" x14ac:dyDescent="0.2">
      <c r="A111" s="191">
        <f t="shared" si="12"/>
        <v>302.5</v>
      </c>
      <c r="B111" s="186">
        <f t="shared" si="13"/>
        <v>2</v>
      </c>
      <c r="C111" s="187">
        <f t="shared" si="14"/>
        <v>0</v>
      </c>
      <c r="D111" s="186">
        <f t="shared" si="15"/>
        <v>0</v>
      </c>
      <c r="E111" s="187">
        <f t="shared" si="16"/>
        <v>1</v>
      </c>
      <c r="F111" s="186">
        <f t="shared" si="17"/>
        <v>0</v>
      </c>
      <c r="G111" s="187">
        <f t="shared" si="18"/>
        <v>1</v>
      </c>
      <c r="H111" s="186">
        <f t="shared" si="19"/>
        <v>0</v>
      </c>
      <c r="I111" s="187">
        <f t="shared" si="20"/>
        <v>1</v>
      </c>
      <c r="J111" s="186">
        <f t="shared" si="21"/>
        <v>1</v>
      </c>
      <c r="K111" s="187"/>
      <c r="L111" s="189">
        <f t="shared" si="23"/>
        <v>107</v>
      </c>
      <c r="M111" s="189">
        <f t="shared" si="22"/>
        <v>267.5</v>
      </c>
    </row>
    <row r="112" spans="1:13" ht="12.75" customHeight="1" x14ac:dyDescent="0.2">
      <c r="A112" s="191">
        <f t="shared" si="12"/>
        <v>305</v>
      </c>
      <c r="B112" s="186">
        <f t="shared" si="13"/>
        <v>2</v>
      </c>
      <c r="C112" s="187">
        <f t="shared" si="14"/>
        <v>0</v>
      </c>
      <c r="D112" s="186">
        <f t="shared" si="15"/>
        <v>0</v>
      </c>
      <c r="E112" s="187">
        <f t="shared" si="16"/>
        <v>1</v>
      </c>
      <c r="F112" s="186">
        <f t="shared" si="17"/>
        <v>1</v>
      </c>
      <c r="G112" s="187">
        <f t="shared" si="18"/>
        <v>0</v>
      </c>
      <c r="H112" s="186">
        <f t="shared" si="19"/>
        <v>0</v>
      </c>
      <c r="I112" s="187">
        <f t="shared" si="20"/>
        <v>0</v>
      </c>
      <c r="J112" s="186">
        <f t="shared" si="21"/>
        <v>0</v>
      </c>
      <c r="K112" s="187"/>
      <c r="L112" s="189">
        <f t="shared" si="23"/>
        <v>108</v>
      </c>
      <c r="M112" s="189">
        <f t="shared" si="22"/>
        <v>270</v>
      </c>
    </row>
    <row r="113" spans="1:13" ht="12.75" customHeight="1" x14ac:dyDescent="0.2">
      <c r="A113" s="191">
        <f t="shared" si="12"/>
        <v>307.5</v>
      </c>
      <c r="B113" s="186">
        <f t="shared" si="13"/>
        <v>2</v>
      </c>
      <c r="C113" s="187">
        <f t="shared" si="14"/>
        <v>0</v>
      </c>
      <c r="D113" s="186">
        <f t="shared" si="15"/>
        <v>0</v>
      </c>
      <c r="E113" s="187">
        <f t="shared" si="16"/>
        <v>1</v>
      </c>
      <c r="F113" s="186">
        <f t="shared" si="17"/>
        <v>1</v>
      </c>
      <c r="G113" s="187">
        <f t="shared" si="18"/>
        <v>0</v>
      </c>
      <c r="H113" s="186">
        <f t="shared" si="19"/>
        <v>0</v>
      </c>
      <c r="I113" s="187">
        <f t="shared" si="20"/>
        <v>0</v>
      </c>
      <c r="J113" s="186">
        <f t="shared" si="21"/>
        <v>1</v>
      </c>
      <c r="K113" s="187"/>
      <c r="L113" s="189">
        <f t="shared" si="23"/>
        <v>109</v>
      </c>
      <c r="M113" s="189">
        <f t="shared" si="22"/>
        <v>272.5</v>
      </c>
    </row>
    <row r="114" spans="1:13" ht="12.75" customHeight="1" x14ac:dyDescent="0.2">
      <c r="A114" s="191">
        <f t="shared" si="12"/>
        <v>310</v>
      </c>
      <c r="B114" s="186">
        <f t="shared" si="13"/>
        <v>2</v>
      </c>
      <c r="C114" s="187">
        <f t="shared" si="14"/>
        <v>0</v>
      </c>
      <c r="D114" s="186">
        <f t="shared" si="15"/>
        <v>0</v>
      </c>
      <c r="E114" s="187">
        <f t="shared" si="16"/>
        <v>1</v>
      </c>
      <c r="F114" s="186">
        <f t="shared" si="17"/>
        <v>1</v>
      </c>
      <c r="G114" s="187">
        <f t="shared" si="18"/>
        <v>0</v>
      </c>
      <c r="H114" s="186">
        <f t="shared" si="19"/>
        <v>0</v>
      </c>
      <c r="I114" s="187">
        <f t="shared" si="20"/>
        <v>1</v>
      </c>
      <c r="J114" s="186">
        <f t="shared" si="21"/>
        <v>0</v>
      </c>
      <c r="K114" s="187"/>
      <c r="L114" s="189">
        <f t="shared" si="23"/>
        <v>110</v>
      </c>
      <c r="M114" s="189">
        <f t="shared" si="22"/>
        <v>275</v>
      </c>
    </row>
    <row r="115" spans="1:13" ht="12.75" customHeight="1" x14ac:dyDescent="0.2">
      <c r="A115" s="191">
        <f t="shared" si="12"/>
        <v>312.5</v>
      </c>
      <c r="B115" s="186">
        <f t="shared" si="13"/>
        <v>2</v>
      </c>
      <c r="C115" s="187">
        <f t="shared" si="14"/>
        <v>0</v>
      </c>
      <c r="D115" s="186">
        <f t="shared" si="15"/>
        <v>0</v>
      </c>
      <c r="E115" s="187">
        <f t="shared" si="16"/>
        <v>1</v>
      </c>
      <c r="F115" s="186">
        <f t="shared" si="17"/>
        <v>1</v>
      </c>
      <c r="G115" s="187">
        <f t="shared" si="18"/>
        <v>0</v>
      </c>
      <c r="H115" s="186">
        <f t="shared" si="19"/>
        <v>0</v>
      </c>
      <c r="I115" s="187">
        <f t="shared" si="20"/>
        <v>1</v>
      </c>
      <c r="J115" s="186">
        <f t="shared" si="21"/>
        <v>1</v>
      </c>
      <c r="K115" s="187"/>
      <c r="L115" s="189">
        <f t="shared" si="23"/>
        <v>111</v>
      </c>
      <c r="M115" s="189">
        <f t="shared" si="22"/>
        <v>277.5</v>
      </c>
    </row>
    <row r="116" spans="1:13" ht="12.75" customHeight="1" x14ac:dyDescent="0.2">
      <c r="A116" s="191">
        <f t="shared" si="12"/>
        <v>315</v>
      </c>
      <c r="B116" s="186">
        <f t="shared" si="13"/>
        <v>2</v>
      </c>
      <c r="C116" s="187">
        <f t="shared" si="14"/>
        <v>0</v>
      </c>
      <c r="D116" s="186">
        <f t="shared" si="15"/>
        <v>0</v>
      </c>
      <c r="E116" s="187">
        <f t="shared" si="16"/>
        <v>2</v>
      </c>
      <c r="F116" s="186">
        <f t="shared" si="17"/>
        <v>0</v>
      </c>
      <c r="G116" s="187">
        <f t="shared" si="18"/>
        <v>0</v>
      </c>
      <c r="H116" s="186">
        <f t="shared" si="19"/>
        <v>0</v>
      </c>
      <c r="I116" s="187">
        <f t="shared" si="20"/>
        <v>0</v>
      </c>
      <c r="J116" s="186">
        <f t="shared" si="21"/>
        <v>0</v>
      </c>
      <c r="K116" s="187"/>
      <c r="L116" s="189">
        <f t="shared" si="23"/>
        <v>112</v>
      </c>
      <c r="M116" s="189">
        <f t="shared" si="22"/>
        <v>280</v>
      </c>
    </row>
    <row r="117" spans="1:13" ht="12.75" customHeight="1" x14ac:dyDescent="0.2">
      <c r="A117" s="191">
        <f t="shared" si="12"/>
        <v>317.5</v>
      </c>
      <c r="B117" s="186">
        <f t="shared" si="13"/>
        <v>2</v>
      </c>
      <c r="C117" s="187">
        <f t="shared" si="14"/>
        <v>0</v>
      </c>
      <c r="D117" s="186">
        <f t="shared" si="15"/>
        <v>0</v>
      </c>
      <c r="E117" s="187">
        <f t="shared" si="16"/>
        <v>2</v>
      </c>
      <c r="F117" s="186">
        <f t="shared" si="17"/>
        <v>0</v>
      </c>
      <c r="G117" s="187">
        <f t="shared" si="18"/>
        <v>0</v>
      </c>
      <c r="H117" s="186">
        <f t="shared" si="19"/>
        <v>0</v>
      </c>
      <c r="I117" s="187">
        <f t="shared" si="20"/>
        <v>0</v>
      </c>
      <c r="J117" s="186">
        <f t="shared" si="21"/>
        <v>1</v>
      </c>
      <c r="K117" s="187"/>
      <c r="L117" s="189">
        <f t="shared" si="23"/>
        <v>113</v>
      </c>
      <c r="M117" s="189">
        <f t="shared" si="22"/>
        <v>282.5</v>
      </c>
    </row>
    <row r="118" spans="1:13" ht="12.75" customHeight="1" x14ac:dyDescent="0.2">
      <c r="A118" s="191">
        <f t="shared" si="12"/>
        <v>320</v>
      </c>
      <c r="B118" s="186">
        <f t="shared" si="13"/>
        <v>2</v>
      </c>
      <c r="C118" s="187">
        <f t="shared" si="14"/>
        <v>0</v>
      </c>
      <c r="D118" s="186">
        <f t="shared" si="15"/>
        <v>0</v>
      </c>
      <c r="E118" s="187">
        <f t="shared" si="16"/>
        <v>2</v>
      </c>
      <c r="F118" s="186">
        <f t="shared" si="17"/>
        <v>0</v>
      </c>
      <c r="G118" s="187">
        <f t="shared" si="18"/>
        <v>0</v>
      </c>
      <c r="H118" s="186">
        <f t="shared" si="19"/>
        <v>0</v>
      </c>
      <c r="I118" s="187">
        <f t="shared" si="20"/>
        <v>1</v>
      </c>
      <c r="J118" s="186">
        <f t="shared" si="21"/>
        <v>0</v>
      </c>
      <c r="K118" s="187"/>
      <c r="L118" s="189">
        <f t="shared" si="23"/>
        <v>114</v>
      </c>
      <c r="M118" s="189">
        <f t="shared" si="22"/>
        <v>285</v>
      </c>
    </row>
    <row r="119" spans="1:13" ht="12.75" customHeight="1" x14ac:dyDescent="0.2">
      <c r="A119" s="191">
        <f t="shared" si="12"/>
        <v>322.5</v>
      </c>
      <c r="B119" s="186">
        <f t="shared" si="13"/>
        <v>2</v>
      </c>
      <c r="C119" s="187">
        <f t="shared" si="14"/>
        <v>0</v>
      </c>
      <c r="D119" s="186">
        <f t="shared" si="15"/>
        <v>0</v>
      </c>
      <c r="E119" s="187">
        <f t="shared" si="16"/>
        <v>2</v>
      </c>
      <c r="F119" s="186">
        <f t="shared" si="17"/>
        <v>0</v>
      </c>
      <c r="G119" s="187">
        <f t="shared" si="18"/>
        <v>0</v>
      </c>
      <c r="H119" s="186">
        <f t="shared" si="19"/>
        <v>0</v>
      </c>
      <c r="I119" s="187">
        <f t="shared" si="20"/>
        <v>1</v>
      </c>
      <c r="J119" s="186">
        <f t="shared" si="21"/>
        <v>1</v>
      </c>
      <c r="K119" s="187"/>
      <c r="L119" s="189">
        <f t="shared" si="23"/>
        <v>115</v>
      </c>
      <c r="M119" s="189">
        <f t="shared" si="22"/>
        <v>287.5</v>
      </c>
    </row>
    <row r="120" spans="1:13" ht="12.75" customHeight="1" x14ac:dyDescent="0.2">
      <c r="A120" s="191">
        <f t="shared" si="12"/>
        <v>325</v>
      </c>
      <c r="B120" s="186">
        <f t="shared" si="13"/>
        <v>2</v>
      </c>
      <c r="C120" s="187">
        <f t="shared" si="14"/>
        <v>0</v>
      </c>
      <c r="D120" s="186">
        <f t="shared" si="15"/>
        <v>0</v>
      </c>
      <c r="E120" s="187">
        <f t="shared" si="16"/>
        <v>2</v>
      </c>
      <c r="F120" s="186">
        <f t="shared" si="17"/>
        <v>0</v>
      </c>
      <c r="G120" s="187">
        <f t="shared" si="18"/>
        <v>0</v>
      </c>
      <c r="H120" s="186">
        <f t="shared" si="19"/>
        <v>1</v>
      </c>
      <c r="I120" s="187">
        <f t="shared" si="20"/>
        <v>0</v>
      </c>
      <c r="J120" s="186">
        <f t="shared" si="21"/>
        <v>0</v>
      </c>
      <c r="K120" s="187"/>
      <c r="L120" s="189">
        <f t="shared" si="23"/>
        <v>116</v>
      </c>
      <c r="M120" s="189">
        <f t="shared" si="22"/>
        <v>290</v>
      </c>
    </row>
    <row r="121" spans="1:13" ht="12.75" customHeight="1" x14ac:dyDescent="0.2">
      <c r="A121" s="191">
        <f t="shared" si="12"/>
        <v>327.5</v>
      </c>
      <c r="B121" s="186">
        <f t="shared" si="13"/>
        <v>2</v>
      </c>
      <c r="C121" s="187">
        <f t="shared" si="14"/>
        <v>0</v>
      </c>
      <c r="D121" s="186">
        <f t="shared" si="15"/>
        <v>0</v>
      </c>
      <c r="E121" s="187">
        <f t="shared" si="16"/>
        <v>2</v>
      </c>
      <c r="F121" s="186">
        <f t="shared" si="17"/>
        <v>0</v>
      </c>
      <c r="G121" s="187">
        <f t="shared" si="18"/>
        <v>0</v>
      </c>
      <c r="H121" s="186">
        <f t="shared" si="19"/>
        <v>1</v>
      </c>
      <c r="I121" s="187">
        <f t="shared" si="20"/>
        <v>0</v>
      </c>
      <c r="J121" s="186">
        <f t="shared" si="21"/>
        <v>1</v>
      </c>
      <c r="K121" s="187"/>
      <c r="L121" s="189">
        <f t="shared" si="23"/>
        <v>117</v>
      </c>
      <c r="M121" s="189">
        <f t="shared" si="22"/>
        <v>292.5</v>
      </c>
    </row>
    <row r="122" spans="1:13" ht="12.75" customHeight="1" x14ac:dyDescent="0.2">
      <c r="A122" s="191">
        <f t="shared" si="12"/>
        <v>330</v>
      </c>
      <c r="B122" s="186">
        <f t="shared" si="13"/>
        <v>2</v>
      </c>
      <c r="C122" s="187">
        <f t="shared" si="14"/>
        <v>0</v>
      </c>
      <c r="D122" s="186">
        <f t="shared" si="15"/>
        <v>0</v>
      </c>
      <c r="E122" s="187">
        <f t="shared" si="16"/>
        <v>2</v>
      </c>
      <c r="F122" s="186">
        <f t="shared" si="17"/>
        <v>0</v>
      </c>
      <c r="G122" s="187">
        <f t="shared" si="18"/>
        <v>0</v>
      </c>
      <c r="H122" s="186">
        <f t="shared" si="19"/>
        <v>1</v>
      </c>
      <c r="I122" s="187">
        <f t="shared" si="20"/>
        <v>1</v>
      </c>
      <c r="J122" s="186">
        <f t="shared" si="21"/>
        <v>0</v>
      </c>
      <c r="K122" s="187"/>
      <c r="L122" s="189">
        <f t="shared" si="23"/>
        <v>118</v>
      </c>
      <c r="M122" s="189">
        <f t="shared" si="22"/>
        <v>295</v>
      </c>
    </row>
    <row r="123" spans="1:13" ht="12.75" customHeight="1" x14ac:dyDescent="0.2">
      <c r="A123" s="191">
        <f t="shared" si="12"/>
        <v>332.5</v>
      </c>
      <c r="B123" s="186">
        <f t="shared" si="13"/>
        <v>2</v>
      </c>
      <c r="C123" s="187">
        <f t="shared" si="14"/>
        <v>0</v>
      </c>
      <c r="D123" s="186">
        <f t="shared" si="15"/>
        <v>0</v>
      </c>
      <c r="E123" s="187">
        <f t="shared" si="16"/>
        <v>2</v>
      </c>
      <c r="F123" s="186">
        <f t="shared" si="17"/>
        <v>0</v>
      </c>
      <c r="G123" s="187">
        <f t="shared" si="18"/>
        <v>0</v>
      </c>
      <c r="H123" s="186">
        <f t="shared" si="19"/>
        <v>1</v>
      </c>
      <c r="I123" s="187">
        <f t="shared" si="20"/>
        <v>1</v>
      </c>
      <c r="J123" s="186">
        <f t="shared" si="21"/>
        <v>1</v>
      </c>
      <c r="K123" s="187"/>
      <c r="L123" s="189">
        <f t="shared" si="23"/>
        <v>119</v>
      </c>
      <c r="M123" s="189">
        <f t="shared" si="22"/>
        <v>297.5</v>
      </c>
    </row>
    <row r="124" spans="1:13" ht="12.75" customHeight="1" x14ac:dyDescent="0.2">
      <c r="A124" s="191">
        <f t="shared" si="12"/>
        <v>335</v>
      </c>
      <c r="B124" s="186">
        <f t="shared" si="13"/>
        <v>2</v>
      </c>
      <c r="C124" s="187">
        <f t="shared" si="14"/>
        <v>0</v>
      </c>
      <c r="D124" s="186">
        <f t="shared" si="15"/>
        <v>0</v>
      </c>
      <c r="E124" s="187">
        <f t="shared" si="16"/>
        <v>2</v>
      </c>
      <c r="F124" s="186">
        <f t="shared" si="17"/>
        <v>0</v>
      </c>
      <c r="G124" s="187">
        <f t="shared" si="18"/>
        <v>1</v>
      </c>
      <c r="H124" s="186">
        <f t="shared" si="19"/>
        <v>0</v>
      </c>
      <c r="I124" s="187">
        <f t="shared" si="20"/>
        <v>0</v>
      </c>
      <c r="J124" s="186">
        <f t="shared" si="21"/>
        <v>0</v>
      </c>
      <c r="K124" s="187"/>
      <c r="L124" s="189">
        <f t="shared" si="23"/>
        <v>120</v>
      </c>
      <c r="M124" s="189">
        <f t="shared" si="22"/>
        <v>300</v>
      </c>
    </row>
    <row r="125" spans="1:13" ht="12.75" customHeight="1" x14ac:dyDescent="0.2">
      <c r="A125" s="191">
        <f t="shared" si="12"/>
        <v>337.5</v>
      </c>
      <c r="B125" s="186">
        <f t="shared" si="13"/>
        <v>2</v>
      </c>
      <c r="C125" s="187">
        <f t="shared" si="14"/>
        <v>0</v>
      </c>
      <c r="D125" s="186">
        <f t="shared" si="15"/>
        <v>0</v>
      </c>
      <c r="E125" s="187">
        <f t="shared" si="16"/>
        <v>2</v>
      </c>
      <c r="F125" s="186">
        <f t="shared" si="17"/>
        <v>0</v>
      </c>
      <c r="G125" s="187">
        <f t="shared" si="18"/>
        <v>1</v>
      </c>
      <c r="H125" s="186">
        <f t="shared" si="19"/>
        <v>0</v>
      </c>
      <c r="I125" s="187">
        <f t="shared" si="20"/>
        <v>0</v>
      </c>
      <c r="J125" s="186">
        <f t="shared" si="21"/>
        <v>1</v>
      </c>
      <c r="K125" s="187"/>
      <c r="L125" s="189">
        <f t="shared" si="23"/>
        <v>121</v>
      </c>
      <c r="M125" s="189">
        <f t="shared" si="22"/>
        <v>302.5</v>
      </c>
    </row>
    <row r="126" spans="1:13" ht="12.75" customHeight="1" x14ac:dyDescent="0.2">
      <c r="A126" s="191">
        <f t="shared" si="12"/>
        <v>340</v>
      </c>
      <c r="B126" s="186">
        <f t="shared" si="13"/>
        <v>2</v>
      </c>
      <c r="C126" s="187">
        <f t="shared" si="14"/>
        <v>0</v>
      </c>
      <c r="D126" s="186">
        <f t="shared" si="15"/>
        <v>0</v>
      </c>
      <c r="E126" s="187">
        <f t="shared" si="16"/>
        <v>2</v>
      </c>
      <c r="F126" s="186">
        <f t="shared" si="17"/>
        <v>0</v>
      </c>
      <c r="G126" s="187">
        <f t="shared" si="18"/>
        <v>1</v>
      </c>
      <c r="H126" s="186">
        <f t="shared" si="19"/>
        <v>0</v>
      </c>
      <c r="I126" s="187">
        <f t="shared" si="20"/>
        <v>1</v>
      </c>
      <c r="J126" s="186">
        <f t="shared" si="21"/>
        <v>0</v>
      </c>
      <c r="K126" s="187"/>
      <c r="L126" s="189">
        <f t="shared" si="23"/>
        <v>122</v>
      </c>
      <c r="M126" s="189">
        <f t="shared" si="22"/>
        <v>305</v>
      </c>
    </row>
    <row r="127" spans="1:13" ht="12.75" customHeight="1" x14ac:dyDescent="0.2">
      <c r="A127" s="191">
        <f t="shared" si="12"/>
        <v>342.5</v>
      </c>
      <c r="B127" s="186">
        <f t="shared" si="13"/>
        <v>2</v>
      </c>
      <c r="C127" s="187">
        <f t="shared" si="14"/>
        <v>0</v>
      </c>
      <c r="D127" s="186">
        <f t="shared" si="15"/>
        <v>0</v>
      </c>
      <c r="E127" s="187">
        <f t="shared" si="16"/>
        <v>2</v>
      </c>
      <c r="F127" s="186">
        <f t="shared" si="17"/>
        <v>0</v>
      </c>
      <c r="G127" s="187">
        <f t="shared" si="18"/>
        <v>1</v>
      </c>
      <c r="H127" s="186">
        <f t="shared" si="19"/>
        <v>0</v>
      </c>
      <c r="I127" s="187">
        <f t="shared" si="20"/>
        <v>1</v>
      </c>
      <c r="J127" s="186">
        <f t="shared" si="21"/>
        <v>1</v>
      </c>
      <c r="K127" s="187"/>
      <c r="L127" s="189">
        <f t="shared" si="23"/>
        <v>123</v>
      </c>
      <c r="M127" s="189">
        <f t="shared" si="22"/>
        <v>307.5</v>
      </c>
    </row>
    <row r="128" spans="1:13" ht="12.75" customHeight="1" x14ac:dyDescent="0.2">
      <c r="A128" s="191">
        <f t="shared" si="12"/>
        <v>345</v>
      </c>
      <c r="B128" s="186">
        <f t="shared" si="13"/>
        <v>2</v>
      </c>
      <c r="C128" s="187">
        <f t="shared" si="14"/>
        <v>0</v>
      </c>
      <c r="D128" s="186">
        <f t="shared" si="15"/>
        <v>0</v>
      </c>
      <c r="E128" s="187">
        <f t="shared" si="16"/>
        <v>2</v>
      </c>
      <c r="F128" s="186">
        <f t="shared" si="17"/>
        <v>1</v>
      </c>
      <c r="G128" s="187">
        <f t="shared" si="18"/>
        <v>0</v>
      </c>
      <c r="H128" s="186">
        <f t="shared" si="19"/>
        <v>0</v>
      </c>
      <c r="I128" s="187">
        <f t="shared" si="20"/>
        <v>0</v>
      </c>
      <c r="J128" s="186">
        <f t="shared" si="21"/>
        <v>0</v>
      </c>
      <c r="K128" s="187"/>
      <c r="L128" s="189">
        <f t="shared" si="23"/>
        <v>124</v>
      </c>
      <c r="M128" s="189">
        <f t="shared" si="22"/>
        <v>310</v>
      </c>
    </row>
    <row r="129" spans="1:13" ht="12.75" customHeight="1" x14ac:dyDescent="0.2">
      <c r="A129" s="191">
        <f t="shared" si="12"/>
        <v>347.5</v>
      </c>
      <c r="B129" s="186">
        <f t="shared" si="13"/>
        <v>2</v>
      </c>
      <c r="C129" s="187">
        <f t="shared" si="14"/>
        <v>0</v>
      </c>
      <c r="D129" s="186">
        <f t="shared" si="15"/>
        <v>0</v>
      </c>
      <c r="E129" s="187">
        <f t="shared" si="16"/>
        <v>2</v>
      </c>
      <c r="F129" s="186">
        <f t="shared" si="17"/>
        <v>1</v>
      </c>
      <c r="G129" s="187">
        <f t="shared" si="18"/>
        <v>0</v>
      </c>
      <c r="H129" s="186">
        <f t="shared" si="19"/>
        <v>0</v>
      </c>
      <c r="I129" s="187">
        <f t="shared" si="20"/>
        <v>0</v>
      </c>
      <c r="J129" s="186">
        <f t="shared" si="21"/>
        <v>1</v>
      </c>
      <c r="K129" s="187"/>
      <c r="L129" s="189">
        <f t="shared" si="23"/>
        <v>125</v>
      </c>
      <c r="M129" s="189">
        <f t="shared" si="22"/>
        <v>312.5</v>
      </c>
    </row>
    <row r="130" spans="1:13" ht="12.75" customHeight="1" x14ac:dyDescent="0.2">
      <c r="A130" s="191">
        <f t="shared" si="12"/>
        <v>350</v>
      </c>
      <c r="B130" s="186">
        <f t="shared" si="13"/>
        <v>2</v>
      </c>
      <c r="C130" s="187">
        <f t="shared" si="14"/>
        <v>0</v>
      </c>
      <c r="D130" s="186">
        <f t="shared" si="15"/>
        <v>0</v>
      </c>
      <c r="E130" s="187">
        <f t="shared" si="16"/>
        <v>2</v>
      </c>
      <c r="F130" s="186">
        <f t="shared" si="17"/>
        <v>1</v>
      </c>
      <c r="G130" s="187">
        <f t="shared" si="18"/>
        <v>0</v>
      </c>
      <c r="H130" s="186">
        <f t="shared" si="19"/>
        <v>0</v>
      </c>
      <c r="I130" s="187">
        <f t="shared" si="20"/>
        <v>1</v>
      </c>
      <c r="J130" s="186">
        <f t="shared" si="21"/>
        <v>0</v>
      </c>
      <c r="K130" s="187"/>
      <c r="L130" s="189">
        <f t="shared" si="23"/>
        <v>126</v>
      </c>
      <c r="M130" s="189">
        <f t="shared" si="22"/>
        <v>315</v>
      </c>
    </row>
    <row r="131" spans="1:13" ht="12.75" customHeight="1" x14ac:dyDescent="0.2">
      <c r="A131" s="191">
        <f t="shared" si="12"/>
        <v>352.5</v>
      </c>
      <c r="B131" s="186">
        <f t="shared" si="13"/>
        <v>2</v>
      </c>
      <c r="C131" s="187">
        <f t="shared" si="14"/>
        <v>0</v>
      </c>
      <c r="D131" s="186">
        <f t="shared" si="15"/>
        <v>0</v>
      </c>
      <c r="E131" s="187">
        <f t="shared" si="16"/>
        <v>2</v>
      </c>
      <c r="F131" s="186">
        <f t="shared" si="17"/>
        <v>1</v>
      </c>
      <c r="G131" s="187">
        <f t="shared" si="18"/>
        <v>0</v>
      </c>
      <c r="H131" s="186">
        <f t="shared" si="19"/>
        <v>0</v>
      </c>
      <c r="I131" s="187">
        <f t="shared" si="20"/>
        <v>1</v>
      </c>
      <c r="J131" s="186">
        <f t="shared" si="21"/>
        <v>1</v>
      </c>
      <c r="K131" s="187"/>
      <c r="L131" s="189">
        <f t="shared" si="23"/>
        <v>127</v>
      </c>
      <c r="M131" s="189">
        <f t="shared" si="22"/>
        <v>317.5</v>
      </c>
    </row>
    <row r="132" spans="1:13" ht="12.75" customHeight="1" x14ac:dyDescent="0.2">
      <c r="A132" s="191">
        <f t="shared" si="12"/>
        <v>355</v>
      </c>
      <c r="B132" s="186">
        <f t="shared" si="13"/>
        <v>2</v>
      </c>
      <c r="C132" s="187">
        <f t="shared" si="14"/>
        <v>0</v>
      </c>
      <c r="D132" s="186">
        <f t="shared" si="15"/>
        <v>0</v>
      </c>
      <c r="E132" s="187">
        <f t="shared" si="16"/>
        <v>3</v>
      </c>
      <c r="F132" s="186">
        <f t="shared" si="17"/>
        <v>0</v>
      </c>
      <c r="G132" s="187">
        <f t="shared" si="18"/>
        <v>0</v>
      </c>
      <c r="H132" s="186">
        <f t="shared" si="19"/>
        <v>0</v>
      </c>
      <c r="I132" s="187">
        <f t="shared" si="20"/>
        <v>0</v>
      </c>
      <c r="J132" s="186">
        <f t="shared" si="21"/>
        <v>0</v>
      </c>
      <c r="K132" s="187"/>
      <c r="L132" s="189">
        <f t="shared" si="23"/>
        <v>128</v>
      </c>
      <c r="M132" s="189">
        <f t="shared" si="22"/>
        <v>320</v>
      </c>
    </row>
    <row r="133" spans="1:13" ht="12.75" customHeight="1" x14ac:dyDescent="0.2">
      <c r="A133" s="191">
        <f t="shared" ref="A133:A196" si="24">IF(M133+$K$2&gt;$L$1,0,M133+$K$2)</f>
        <v>357.5</v>
      </c>
      <c r="B133" s="186">
        <f t="shared" ref="B133:B196" si="25">IF(A133=0,0,MIN($B$1/2,INT(M133/(2*$B$2))))</f>
        <v>2</v>
      </c>
      <c r="C133" s="187">
        <f t="shared" ref="C133:C196" si="26">IF(A133=0,0,MIN($C$1/2,INT(($M133-2*$B133*$B$2)/(2*$C$2))))</f>
        <v>0</v>
      </c>
      <c r="D133" s="186">
        <f t="shared" ref="D133:D196" si="27">IF(A133=0,0,MIN($D$1/2,INT(($M133-2*$B133*$B$2-2*$C133*$C$2)/(2*$D$2))))</f>
        <v>0</v>
      </c>
      <c r="E133" s="187">
        <f t="shared" ref="E133:E196" si="28">IF(A133=0,0,MIN($E$1/2,INT(($M133-2*$B133*$B$2-2*$C133*$C$2-2*$D133*$D$2)/(2*$E$2))))</f>
        <v>3</v>
      </c>
      <c r="F133" s="186">
        <f t="shared" ref="F133:F196" si="29">IF(A133=0,0,MIN($F$1/2,INT(($M133-2*$B133*$B$2-2*$C133*$C$2-2*$D133*$D$2-2*$E133*$E$2)/(2*$F$2))))</f>
        <v>0</v>
      </c>
      <c r="G133" s="187">
        <f t="shared" ref="G133:G196" si="30">IF(A133=0,0,MIN($G$1/2,INT(($M133-2*$B133*$B$2-2*$C133*$C$2-2*$D133*$D$2-2*$E133*$E$2-2*$F133*$F$2)/(2*$G$2))))</f>
        <v>0</v>
      </c>
      <c r="H133" s="186">
        <f t="shared" ref="H133:H196" si="31">IF(A133=0,0,MIN($H$1/2,INT(($M133-2*$B133*$B$2-2*$C133*$C$2-2*$D133*$D$2-2*$E133*$E$2-2*$F133*$F$2-2*$G133*$G$2)/(2*$H$2))))</f>
        <v>0</v>
      </c>
      <c r="I133" s="187">
        <f t="shared" ref="I133:I196" si="32">IF(A133=0,0,MIN($I$1/2,INT(($M133-2*$B133*$B$2-2*$C133*$C$2-2*$D133*$D$2-2*$E133*$E$2-2*$F133*$F$2-2*$G133*$G$2-2*$H133*$H$2)/(2*$I$2))))</f>
        <v>0</v>
      </c>
      <c r="J133" s="186">
        <f t="shared" ref="J133:J196" si="33">IF(A133=0,0,MIN($J$1/2,INT(($M133-2*$B133*$B$2-2*$C133*$C$2-2*$D133*$D$2-2*$E133*$E$2-2*$F133*$F$2-2*$G133*$G$2-2*$H133*$H$2-2*$I133*$I$2)/(2*$J$2))))</f>
        <v>1</v>
      </c>
      <c r="K133" s="187"/>
      <c r="L133" s="189">
        <f t="shared" si="23"/>
        <v>129</v>
      </c>
      <c r="M133" s="189">
        <f t="shared" ref="M133:M196" si="34">IF($A$2="Pounds",5*L133,2.5*L133)</f>
        <v>322.5</v>
      </c>
    </row>
    <row r="134" spans="1:13" ht="12.75" customHeight="1" x14ac:dyDescent="0.2">
      <c r="A134" s="191">
        <f t="shared" si="24"/>
        <v>360</v>
      </c>
      <c r="B134" s="186">
        <f t="shared" si="25"/>
        <v>2</v>
      </c>
      <c r="C134" s="187">
        <f t="shared" si="26"/>
        <v>0</v>
      </c>
      <c r="D134" s="186">
        <f t="shared" si="27"/>
        <v>0</v>
      </c>
      <c r="E134" s="187">
        <f t="shared" si="28"/>
        <v>3</v>
      </c>
      <c r="F134" s="186">
        <f t="shared" si="29"/>
        <v>0</v>
      </c>
      <c r="G134" s="187">
        <f t="shared" si="30"/>
        <v>0</v>
      </c>
      <c r="H134" s="186">
        <f t="shared" si="31"/>
        <v>0</v>
      </c>
      <c r="I134" s="187">
        <f t="shared" si="32"/>
        <v>1</v>
      </c>
      <c r="J134" s="186">
        <f t="shared" si="33"/>
        <v>0</v>
      </c>
      <c r="K134" s="187"/>
      <c r="L134" s="189">
        <f t="shared" si="23"/>
        <v>130</v>
      </c>
      <c r="M134" s="189">
        <f t="shared" si="34"/>
        <v>325</v>
      </c>
    </row>
    <row r="135" spans="1:13" ht="12.75" customHeight="1" x14ac:dyDescent="0.2">
      <c r="A135" s="191">
        <f t="shared" si="24"/>
        <v>362.5</v>
      </c>
      <c r="B135" s="186">
        <f t="shared" si="25"/>
        <v>2</v>
      </c>
      <c r="C135" s="187">
        <f t="shared" si="26"/>
        <v>0</v>
      </c>
      <c r="D135" s="186">
        <f t="shared" si="27"/>
        <v>0</v>
      </c>
      <c r="E135" s="187">
        <f t="shared" si="28"/>
        <v>3</v>
      </c>
      <c r="F135" s="186">
        <f t="shared" si="29"/>
        <v>0</v>
      </c>
      <c r="G135" s="187">
        <f t="shared" si="30"/>
        <v>0</v>
      </c>
      <c r="H135" s="186">
        <f t="shared" si="31"/>
        <v>0</v>
      </c>
      <c r="I135" s="187">
        <f t="shared" si="32"/>
        <v>1</v>
      </c>
      <c r="J135" s="186">
        <f t="shared" si="33"/>
        <v>1</v>
      </c>
      <c r="K135" s="187"/>
      <c r="L135" s="189">
        <f t="shared" si="23"/>
        <v>131</v>
      </c>
      <c r="M135" s="189">
        <f t="shared" si="34"/>
        <v>327.5</v>
      </c>
    </row>
    <row r="136" spans="1:13" ht="12.75" customHeight="1" x14ac:dyDescent="0.2">
      <c r="A136" s="191">
        <f t="shared" si="24"/>
        <v>365</v>
      </c>
      <c r="B136" s="186">
        <f t="shared" si="25"/>
        <v>2</v>
      </c>
      <c r="C136" s="187">
        <f t="shared" si="26"/>
        <v>0</v>
      </c>
      <c r="D136" s="186">
        <f t="shared" si="27"/>
        <v>0</v>
      </c>
      <c r="E136" s="187">
        <f t="shared" si="28"/>
        <v>3</v>
      </c>
      <c r="F136" s="186">
        <f t="shared" si="29"/>
        <v>0</v>
      </c>
      <c r="G136" s="187">
        <f t="shared" si="30"/>
        <v>0</v>
      </c>
      <c r="H136" s="186">
        <f t="shared" si="31"/>
        <v>1</v>
      </c>
      <c r="I136" s="187">
        <f t="shared" si="32"/>
        <v>0</v>
      </c>
      <c r="J136" s="186">
        <f t="shared" si="33"/>
        <v>0</v>
      </c>
      <c r="K136" s="187"/>
      <c r="L136" s="189">
        <f t="shared" si="23"/>
        <v>132</v>
      </c>
      <c r="M136" s="189">
        <f t="shared" si="34"/>
        <v>330</v>
      </c>
    </row>
    <row r="137" spans="1:13" ht="12.75" customHeight="1" x14ac:dyDescent="0.2">
      <c r="A137" s="191">
        <f t="shared" si="24"/>
        <v>367.5</v>
      </c>
      <c r="B137" s="186">
        <f t="shared" si="25"/>
        <v>2</v>
      </c>
      <c r="C137" s="187">
        <f t="shared" si="26"/>
        <v>0</v>
      </c>
      <c r="D137" s="186">
        <f t="shared" si="27"/>
        <v>0</v>
      </c>
      <c r="E137" s="187">
        <f t="shared" si="28"/>
        <v>3</v>
      </c>
      <c r="F137" s="186">
        <f t="shared" si="29"/>
        <v>0</v>
      </c>
      <c r="G137" s="187">
        <f t="shared" si="30"/>
        <v>0</v>
      </c>
      <c r="H137" s="186">
        <f t="shared" si="31"/>
        <v>1</v>
      </c>
      <c r="I137" s="187">
        <f t="shared" si="32"/>
        <v>0</v>
      </c>
      <c r="J137" s="186">
        <f t="shared" si="33"/>
        <v>1</v>
      </c>
      <c r="K137" s="187"/>
      <c r="L137" s="189">
        <f t="shared" si="23"/>
        <v>133</v>
      </c>
      <c r="M137" s="189">
        <f t="shared" si="34"/>
        <v>332.5</v>
      </c>
    </row>
    <row r="138" spans="1:13" ht="12.75" customHeight="1" x14ac:dyDescent="0.2">
      <c r="A138" s="191">
        <f t="shared" si="24"/>
        <v>370</v>
      </c>
      <c r="B138" s="186">
        <f t="shared" si="25"/>
        <v>2</v>
      </c>
      <c r="C138" s="187">
        <f t="shared" si="26"/>
        <v>0</v>
      </c>
      <c r="D138" s="186">
        <f t="shared" si="27"/>
        <v>0</v>
      </c>
      <c r="E138" s="187">
        <f t="shared" si="28"/>
        <v>3</v>
      </c>
      <c r="F138" s="186">
        <f t="shared" si="29"/>
        <v>0</v>
      </c>
      <c r="G138" s="187">
        <f t="shared" si="30"/>
        <v>0</v>
      </c>
      <c r="H138" s="186">
        <f t="shared" si="31"/>
        <v>1</v>
      </c>
      <c r="I138" s="187">
        <f t="shared" si="32"/>
        <v>1</v>
      </c>
      <c r="J138" s="186">
        <f t="shared" si="33"/>
        <v>0</v>
      </c>
      <c r="K138" s="187"/>
      <c r="L138" s="189">
        <f t="shared" si="23"/>
        <v>134</v>
      </c>
      <c r="M138" s="189">
        <f t="shared" si="34"/>
        <v>335</v>
      </c>
    </row>
    <row r="139" spans="1:13" ht="12.75" customHeight="1" x14ac:dyDescent="0.2">
      <c r="A139" s="191">
        <f t="shared" si="24"/>
        <v>372.5</v>
      </c>
      <c r="B139" s="186">
        <f t="shared" si="25"/>
        <v>2</v>
      </c>
      <c r="C139" s="187">
        <f t="shared" si="26"/>
        <v>0</v>
      </c>
      <c r="D139" s="186">
        <f t="shared" si="27"/>
        <v>0</v>
      </c>
      <c r="E139" s="187">
        <f t="shared" si="28"/>
        <v>3</v>
      </c>
      <c r="F139" s="186">
        <f t="shared" si="29"/>
        <v>0</v>
      </c>
      <c r="G139" s="187">
        <f t="shared" si="30"/>
        <v>0</v>
      </c>
      <c r="H139" s="186">
        <f t="shared" si="31"/>
        <v>1</v>
      </c>
      <c r="I139" s="187">
        <f t="shared" si="32"/>
        <v>1</v>
      </c>
      <c r="J139" s="186">
        <f t="shared" si="33"/>
        <v>1</v>
      </c>
      <c r="K139" s="187"/>
      <c r="L139" s="189">
        <f t="shared" si="23"/>
        <v>135</v>
      </c>
      <c r="M139" s="189">
        <f t="shared" si="34"/>
        <v>337.5</v>
      </c>
    </row>
    <row r="140" spans="1:13" ht="12.75" customHeight="1" x14ac:dyDescent="0.2">
      <c r="A140" s="191">
        <f t="shared" si="24"/>
        <v>375</v>
      </c>
      <c r="B140" s="186">
        <f t="shared" si="25"/>
        <v>2</v>
      </c>
      <c r="C140" s="187">
        <f t="shared" si="26"/>
        <v>0</v>
      </c>
      <c r="D140" s="186">
        <f t="shared" si="27"/>
        <v>0</v>
      </c>
      <c r="E140" s="187">
        <f t="shared" si="28"/>
        <v>3</v>
      </c>
      <c r="F140" s="186">
        <f t="shared" si="29"/>
        <v>0</v>
      </c>
      <c r="G140" s="187">
        <f t="shared" si="30"/>
        <v>1</v>
      </c>
      <c r="H140" s="186">
        <f t="shared" si="31"/>
        <v>0</v>
      </c>
      <c r="I140" s="187">
        <f t="shared" si="32"/>
        <v>0</v>
      </c>
      <c r="J140" s="186">
        <f t="shared" si="33"/>
        <v>0</v>
      </c>
      <c r="K140" s="187"/>
      <c r="L140" s="189">
        <f t="shared" si="23"/>
        <v>136</v>
      </c>
      <c r="M140" s="189">
        <f t="shared" si="34"/>
        <v>340</v>
      </c>
    </row>
    <row r="141" spans="1:13" ht="12.75" customHeight="1" x14ac:dyDescent="0.2">
      <c r="A141" s="191">
        <f t="shared" si="24"/>
        <v>377.5</v>
      </c>
      <c r="B141" s="186">
        <f t="shared" si="25"/>
        <v>2</v>
      </c>
      <c r="C141" s="187">
        <f t="shared" si="26"/>
        <v>0</v>
      </c>
      <c r="D141" s="186">
        <f t="shared" si="27"/>
        <v>0</v>
      </c>
      <c r="E141" s="187">
        <f t="shared" si="28"/>
        <v>3</v>
      </c>
      <c r="F141" s="186">
        <f t="shared" si="29"/>
        <v>0</v>
      </c>
      <c r="G141" s="187">
        <f t="shared" si="30"/>
        <v>1</v>
      </c>
      <c r="H141" s="186">
        <f t="shared" si="31"/>
        <v>0</v>
      </c>
      <c r="I141" s="187">
        <f t="shared" si="32"/>
        <v>0</v>
      </c>
      <c r="J141" s="186">
        <f t="shared" si="33"/>
        <v>1</v>
      </c>
      <c r="K141" s="187"/>
      <c r="L141" s="189">
        <f t="shared" ref="L141:L204" si="35">L140+1</f>
        <v>137</v>
      </c>
      <c r="M141" s="189">
        <f t="shared" si="34"/>
        <v>342.5</v>
      </c>
    </row>
    <row r="142" spans="1:13" ht="12.75" customHeight="1" x14ac:dyDescent="0.2">
      <c r="A142" s="191">
        <f t="shared" si="24"/>
        <v>380</v>
      </c>
      <c r="B142" s="186">
        <f t="shared" si="25"/>
        <v>2</v>
      </c>
      <c r="C142" s="187">
        <f t="shared" si="26"/>
        <v>0</v>
      </c>
      <c r="D142" s="186">
        <f t="shared" si="27"/>
        <v>0</v>
      </c>
      <c r="E142" s="187">
        <f t="shared" si="28"/>
        <v>3</v>
      </c>
      <c r="F142" s="186">
        <f t="shared" si="29"/>
        <v>0</v>
      </c>
      <c r="G142" s="187">
        <f t="shared" si="30"/>
        <v>1</v>
      </c>
      <c r="H142" s="186">
        <f t="shared" si="31"/>
        <v>0</v>
      </c>
      <c r="I142" s="187">
        <f t="shared" si="32"/>
        <v>1</v>
      </c>
      <c r="J142" s="186">
        <f t="shared" si="33"/>
        <v>0</v>
      </c>
      <c r="K142" s="187"/>
      <c r="L142" s="189">
        <f t="shared" si="35"/>
        <v>138</v>
      </c>
      <c r="M142" s="189">
        <f t="shared" si="34"/>
        <v>345</v>
      </c>
    </row>
    <row r="143" spans="1:13" ht="12.75" customHeight="1" x14ac:dyDescent="0.2">
      <c r="A143" s="191">
        <f t="shared" si="24"/>
        <v>382.5</v>
      </c>
      <c r="B143" s="186">
        <f t="shared" si="25"/>
        <v>2</v>
      </c>
      <c r="C143" s="187">
        <f t="shared" si="26"/>
        <v>0</v>
      </c>
      <c r="D143" s="186">
        <f t="shared" si="27"/>
        <v>0</v>
      </c>
      <c r="E143" s="187">
        <f t="shared" si="28"/>
        <v>3</v>
      </c>
      <c r="F143" s="186">
        <f t="shared" si="29"/>
        <v>0</v>
      </c>
      <c r="G143" s="187">
        <f t="shared" si="30"/>
        <v>1</v>
      </c>
      <c r="H143" s="186">
        <f t="shared" si="31"/>
        <v>0</v>
      </c>
      <c r="I143" s="187">
        <f t="shared" si="32"/>
        <v>1</v>
      </c>
      <c r="J143" s="186">
        <f t="shared" si="33"/>
        <v>1</v>
      </c>
      <c r="K143" s="187"/>
      <c r="L143" s="189">
        <f t="shared" si="35"/>
        <v>139</v>
      </c>
      <c r="M143" s="189">
        <f t="shared" si="34"/>
        <v>347.5</v>
      </c>
    </row>
    <row r="144" spans="1:13" ht="12.75" customHeight="1" x14ac:dyDescent="0.2">
      <c r="A144" s="191">
        <f t="shared" si="24"/>
        <v>385</v>
      </c>
      <c r="B144" s="186">
        <f t="shared" si="25"/>
        <v>2</v>
      </c>
      <c r="C144" s="187">
        <f t="shared" si="26"/>
        <v>0</v>
      </c>
      <c r="D144" s="186">
        <f t="shared" si="27"/>
        <v>0</v>
      </c>
      <c r="E144" s="187">
        <f t="shared" si="28"/>
        <v>3</v>
      </c>
      <c r="F144" s="186">
        <f t="shared" si="29"/>
        <v>1</v>
      </c>
      <c r="G144" s="187">
        <f t="shared" si="30"/>
        <v>0</v>
      </c>
      <c r="H144" s="186">
        <f t="shared" si="31"/>
        <v>0</v>
      </c>
      <c r="I144" s="187">
        <f t="shared" si="32"/>
        <v>0</v>
      </c>
      <c r="J144" s="186">
        <f t="shared" si="33"/>
        <v>0</v>
      </c>
      <c r="K144" s="187"/>
      <c r="L144" s="189">
        <f t="shared" si="35"/>
        <v>140</v>
      </c>
      <c r="M144" s="189">
        <f t="shared" si="34"/>
        <v>350</v>
      </c>
    </row>
    <row r="145" spans="1:13" ht="12.75" customHeight="1" x14ac:dyDescent="0.2">
      <c r="A145" s="191">
        <f t="shared" si="24"/>
        <v>387.5</v>
      </c>
      <c r="B145" s="186">
        <f t="shared" si="25"/>
        <v>2</v>
      </c>
      <c r="C145" s="187">
        <f t="shared" si="26"/>
        <v>0</v>
      </c>
      <c r="D145" s="186">
        <f t="shared" si="27"/>
        <v>0</v>
      </c>
      <c r="E145" s="187">
        <f t="shared" si="28"/>
        <v>3</v>
      </c>
      <c r="F145" s="186">
        <f t="shared" si="29"/>
        <v>1</v>
      </c>
      <c r="G145" s="187">
        <f t="shared" si="30"/>
        <v>0</v>
      </c>
      <c r="H145" s="186">
        <f t="shared" si="31"/>
        <v>0</v>
      </c>
      <c r="I145" s="187">
        <f t="shared" si="32"/>
        <v>0</v>
      </c>
      <c r="J145" s="186">
        <f t="shared" si="33"/>
        <v>1</v>
      </c>
      <c r="K145" s="187"/>
      <c r="L145" s="189">
        <f t="shared" si="35"/>
        <v>141</v>
      </c>
      <c r="M145" s="189">
        <f t="shared" si="34"/>
        <v>352.5</v>
      </c>
    </row>
    <row r="146" spans="1:13" ht="12.75" customHeight="1" x14ac:dyDescent="0.2">
      <c r="A146" s="191">
        <f t="shared" si="24"/>
        <v>390</v>
      </c>
      <c r="B146" s="186">
        <f t="shared" si="25"/>
        <v>2</v>
      </c>
      <c r="C146" s="187">
        <f t="shared" si="26"/>
        <v>0</v>
      </c>
      <c r="D146" s="186">
        <f t="shared" si="27"/>
        <v>0</v>
      </c>
      <c r="E146" s="187">
        <f t="shared" si="28"/>
        <v>3</v>
      </c>
      <c r="F146" s="186">
        <f t="shared" si="29"/>
        <v>1</v>
      </c>
      <c r="G146" s="187">
        <f t="shared" si="30"/>
        <v>0</v>
      </c>
      <c r="H146" s="186">
        <f t="shared" si="31"/>
        <v>0</v>
      </c>
      <c r="I146" s="187">
        <f t="shared" si="32"/>
        <v>1</v>
      </c>
      <c r="J146" s="186">
        <f t="shared" si="33"/>
        <v>0</v>
      </c>
      <c r="K146" s="187"/>
      <c r="L146" s="189">
        <f t="shared" si="35"/>
        <v>142</v>
      </c>
      <c r="M146" s="189">
        <f t="shared" si="34"/>
        <v>355</v>
      </c>
    </row>
    <row r="147" spans="1:13" ht="12.75" customHeight="1" x14ac:dyDescent="0.2">
      <c r="A147" s="191">
        <f t="shared" si="24"/>
        <v>392.5</v>
      </c>
      <c r="B147" s="186">
        <f t="shared" si="25"/>
        <v>2</v>
      </c>
      <c r="C147" s="187">
        <f t="shared" si="26"/>
        <v>0</v>
      </c>
      <c r="D147" s="186">
        <f t="shared" si="27"/>
        <v>0</v>
      </c>
      <c r="E147" s="187">
        <f t="shared" si="28"/>
        <v>3</v>
      </c>
      <c r="F147" s="186">
        <f t="shared" si="29"/>
        <v>1</v>
      </c>
      <c r="G147" s="187">
        <f t="shared" si="30"/>
        <v>0</v>
      </c>
      <c r="H147" s="186">
        <f t="shared" si="31"/>
        <v>0</v>
      </c>
      <c r="I147" s="187">
        <f t="shared" si="32"/>
        <v>1</v>
      </c>
      <c r="J147" s="186">
        <f t="shared" si="33"/>
        <v>1</v>
      </c>
      <c r="K147" s="187"/>
      <c r="L147" s="189">
        <f t="shared" si="35"/>
        <v>143</v>
      </c>
      <c r="M147" s="189">
        <f t="shared" si="34"/>
        <v>357.5</v>
      </c>
    </row>
    <row r="148" spans="1:13" ht="12.75" customHeight="1" x14ac:dyDescent="0.2">
      <c r="A148" s="191">
        <f t="shared" si="24"/>
        <v>395</v>
      </c>
      <c r="B148" s="186">
        <f t="shared" si="25"/>
        <v>2</v>
      </c>
      <c r="C148" s="187">
        <f t="shared" si="26"/>
        <v>0</v>
      </c>
      <c r="D148" s="186">
        <f t="shared" si="27"/>
        <v>0</v>
      </c>
      <c r="E148" s="187">
        <f t="shared" si="28"/>
        <v>4</v>
      </c>
      <c r="F148" s="186">
        <f t="shared" si="29"/>
        <v>0</v>
      </c>
      <c r="G148" s="187">
        <f t="shared" si="30"/>
        <v>0</v>
      </c>
      <c r="H148" s="186">
        <f t="shared" si="31"/>
        <v>0</v>
      </c>
      <c r="I148" s="187">
        <f t="shared" si="32"/>
        <v>0</v>
      </c>
      <c r="J148" s="186">
        <f t="shared" si="33"/>
        <v>0</v>
      </c>
      <c r="K148" s="187"/>
      <c r="L148" s="189">
        <f t="shared" si="35"/>
        <v>144</v>
      </c>
      <c r="M148" s="189">
        <f t="shared" si="34"/>
        <v>360</v>
      </c>
    </row>
    <row r="149" spans="1:13" ht="12.75" customHeight="1" x14ac:dyDescent="0.2">
      <c r="A149" s="191">
        <f t="shared" si="24"/>
        <v>397.5</v>
      </c>
      <c r="B149" s="186">
        <f t="shared" si="25"/>
        <v>2</v>
      </c>
      <c r="C149" s="187">
        <f t="shared" si="26"/>
        <v>0</v>
      </c>
      <c r="D149" s="186">
        <f t="shared" si="27"/>
        <v>0</v>
      </c>
      <c r="E149" s="187">
        <f t="shared" si="28"/>
        <v>4</v>
      </c>
      <c r="F149" s="186">
        <f t="shared" si="29"/>
        <v>0</v>
      </c>
      <c r="G149" s="187">
        <f t="shared" si="30"/>
        <v>0</v>
      </c>
      <c r="H149" s="186">
        <f t="shared" si="31"/>
        <v>0</v>
      </c>
      <c r="I149" s="187">
        <f t="shared" si="32"/>
        <v>0</v>
      </c>
      <c r="J149" s="186">
        <f t="shared" si="33"/>
        <v>1</v>
      </c>
      <c r="K149" s="187"/>
      <c r="L149" s="189">
        <f t="shared" si="35"/>
        <v>145</v>
      </c>
      <c r="M149" s="189">
        <f t="shared" si="34"/>
        <v>362.5</v>
      </c>
    </row>
    <row r="150" spans="1:13" ht="12.75" customHeight="1" x14ac:dyDescent="0.2">
      <c r="A150" s="191">
        <f t="shared" si="24"/>
        <v>400</v>
      </c>
      <c r="B150" s="186">
        <f t="shared" si="25"/>
        <v>2</v>
      </c>
      <c r="C150" s="187">
        <f t="shared" si="26"/>
        <v>0</v>
      </c>
      <c r="D150" s="186">
        <f t="shared" si="27"/>
        <v>0</v>
      </c>
      <c r="E150" s="187">
        <f t="shared" si="28"/>
        <v>4</v>
      </c>
      <c r="F150" s="186">
        <f t="shared" si="29"/>
        <v>0</v>
      </c>
      <c r="G150" s="187">
        <f t="shared" si="30"/>
        <v>0</v>
      </c>
      <c r="H150" s="186">
        <f t="shared" si="31"/>
        <v>0</v>
      </c>
      <c r="I150" s="187">
        <f t="shared" si="32"/>
        <v>1</v>
      </c>
      <c r="J150" s="186">
        <f t="shared" si="33"/>
        <v>0</v>
      </c>
      <c r="K150" s="187"/>
      <c r="L150" s="189">
        <f t="shared" si="35"/>
        <v>146</v>
      </c>
      <c r="M150" s="189">
        <f t="shared" si="34"/>
        <v>365</v>
      </c>
    </row>
    <row r="151" spans="1:13" ht="12.75" customHeight="1" x14ac:dyDescent="0.2">
      <c r="A151" s="191">
        <f t="shared" si="24"/>
        <v>402.5</v>
      </c>
      <c r="B151" s="186">
        <f t="shared" si="25"/>
        <v>2</v>
      </c>
      <c r="C151" s="187">
        <f t="shared" si="26"/>
        <v>0</v>
      </c>
      <c r="D151" s="186">
        <f t="shared" si="27"/>
        <v>0</v>
      </c>
      <c r="E151" s="187">
        <f t="shared" si="28"/>
        <v>4</v>
      </c>
      <c r="F151" s="186">
        <f t="shared" si="29"/>
        <v>0</v>
      </c>
      <c r="G151" s="187">
        <f t="shared" si="30"/>
        <v>0</v>
      </c>
      <c r="H151" s="186">
        <f t="shared" si="31"/>
        <v>0</v>
      </c>
      <c r="I151" s="187">
        <f t="shared" si="32"/>
        <v>1</v>
      </c>
      <c r="J151" s="186">
        <f t="shared" si="33"/>
        <v>1</v>
      </c>
      <c r="K151" s="187"/>
      <c r="L151" s="189">
        <f t="shared" si="35"/>
        <v>147</v>
      </c>
      <c r="M151" s="189">
        <f t="shared" si="34"/>
        <v>367.5</v>
      </c>
    </row>
    <row r="152" spans="1:13" ht="12.75" customHeight="1" x14ac:dyDescent="0.2">
      <c r="A152" s="191">
        <f t="shared" si="24"/>
        <v>405</v>
      </c>
      <c r="B152" s="186">
        <f t="shared" si="25"/>
        <v>2</v>
      </c>
      <c r="C152" s="187">
        <f t="shared" si="26"/>
        <v>0</v>
      </c>
      <c r="D152" s="186">
        <f t="shared" si="27"/>
        <v>0</v>
      </c>
      <c r="E152" s="187">
        <f t="shared" si="28"/>
        <v>4</v>
      </c>
      <c r="F152" s="186">
        <f t="shared" si="29"/>
        <v>0</v>
      </c>
      <c r="G152" s="187">
        <f t="shared" si="30"/>
        <v>0</v>
      </c>
      <c r="H152" s="186">
        <f t="shared" si="31"/>
        <v>1</v>
      </c>
      <c r="I152" s="187">
        <f t="shared" si="32"/>
        <v>0</v>
      </c>
      <c r="J152" s="186">
        <f t="shared" si="33"/>
        <v>0</v>
      </c>
      <c r="K152" s="187"/>
      <c r="L152" s="189">
        <f t="shared" si="35"/>
        <v>148</v>
      </c>
      <c r="M152" s="189">
        <f t="shared" si="34"/>
        <v>370</v>
      </c>
    </row>
    <row r="153" spans="1:13" ht="12.75" customHeight="1" x14ac:dyDescent="0.2">
      <c r="A153" s="191">
        <f t="shared" si="24"/>
        <v>407.5</v>
      </c>
      <c r="B153" s="186">
        <f t="shared" si="25"/>
        <v>2</v>
      </c>
      <c r="C153" s="187">
        <f t="shared" si="26"/>
        <v>0</v>
      </c>
      <c r="D153" s="186">
        <f t="shared" si="27"/>
        <v>0</v>
      </c>
      <c r="E153" s="187">
        <f t="shared" si="28"/>
        <v>4</v>
      </c>
      <c r="F153" s="186">
        <f t="shared" si="29"/>
        <v>0</v>
      </c>
      <c r="G153" s="187">
        <f t="shared" si="30"/>
        <v>0</v>
      </c>
      <c r="H153" s="186">
        <f t="shared" si="31"/>
        <v>1</v>
      </c>
      <c r="I153" s="187">
        <f t="shared" si="32"/>
        <v>0</v>
      </c>
      <c r="J153" s="186">
        <f t="shared" si="33"/>
        <v>1</v>
      </c>
      <c r="K153" s="187"/>
      <c r="L153" s="189">
        <f t="shared" si="35"/>
        <v>149</v>
      </c>
      <c r="M153" s="189">
        <f t="shared" si="34"/>
        <v>372.5</v>
      </c>
    </row>
    <row r="154" spans="1:13" ht="12.75" customHeight="1" x14ac:dyDescent="0.2">
      <c r="A154" s="191">
        <f t="shared" si="24"/>
        <v>410</v>
      </c>
      <c r="B154" s="186">
        <f t="shared" si="25"/>
        <v>2</v>
      </c>
      <c r="C154" s="187">
        <f t="shared" si="26"/>
        <v>0</v>
      </c>
      <c r="D154" s="186">
        <f t="shared" si="27"/>
        <v>0</v>
      </c>
      <c r="E154" s="187">
        <f t="shared" si="28"/>
        <v>4</v>
      </c>
      <c r="F154" s="186">
        <f t="shared" si="29"/>
        <v>0</v>
      </c>
      <c r="G154" s="187">
        <f t="shared" si="30"/>
        <v>0</v>
      </c>
      <c r="H154" s="186">
        <f t="shared" si="31"/>
        <v>1</v>
      </c>
      <c r="I154" s="187">
        <f t="shared" si="32"/>
        <v>1</v>
      </c>
      <c r="J154" s="186">
        <f t="shared" si="33"/>
        <v>0</v>
      </c>
      <c r="K154" s="187"/>
      <c r="L154" s="189">
        <f t="shared" si="35"/>
        <v>150</v>
      </c>
      <c r="M154" s="189">
        <f t="shared" si="34"/>
        <v>375</v>
      </c>
    </row>
    <row r="155" spans="1:13" ht="12.75" customHeight="1" x14ac:dyDescent="0.2">
      <c r="A155" s="191">
        <f t="shared" si="24"/>
        <v>412.5</v>
      </c>
      <c r="B155" s="186">
        <f t="shared" si="25"/>
        <v>2</v>
      </c>
      <c r="C155" s="187">
        <f t="shared" si="26"/>
        <v>0</v>
      </c>
      <c r="D155" s="186">
        <f t="shared" si="27"/>
        <v>0</v>
      </c>
      <c r="E155" s="187">
        <f t="shared" si="28"/>
        <v>4</v>
      </c>
      <c r="F155" s="186">
        <f t="shared" si="29"/>
        <v>0</v>
      </c>
      <c r="G155" s="187">
        <f t="shared" si="30"/>
        <v>0</v>
      </c>
      <c r="H155" s="186">
        <f t="shared" si="31"/>
        <v>1</v>
      </c>
      <c r="I155" s="187">
        <f t="shared" si="32"/>
        <v>1</v>
      </c>
      <c r="J155" s="186">
        <f t="shared" si="33"/>
        <v>1</v>
      </c>
      <c r="K155" s="187"/>
      <c r="L155" s="189">
        <f t="shared" si="35"/>
        <v>151</v>
      </c>
      <c r="M155" s="189">
        <f t="shared" si="34"/>
        <v>377.5</v>
      </c>
    </row>
    <row r="156" spans="1:13" ht="12.75" customHeight="1" x14ac:dyDescent="0.2">
      <c r="A156" s="191">
        <f t="shared" si="24"/>
        <v>415</v>
      </c>
      <c r="B156" s="186">
        <f t="shared" si="25"/>
        <v>2</v>
      </c>
      <c r="C156" s="187">
        <f t="shared" si="26"/>
        <v>0</v>
      </c>
      <c r="D156" s="186">
        <f t="shared" si="27"/>
        <v>0</v>
      </c>
      <c r="E156" s="187">
        <f t="shared" si="28"/>
        <v>4</v>
      </c>
      <c r="F156" s="186">
        <f t="shared" si="29"/>
        <v>0</v>
      </c>
      <c r="G156" s="187">
        <f t="shared" si="30"/>
        <v>1</v>
      </c>
      <c r="H156" s="186">
        <f t="shared" si="31"/>
        <v>0</v>
      </c>
      <c r="I156" s="187">
        <f t="shared" si="32"/>
        <v>0</v>
      </c>
      <c r="J156" s="186">
        <f t="shared" si="33"/>
        <v>0</v>
      </c>
      <c r="K156" s="187"/>
      <c r="L156" s="189">
        <f t="shared" si="35"/>
        <v>152</v>
      </c>
      <c r="M156" s="189">
        <f t="shared" si="34"/>
        <v>380</v>
      </c>
    </row>
    <row r="157" spans="1:13" ht="12.75" customHeight="1" x14ac:dyDescent="0.2">
      <c r="A157" s="191">
        <f t="shared" si="24"/>
        <v>417.5</v>
      </c>
      <c r="B157" s="186">
        <f t="shared" si="25"/>
        <v>2</v>
      </c>
      <c r="C157" s="187">
        <f t="shared" si="26"/>
        <v>0</v>
      </c>
      <c r="D157" s="186">
        <f t="shared" si="27"/>
        <v>0</v>
      </c>
      <c r="E157" s="187">
        <f t="shared" si="28"/>
        <v>4</v>
      </c>
      <c r="F157" s="186">
        <f t="shared" si="29"/>
        <v>0</v>
      </c>
      <c r="G157" s="187">
        <f t="shared" si="30"/>
        <v>1</v>
      </c>
      <c r="H157" s="186">
        <f t="shared" si="31"/>
        <v>0</v>
      </c>
      <c r="I157" s="187">
        <f t="shared" si="32"/>
        <v>0</v>
      </c>
      <c r="J157" s="186">
        <f t="shared" si="33"/>
        <v>1</v>
      </c>
      <c r="K157" s="187"/>
      <c r="L157" s="189">
        <f t="shared" si="35"/>
        <v>153</v>
      </c>
      <c r="M157" s="189">
        <f t="shared" si="34"/>
        <v>382.5</v>
      </c>
    </row>
    <row r="158" spans="1:13" ht="12.75" customHeight="1" x14ac:dyDescent="0.2">
      <c r="A158" s="191">
        <f t="shared" si="24"/>
        <v>420</v>
      </c>
      <c r="B158" s="186">
        <f t="shared" si="25"/>
        <v>2</v>
      </c>
      <c r="C158" s="187">
        <f t="shared" si="26"/>
        <v>0</v>
      </c>
      <c r="D158" s="186">
        <f t="shared" si="27"/>
        <v>0</v>
      </c>
      <c r="E158" s="187">
        <f t="shared" si="28"/>
        <v>4</v>
      </c>
      <c r="F158" s="186">
        <f t="shared" si="29"/>
        <v>0</v>
      </c>
      <c r="G158" s="187">
        <f t="shared" si="30"/>
        <v>1</v>
      </c>
      <c r="H158" s="186">
        <f t="shared" si="31"/>
        <v>0</v>
      </c>
      <c r="I158" s="187">
        <f t="shared" si="32"/>
        <v>1</v>
      </c>
      <c r="J158" s="186">
        <f t="shared" si="33"/>
        <v>0</v>
      </c>
      <c r="K158" s="187"/>
      <c r="L158" s="189">
        <f t="shared" si="35"/>
        <v>154</v>
      </c>
      <c r="M158" s="189">
        <f t="shared" si="34"/>
        <v>385</v>
      </c>
    </row>
    <row r="159" spans="1:13" ht="12.75" customHeight="1" x14ac:dyDescent="0.2">
      <c r="A159" s="191">
        <f t="shared" si="24"/>
        <v>422.5</v>
      </c>
      <c r="B159" s="186">
        <f t="shared" si="25"/>
        <v>2</v>
      </c>
      <c r="C159" s="187">
        <f t="shared" si="26"/>
        <v>0</v>
      </c>
      <c r="D159" s="186">
        <f t="shared" si="27"/>
        <v>0</v>
      </c>
      <c r="E159" s="187">
        <f t="shared" si="28"/>
        <v>4</v>
      </c>
      <c r="F159" s="186">
        <f t="shared" si="29"/>
        <v>0</v>
      </c>
      <c r="G159" s="187">
        <f t="shared" si="30"/>
        <v>1</v>
      </c>
      <c r="H159" s="186">
        <f t="shared" si="31"/>
        <v>0</v>
      </c>
      <c r="I159" s="187">
        <f t="shared" si="32"/>
        <v>1</v>
      </c>
      <c r="J159" s="186">
        <f t="shared" si="33"/>
        <v>1</v>
      </c>
      <c r="K159" s="187"/>
      <c r="L159" s="189">
        <f t="shared" si="35"/>
        <v>155</v>
      </c>
      <c r="M159" s="189">
        <f t="shared" si="34"/>
        <v>387.5</v>
      </c>
    </row>
    <row r="160" spans="1:13" ht="12.75" customHeight="1" x14ac:dyDescent="0.2">
      <c r="A160" s="191">
        <f t="shared" si="24"/>
        <v>425</v>
      </c>
      <c r="B160" s="186">
        <f t="shared" si="25"/>
        <v>2</v>
      </c>
      <c r="C160" s="187">
        <f t="shared" si="26"/>
        <v>0</v>
      </c>
      <c r="D160" s="186">
        <f t="shared" si="27"/>
        <v>0</v>
      </c>
      <c r="E160" s="187">
        <f t="shared" si="28"/>
        <v>4</v>
      </c>
      <c r="F160" s="186">
        <f t="shared" si="29"/>
        <v>1</v>
      </c>
      <c r="G160" s="187">
        <f t="shared" si="30"/>
        <v>0</v>
      </c>
      <c r="H160" s="186">
        <f t="shared" si="31"/>
        <v>0</v>
      </c>
      <c r="I160" s="187">
        <f t="shared" si="32"/>
        <v>0</v>
      </c>
      <c r="J160" s="186">
        <f t="shared" si="33"/>
        <v>0</v>
      </c>
      <c r="K160" s="187"/>
      <c r="L160" s="189">
        <f t="shared" si="35"/>
        <v>156</v>
      </c>
      <c r="M160" s="189">
        <f t="shared" si="34"/>
        <v>390</v>
      </c>
    </row>
    <row r="161" spans="1:13" ht="12.75" customHeight="1" x14ac:dyDescent="0.2">
      <c r="A161" s="191">
        <f t="shared" si="24"/>
        <v>427.5</v>
      </c>
      <c r="B161" s="186">
        <f t="shared" si="25"/>
        <v>2</v>
      </c>
      <c r="C161" s="187">
        <f t="shared" si="26"/>
        <v>0</v>
      </c>
      <c r="D161" s="186">
        <f t="shared" si="27"/>
        <v>0</v>
      </c>
      <c r="E161" s="187">
        <f t="shared" si="28"/>
        <v>4</v>
      </c>
      <c r="F161" s="186">
        <f t="shared" si="29"/>
        <v>1</v>
      </c>
      <c r="G161" s="187">
        <f t="shared" si="30"/>
        <v>0</v>
      </c>
      <c r="H161" s="186">
        <f t="shared" si="31"/>
        <v>0</v>
      </c>
      <c r="I161" s="187">
        <f t="shared" si="32"/>
        <v>0</v>
      </c>
      <c r="J161" s="186">
        <f t="shared" si="33"/>
        <v>1</v>
      </c>
      <c r="K161" s="187"/>
      <c r="L161" s="189">
        <f t="shared" si="35"/>
        <v>157</v>
      </c>
      <c r="M161" s="189">
        <f t="shared" si="34"/>
        <v>392.5</v>
      </c>
    </row>
    <row r="162" spans="1:13" ht="12.75" customHeight="1" x14ac:dyDescent="0.2">
      <c r="A162" s="191">
        <f t="shared" si="24"/>
        <v>430</v>
      </c>
      <c r="B162" s="186">
        <f t="shared" si="25"/>
        <v>2</v>
      </c>
      <c r="C162" s="187">
        <f t="shared" si="26"/>
        <v>0</v>
      </c>
      <c r="D162" s="186">
        <f t="shared" si="27"/>
        <v>0</v>
      </c>
      <c r="E162" s="187">
        <f t="shared" si="28"/>
        <v>4</v>
      </c>
      <c r="F162" s="186">
        <f t="shared" si="29"/>
        <v>1</v>
      </c>
      <c r="G162" s="187">
        <f t="shared" si="30"/>
        <v>0</v>
      </c>
      <c r="H162" s="186">
        <f t="shared" si="31"/>
        <v>0</v>
      </c>
      <c r="I162" s="187">
        <f t="shared" si="32"/>
        <v>1</v>
      </c>
      <c r="J162" s="186">
        <f t="shared" si="33"/>
        <v>0</v>
      </c>
      <c r="K162" s="187"/>
      <c r="L162" s="189">
        <f t="shared" si="35"/>
        <v>158</v>
      </c>
      <c r="M162" s="189">
        <f t="shared" si="34"/>
        <v>395</v>
      </c>
    </row>
    <row r="163" spans="1:13" ht="12.75" customHeight="1" x14ac:dyDescent="0.2">
      <c r="A163" s="191">
        <f t="shared" si="24"/>
        <v>432.5</v>
      </c>
      <c r="B163" s="186">
        <f t="shared" si="25"/>
        <v>2</v>
      </c>
      <c r="C163" s="187">
        <f t="shared" si="26"/>
        <v>0</v>
      </c>
      <c r="D163" s="186">
        <f t="shared" si="27"/>
        <v>0</v>
      </c>
      <c r="E163" s="187">
        <f t="shared" si="28"/>
        <v>4</v>
      </c>
      <c r="F163" s="186">
        <f t="shared" si="29"/>
        <v>1</v>
      </c>
      <c r="G163" s="187">
        <f t="shared" si="30"/>
        <v>0</v>
      </c>
      <c r="H163" s="186">
        <f t="shared" si="31"/>
        <v>0</v>
      </c>
      <c r="I163" s="187">
        <f t="shared" si="32"/>
        <v>1</v>
      </c>
      <c r="J163" s="186">
        <f t="shared" si="33"/>
        <v>1</v>
      </c>
      <c r="K163" s="187"/>
      <c r="L163" s="189">
        <f t="shared" si="35"/>
        <v>159</v>
      </c>
      <c r="M163" s="189">
        <f t="shared" si="34"/>
        <v>397.5</v>
      </c>
    </row>
    <row r="164" spans="1:13" ht="12.75" customHeight="1" x14ac:dyDescent="0.2">
      <c r="A164" s="191">
        <f t="shared" si="24"/>
        <v>435</v>
      </c>
      <c r="B164" s="186">
        <f t="shared" si="25"/>
        <v>2</v>
      </c>
      <c r="C164" s="187">
        <f t="shared" si="26"/>
        <v>0</v>
      </c>
      <c r="D164" s="186">
        <f t="shared" si="27"/>
        <v>0</v>
      </c>
      <c r="E164" s="187">
        <f t="shared" si="28"/>
        <v>5</v>
      </c>
      <c r="F164" s="186">
        <f t="shared" si="29"/>
        <v>0</v>
      </c>
      <c r="G164" s="187">
        <f t="shared" si="30"/>
        <v>0</v>
      </c>
      <c r="H164" s="186">
        <f t="shared" si="31"/>
        <v>0</v>
      </c>
      <c r="I164" s="187">
        <f t="shared" si="32"/>
        <v>0</v>
      </c>
      <c r="J164" s="186">
        <f t="shared" si="33"/>
        <v>0</v>
      </c>
      <c r="K164" s="187"/>
      <c r="L164" s="189">
        <f t="shared" si="35"/>
        <v>160</v>
      </c>
      <c r="M164" s="189">
        <f t="shared" si="34"/>
        <v>400</v>
      </c>
    </row>
    <row r="165" spans="1:13" ht="12.75" customHeight="1" x14ac:dyDescent="0.2">
      <c r="A165" s="191">
        <f t="shared" si="24"/>
        <v>437.5</v>
      </c>
      <c r="B165" s="186">
        <f t="shared" si="25"/>
        <v>2</v>
      </c>
      <c r="C165" s="187">
        <f t="shared" si="26"/>
        <v>0</v>
      </c>
      <c r="D165" s="186">
        <f t="shared" si="27"/>
        <v>0</v>
      </c>
      <c r="E165" s="187">
        <f t="shared" si="28"/>
        <v>5</v>
      </c>
      <c r="F165" s="186">
        <f t="shared" si="29"/>
        <v>0</v>
      </c>
      <c r="G165" s="187">
        <f t="shared" si="30"/>
        <v>0</v>
      </c>
      <c r="H165" s="186">
        <f t="shared" si="31"/>
        <v>0</v>
      </c>
      <c r="I165" s="187">
        <f t="shared" si="32"/>
        <v>0</v>
      </c>
      <c r="J165" s="186">
        <f t="shared" si="33"/>
        <v>1</v>
      </c>
      <c r="K165" s="187"/>
      <c r="L165" s="189">
        <f t="shared" si="35"/>
        <v>161</v>
      </c>
      <c r="M165" s="189">
        <f t="shared" si="34"/>
        <v>402.5</v>
      </c>
    </row>
    <row r="166" spans="1:13" ht="12.75" customHeight="1" x14ac:dyDescent="0.2">
      <c r="A166" s="191">
        <f t="shared" si="24"/>
        <v>440</v>
      </c>
      <c r="B166" s="186">
        <f t="shared" si="25"/>
        <v>2</v>
      </c>
      <c r="C166" s="187">
        <f t="shared" si="26"/>
        <v>0</v>
      </c>
      <c r="D166" s="186">
        <f t="shared" si="27"/>
        <v>0</v>
      </c>
      <c r="E166" s="187">
        <f t="shared" si="28"/>
        <v>5</v>
      </c>
      <c r="F166" s="186">
        <f t="shared" si="29"/>
        <v>0</v>
      </c>
      <c r="G166" s="187">
        <f t="shared" si="30"/>
        <v>0</v>
      </c>
      <c r="H166" s="186">
        <f t="shared" si="31"/>
        <v>0</v>
      </c>
      <c r="I166" s="187">
        <f t="shared" si="32"/>
        <v>1</v>
      </c>
      <c r="J166" s="186">
        <f t="shared" si="33"/>
        <v>0</v>
      </c>
      <c r="K166" s="187"/>
      <c r="L166" s="189">
        <f t="shared" si="35"/>
        <v>162</v>
      </c>
      <c r="M166" s="189">
        <f t="shared" si="34"/>
        <v>405</v>
      </c>
    </row>
    <row r="167" spans="1:13" ht="12.75" customHeight="1" x14ac:dyDescent="0.2">
      <c r="A167" s="191">
        <f t="shared" si="24"/>
        <v>442.5</v>
      </c>
      <c r="B167" s="186">
        <f t="shared" si="25"/>
        <v>2</v>
      </c>
      <c r="C167" s="187">
        <f t="shared" si="26"/>
        <v>0</v>
      </c>
      <c r="D167" s="186">
        <f t="shared" si="27"/>
        <v>0</v>
      </c>
      <c r="E167" s="187">
        <f t="shared" si="28"/>
        <v>5</v>
      </c>
      <c r="F167" s="186">
        <f t="shared" si="29"/>
        <v>0</v>
      </c>
      <c r="G167" s="187">
        <f t="shared" si="30"/>
        <v>0</v>
      </c>
      <c r="H167" s="186">
        <f t="shared" si="31"/>
        <v>0</v>
      </c>
      <c r="I167" s="187">
        <f t="shared" si="32"/>
        <v>1</v>
      </c>
      <c r="J167" s="186">
        <f t="shared" si="33"/>
        <v>1</v>
      </c>
      <c r="K167" s="187"/>
      <c r="L167" s="189">
        <f t="shared" si="35"/>
        <v>163</v>
      </c>
      <c r="M167" s="189">
        <f t="shared" si="34"/>
        <v>407.5</v>
      </c>
    </row>
    <row r="168" spans="1:13" ht="12.75" customHeight="1" x14ac:dyDescent="0.2">
      <c r="A168" s="191">
        <f t="shared" si="24"/>
        <v>445</v>
      </c>
      <c r="B168" s="186">
        <f t="shared" si="25"/>
        <v>2</v>
      </c>
      <c r="C168" s="187">
        <f t="shared" si="26"/>
        <v>0</v>
      </c>
      <c r="D168" s="186">
        <f t="shared" si="27"/>
        <v>0</v>
      </c>
      <c r="E168" s="187">
        <f t="shared" si="28"/>
        <v>5</v>
      </c>
      <c r="F168" s="186">
        <f t="shared" si="29"/>
        <v>0</v>
      </c>
      <c r="G168" s="187">
        <f t="shared" si="30"/>
        <v>0</v>
      </c>
      <c r="H168" s="186">
        <f t="shared" si="31"/>
        <v>1</v>
      </c>
      <c r="I168" s="187">
        <f t="shared" si="32"/>
        <v>0</v>
      </c>
      <c r="J168" s="186">
        <f t="shared" si="33"/>
        <v>0</v>
      </c>
      <c r="K168" s="187"/>
      <c r="L168" s="189">
        <f t="shared" si="35"/>
        <v>164</v>
      </c>
      <c r="M168" s="189">
        <f t="shared" si="34"/>
        <v>410</v>
      </c>
    </row>
    <row r="169" spans="1:13" ht="12.75" customHeight="1" x14ac:dyDescent="0.2">
      <c r="A169" s="191">
        <f t="shared" si="24"/>
        <v>447.5</v>
      </c>
      <c r="B169" s="186">
        <f t="shared" si="25"/>
        <v>2</v>
      </c>
      <c r="C169" s="187">
        <f t="shared" si="26"/>
        <v>0</v>
      </c>
      <c r="D169" s="186">
        <f t="shared" si="27"/>
        <v>0</v>
      </c>
      <c r="E169" s="187">
        <f t="shared" si="28"/>
        <v>5</v>
      </c>
      <c r="F169" s="186">
        <f t="shared" si="29"/>
        <v>0</v>
      </c>
      <c r="G169" s="187">
        <f t="shared" si="30"/>
        <v>0</v>
      </c>
      <c r="H169" s="186">
        <f t="shared" si="31"/>
        <v>1</v>
      </c>
      <c r="I169" s="187">
        <f t="shared" si="32"/>
        <v>0</v>
      </c>
      <c r="J169" s="186">
        <f t="shared" si="33"/>
        <v>1</v>
      </c>
      <c r="K169" s="187"/>
      <c r="L169" s="189">
        <f t="shared" si="35"/>
        <v>165</v>
      </c>
      <c r="M169" s="189">
        <f t="shared" si="34"/>
        <v>412.5</v>
      </c>
    </row>
    <row r="170" spans="1:13" ht="12.75" customHeight="1" x14ac:dyDescent="0.2">
      <c r="A170" s="191">
        <f t="shared" si="24"/>
        <v>450</v>
      </c>
      <c r="B170" s="186">
        <f t="shared" si="25"/>
        <v>2</v>
      </c>
      <c r="C170" s="187">
        <f t="shared" si="26"/>
        <v>0</v>
      </c>
      <c r="D170" s="186">
        <f t="shared" si="27"/>
        <v>0</v>
      </c>
      <c r="E170" s="187">
        <f t="shared" si="28"/>
        <v>5</v>
      </c>
      <c r="F170" s="186">
        <f t="shared" si="29"/>
        <v>0</v>
      </c>
      <c r="G170" s="187">
        <f t="shared" si="30"/>
        <v>0</v>
      </c>
      <c r="H170" s="186">
        <f t="shared" si="31"/>
        <v>1</v>
      </c>
      <c r="I170" s="187">
        <f t="shared" si="32"/>
        <v>1</v>
      </c>
      <c r="J170" s="186">
        <f t="shared" si="33"/>
        <v>0</v>
      </c>
      <c r="K170" s="187"/>
      <c r="L170" s="189">
        <f t="shared" si="35"/>
        <v>166</v>
      </c>
      <c r="M170" s="189">
        <f t="shared" si="34"/>
        <v>415</v>
      </c>
    </row>
    <row r="171" spans="1:13" ht="12.75" customHeight="1" x14ac:dyDescent="0.2">
      <c r="A171" s="191">
        <f t="shared" si="24"/>
        <v>452.5</v>
      </c>
      <c r="B171" s="186">
        <f t="shared" si="25"/>
        <v>2</v>
      </c>
      <c r="C171" s="187">
        <f t="shared" si="26"/>
        <v>0</v>
      </c>
      <c r="D171" s="186">
        <f t="shared" si="27"/>
        <v>0</v>
      </c>
      <c r="E171" s="187">
        <f t="shared" si="28"/>
        <v>5</v>
      </c>
      <c r="F171" s="186">
        <f t="shared" si="29"/>
        <v>0</v>
      </c>
      <c r="G171" s="187">
        <f t="shared" si="30"/>
        <v>0</v>
      </c>
      <c r="H171" s="186">
        <f t="shared" si="31"/>
        <v>1</v>
      </c>
      <c r="I171" s="187">
        <f t="shared" si="32"/>
        <v>1</v>
      </c>
      <c r="J171" s="186">
        <f t="shared" si="33"/>
        <v>1</v>
      </c>
      <c r="K171" s="187"/>
      <c r="L171" s="189">
        <f t="shared" si="35"/>
        <v>167</v>
      </c>
      <c r="M171" s="189">
        <f t="shared" si="34"/>
        <v>417.5</v>
      </c>
    </row>
    <row r="172" spans="1:13" ht="12.75" customHeight="1" x14ac:dyDescent="0.2">
      <c r="A172" s="191">
        <f t="shared" si="24"/>
        <v>455</v>
      </c>
      <c r="B172" s="186">
        <f t="shared" si="25"/>
        <v>2</v>
      </c>
      <c r="C172" s="187">
        <f t="shared" si="26"/>
        <v>0</v>
      </c>
      <c r="D172" s="186">
        <f t="shared" si="27"/>
        <v>0</v>
      </c>
      <c r="E172" s="187">
        <f t="shared" si="28"/>
        <v>5</v>
      </c>
      <c r="F172" s="186">
        <f t="shared" si="29"/>
        <v>0</v>
      </c>
      <c r="G172" s="187">
        <f t="shared" si="30"/>
        <v>1</v>
      </c>
      <c r="H172" s="186">
        <f t="shared" si="31"/>
        <v>0</v>
      </c>
      <c r="I172" s="187">
        <f t="shared" si="32"/>
        <v>0</v>
      </c>
      <c r="J172" s="186">
        <f t="shared" si="33"/>
        <v>0</v>
      </c>
      <c r="K172" s="187"/>
      <c r="L172" s="189">
        <f t="shared" si="35"/>
        <v>168</v>
      </c>
      <c r="M172" s="189">
        <f t="shared" si="34"/>
        <v>420</v>
      </c>
    </row>
    <row r="173" spans="1:13" ht="12.75" customHeight="1" x14ac:dyDescent="0.2">
      <c r="A173" s="191">
        <f t="shared" si="24"/>
        <v>457.5</v>
      </c>
      <c r="B173" s="186">
        <f t="shared" si="25"/>
        <v>2</v>
      </c>
      <c r="C173" s="187">
        <f t="shared" si="26"/>
        <v>0</v>
      </c>
      <c r="D173" s="186">
        <f t="shared" si="27"/>
        <v>0</v>
      </c>
      <c r="E173" s="187">
        <f t="shared" si="28"/>
        <v>5</v>
      </c>
      <c r="F173" s="186">
        <f t="shared" si="29"/>
        <v>0</v>
      </c>
      <c r="G173" s="187">
        <f t="shared" si="30"/>
        <v>1</v>
      </c>
      <c r="H173" s="186">
        <f t="shared" si="31"/>
        <v>0</v>
      </c>
      <c r="I173" s="187">
        <f t="shared" si="32"/>
        <v>0</v>
      </c>
      <c r="J173" s="186">
        <f t="shared" si="33"/>
        <v>1</v>
      </c>
      <c r="K173" s="187"/>
      <c r="L173" s="189">
        <f t="shared" si="35"/>
        <v>169</v>
      </c>
      <c r="M173" s="189">
        <f t="shared" si="34"/>
        <v>422.5</v>
      </c>
    </row>
    <row r="174" spans="1:13" ht="12.75" customHeight="1" x14ac:dyDescent="0.2">
      <c r="A174" s="191">
        <f t="shared" si="24"/>
        <v>460</v>
      </c>
      <c r="B174" s="186">
        <f t="shared" si="25"/>
        <v>2</v>
      </c>
      <c r="C174" s="187">
        <f t="shared" si="26"/>
        <v>0</v>
      </c>
      <c r="D174" s="186">
        <f t="shared" si="27"/>
        <v>0</v>
      </c>
      <c r="E174" s="187">
        <f t="shared" si="28"/>
        <v>5</v>
      </c>
      <c r="F174" s="186">
        <f t="shared" si="29"/>
        <v>0</v>
      </c>
      <c r="G174" s="187">
        <f t="shared" si="30"/>
        <v>1</v>
      </c>
      <c r="H174" s="186">
        <f t="shared" si="31"/>
        <v>0</v>
      </c>
      <c r="I174" s="187">
        <f t="shared" si="32"/>
        <v>1</v>
      </c>
      <c r="J174" s="186">
        <f t="shared" si="33"/>
        <v>0</v>
      </c>
      <c r="K174" s="187"/>
      <c r="L174" s="189">
        <f t="shared" si="35"/>
        <v>170</v>
      </c>
      <c r="M174" s="189">
        <f t="shared" si="34"/>
        <v>425</v>
      </c>
    </row>
    <row r="175" spans="1:13" ht="12.75" customHeight="1" x14ac:dyDescent="0.2">
      <c r="A175" s="191">
        <f t="shared" si="24"/>
        <v>462.5</v>
      </c>
      <c r="B175" s="186">
        <f t="shared" si="25"/>
        <v>2</v>
      </c>
      <c r="C175" s="187">
        <f t="shared" si="26"/>
        <v>0</v>
      </c>
      <c r="D175" s="186">
        <f t="shared" si="27"/>
        <v>0</v>
      </c>
      <c r="E175" s="187">
        <f t="shared" si="28"/>
        <v>5</v>
      </c>
      <c r="F175" s="186">
        <f t="shared" si="29"/>
        <v>0</v>
      </c>
      <c r="G175" s="187">
        <f t="shared" si="30"/>
        <v>1</v>
      </c>
      <c r="H175" s="186">
        <f t="shared" si="31"/>
        <v>0</v>
      </c>
      <c r="I175" s="187">
        <f t="shared" si="32"/>
        <v>1</v>
      </c>
      <c r="J175" s="186">
        <f t="shared" si="33"/>
        <v>1</v>
      </c>
      <c r="K175" s="187"/>
      <c r="L175" s="189">
        <f t="shared" si="35"/>
        <v>171</v>
      </c>
      <c r="M175" s="189">
        <f t="shared" si="34"/>
        <v>427.5</v>
      </c>
    </row>
    <row r="176" spans="1:13" ht="12.75" customHeight="1" x14ac:dyDescent="0.2">
      <c r="A176" s="191">
        <f t="shared" si="24"/>
        <v>465</v>
      </c>
      <c r="B176" s="186">
        <f t="shared" si="25"/>
        <v>2</v>
      </c>
      <c r="C176" s="187">
        <f t="shared" si="26"/>
        <v>0</v>
      </c>
      <c r="D176" s="186">
        <f t="shared" si="27"/>
        <v>0</v>
      </c>
      <c r="E176" s="187">
        <f t="shared" si="28"/>
        <v>5</v>
      </c>
      <c r="F176" s="186">
        <f t="shared" si="29"/>
        <v>1</v>
      </c>
      <c r="G176" s="187">
        <f t="shared" si="30"/>
        <v>0</v>
      </c>
      <c r="H176" s="186">
        <f t="shared" si="31"/>
        <v>0</v>
      </c>
      <c r="I176" s="187">
        <f t="shared" si="32"/>
        <v>0</v>
      </c>
      <c r="J176" s="186">
        <f t="shared" si="33"/>
        <v>0</v>
      </c>
      <c r="K176" s="187"/>
      <c r="L176" s="189">
        <f t="shared" si="35"/>
        <v>172</v>
      </c>
      <c r="M176" s="189">
        <f t="shared" si="34"/>
        <v>430</v>
      </c>
    </row>
    <row r="177" spans="1:13" ht="12.75" customHeight="1" x14ac:dyDescent="0.2">
      <c r="A177" s="191">
        <f t="shared" si="24"/>
        <v>467.5</v>
      </c>
      <c r="B177" s="186">
        <f t="shared" si="25"/>
        <v>2</v>
      </c>
      <c r="C177" s="187">
        <f t="shared" si="26"/>
        <v>0</v>
      </c>
      <c r="D177" s="186">
        <f t="shared" si="27"/>
        <v>0</v>
      </c>
      <c r="E177" s="187">
        <f t="shared" si="28"/>
        <v>5</v>
      </c>
      <c r="F177" s="186">
        <f t="shared" si="29"/>
        <v>1</v>
      </c>
      <c r="G177" s="187">
        <f t="shared" si="30"/>
        <v>0</v>
      </c>
      <c r="H177" s="186">
        <f t="shared" si="31"/>
        <v>0</v>
      </c>
      <c r="I177" s="187">
        <f t="shared" si="32"/>
        <v>0</v>
      </c>
      <c r="J177" s="186">
        <f t="shared" si="33"/>
        <v>1</v>
      </c>
      <c r="K177" s="187"/>
      <c r="L177" s="189">
        <f t="shared" si="35"/>
        <v>173</v>
      </c>
      <c r="M177" s="189">
        <f t="shared" si="34"/>
        <v>432.5</v>
      </c>
    </row>
    <row r="178" spans="1:13" ht="12.75" customHeight="1" x14ac:dyDescent="0.2">
      <c r="A178" s="191">
        <f t="shared" si="24"/>
        <v>470</v>
      </c>
      <c r="B178" s="186">
        <f t="shared" si="25"/>
        <v>2</v>
      </c>
      <c r="C178" s="187">
        <f t="shared" si="26"/>
        <v>0</v>
      </c>
      <c r="D178" s="186">
        <f t="shared" si="27"/>
        <v>0</v>
      </c>
      <c r="E178" s="187">
        <f t="shared" si="28"/>
        <v>5</v>
      </c>
      <c r="F178" s="186">
        <f t="shared" si="29"/>
        <v>1</v>
      </c>
      <c r="G178" s="187">
        <f t="shared" si="30"/>
        <v>0</v>
      </c>
      <c r="H178" s="186">
        <f t="shared" si="31"/>
        <v>0</v>
      </c>
      <c r="I178" s="187">
        <f t="shared" si="32"/>
        <v>1</v>
      </c>
      <c r="J178" s="186">
        <f t="shared" si="33"/>
        <v>0</v>
      </c>
      <c r="K178" s="187"/>
      <c r="L178" s="189">
        <f t="shared" si="35"/>
        <v>174</v>
      </c>
      <c r="M178" s="189">
        <f t="shared" si="34"/>
        <v>435</v>
      </c>
    </row>
    <row r="179" spans="1:13" ht="12.75" customHeight="1" x14ac:dyDescent="0.2">
      <c r="A179" s="191">
        <f t="shared" si="24"/>
        <v>472.5</v>
      </c>
      <c r="B179" s="186">
        <f t="shared" si="25"/>
        <v>2</v>
      </c>
      <c r="C179" s="187">
        <f t="shared" si="26"/>
        <v>0</v>
      </c>
      <c r="D179" s="186">
        <f t="shared" si="27"/>
        <v>0</v>
      </c>
      <c r="E179" s="187">
        <f t="shared" si="28"/>
        <v>5</v>
      </c>
      <c r="F179" s="186">
        <f t="shared" si="29"/>
        <v>1</v>
      </c>
      <c r="G179" s="187">
        <f t="shared" si="30"/>
        <v>0</v>
      </c>
      <c r="H179" s="186">
        <f t="shared" si="31"/>
        <v>0</v>
      </c>
      <c r="I179" s="187">
        <f t="shared" si="32"/>
        <v>1</v>
      </c>
      <c r="J179" s="186">
        <f t="shared" si="33"/>
        <v>1</v>
      </c>
      <c r="K179" s="187"/>
      <c r="L179" s="189">
        <f t="shared" si="35"/>
        <v>175</v>
      </c>
      <c r="M179" s="189">
        <f t="shared" si="34"/>
        <v>437.5</v>
      </c>
    </row>
    <row r="180" spans="1:13" ht="12.75" customHeight="1" x14ac:dyDescent="0.2">
      <c r="A180" s="191">
        <f t="shared" si="24"/>
        <v>475</v>
      </c>
      <c r="B180" s="186">
        <f t="shared" si="25"/>
        <v>2</v>
      </c>
      <c r="C180" s="187">
        <f t="shared" si="26"/>
        <v>0</v>
      </c>
      <c r="D180" s="186">
        <f t="shared" si="27"/>
        <v>0</v>
      </c>
      <c r="E180" s="187">
        <f t="shared" si="28"/>
        <v>6</v>
      </c>
      <c r="F180" s="186">
        <f t="shared" si="29"/>
        <v>0</v>
      </c>
      <c r="G180" s="187">
        <f t="shared" si="30"/>
        <v>0</v>
      </c>
      <c r="H180" s="186">
        <f t="shared" si="31"/>
        <v>0</v>
      </c>
      <c r="I180" s="187">
        <f t="shared" si="32"/>
        <v>0</v>
      </c>
      <c r="J180" s="186">
        <f t="shared" si="33"/>
        <v>0</v>
      </c>
      <c r="K180" s="187"/>
      <c r="L180" s="189">
        <f t="shared" si="35"/>
        <v>176</v>
      </c>
      <c r="M180" s="189">
        <f t="shared" si="34"/>
        <v>440</v>
      </c>
    </row>
    <row r="181" spans="1:13" ht="12.75" customHeight="1" x14ac:dyDescent="0.2">
      <c r="A181" s="191">
        <f t="shared" si="24"/>
        <v>477.5</v>
      </c>
      <c r="B181" s="186">
        <f t="shared" si="25"/>
        <v>2</v>
      </c>
      <c r="C181" s="187">
        <f t="shared" si="26"/>
        <v>0</v>
      </c>
      <c r="D181" s="186">
        <f t="shared" si="27"/>
        <v>0</v>
      </c>
      <c r="E181" s="187">
        <f t="shared" si="28"/>
        <v>6</v>
      </c>
      <c r="F181" s="186">
        <f t="shared" si="29"/>
        <v>0</v>
      </c>
      <c r="G181" s="187">
        <f t="shared" si="30"/>
        <v>0</v>
      </c>
      <c r="H181" s="186">
        <f t="shared" si="31"/>
        <v>0</v>
      </c>
      <c r="I181" s="187">
        <f t="shared" si="32"/>
        <v>0</v>
      </c>
      <c r="J181" s="186">
        <f t="shared" si="33"/>
        <v>1</v>
      </c>
      <c r="K181" s="187"/>
      <c r="L181" s="189">
        <f t="shared" si="35"/>
        <v>177</v>
      </c>
      <c r="M181" s="189">
        <f t="shared" si="34"/>
        <v>442.5</v>
      </c>
    </row>
    <row r="182" spans="1:13" ht="12.75" customHeight="1" x14ac:dyDescent="0.2">
      <c r="A182" s="191">
        <f t="shared" si="24"/>
        <v>480</v>
      </c>
      <c r="B182" s="186">
        <f t="shared" si="25"/>
        <v>2</v>
      </c>
      <c r="C182" s="187">
        <f t="shared" si="26"/>
        <v>0</v>
      </c>
      <c r="D182" s="186">
        <f t="shared" si="27"/>
        <v>0</v>
      </c>
      <c r="E182" s="187">
        <f t="shared" si="28"/>
        <v>6</v>
      </c>
      <c r="F182" s="186">
        <f t="shared" si="29"/>
        <v>0</v>
      </c>
      <c r="G182" s="187">
        <f t="shared" si="30"/>
        <v>0</v>
      </c>
      <c r="H182" s="186">
        <f t="shared" si="31"/>
        <v>0</v>
      </c>
      <c r="I182" s="187">
        <f t="shared" si="32"/>
        <v>1</v>
      </c>
      <c r="J182" s="186">
        <f t="shared" si="33"/>
        <v>0</v>
      </c>
      <c r="K182" s="187"/>
      <c r="L182" s="189">
        <f t="shared" si="35"/>
        <v>178</v>
      </c>
      <c r="M182" s="189">
        <f t="shared" si="34"/>
        <v>445</v>
      </c>
    </row>
    <row r="183" spans="1:13" ht="12.75" customHeight="1" x14ac:dyDescent="0.2">
      <c r="A183" s="191">
        <f t="shared" si="24"/>
        <v>482.5</v>
      </c>
      <c r="B183" s="186">
        <f t="shared" si="25"/>
        <v>2</v>
      </c>
      <c r="C183" s="187">
        <f t="shared" si="26"/>
        <v>0</v>
      </c>
      <c r="D183" s="186">
        <f t="shared" si="27"/>
        <v>0</v>
      </c>
      <c r="E183" s="187">
        <f t="shared" si="28"/>
        <v>6</v>
      </c>
      <c r="F183" s="186">
        <f t="shared" si="29"/>
        <v>0</v>
      </c>
      <c r="G183" s="187">
        <f t="shared" si="30"/>
        <v>0</v>
      </c>
      <c r="H183" s="186">
        <f t="shared" si="31"/>
        <v>0</v>
      </c>
      <c r="I183" s="187">
        <f t="shared" si="32"/>
        <v>1</v>
      </c>
      <c r="J183" s="186">
        <f t="shared" si="33"/>
        <v>1</v>
      </c>
      <c r="K183" s="187"/>
      <c r="L183" s="189">
        <f t="shared" si="35"/>
        <v>179</v>
      </c>
      <c r="M183" s="189">
        <f t="shared" si="34"/>
        <v>447.5</v>
      </c>
    </row>
    <row r="184" spans="1:13" ht="12.75" customHeight="1" x14ac:dyDescent="0.2">
      <c r="A184" s="191">
        <f t="shared" si="24"/>
        <v>485</v>
      </c>
      <c r="B184" s="186">
        <f t="shared" si="25"/>
        <v>2</v>
      </c>
      <c r="C184" s="187">
        <f t="shared" si="26"/>
        <v>0</v>
      </c>
      <c r="D184" s="186">
        <f t="shared" si="27"/>
        <v>0</v>
      </c>
      <c r="E184" s="187">
        <f t="shared" si="28"/>
        <v>6</v>
      </c>
      <c r="F184" s="186">
        <f t="shared" si="29"/>
        <v>0</v>
      </c>
      <c r="G184" s="187">
        <f t="shared" si="30"/>
        <v>0</v>
      </c>
      <c r="H184" s="186">
        <f t="shared" si="31"/>
        <v>1</v>
      </c>
      <c r="I184" s="187">
        <f t="shared" si="32"/>
        <v>0</v>
      </c>
      <c r="J184" s="186">
        <f t="shared" si="33"/>
        <v>0</v>
      </c>
      <c r="K184" s="187"/>
      <c r="L184" s="189">
        <f t="shared" si="35"/>
        <v>180</v>
      </c>
      <c r="M184" s="189">
        <f t="shared" si="34"/>
        <v>450</v>
      </c>
    </row>
    <row r="185" spans="1:13" ht="12.75" customHeight="1" x14ac:dyDescent="0.2">
      <c r="A185" s="191">
        <f t="shared" si="24"/>
        <v>487.5</v>
      </c>
      <c r="B185" s="186">
        <f t="shared" si="25"/>
        <v>2</v>
      </c>
      <c r="C185" s="187">
        <f t="shared" si="26"/>
        <v>0</v>
      </c>
      <c r="D185" s="186">
        <f t="shared" si="27"/>
        <v>0</v>
      </c>
      <c r="E185" s="187">
        <f t="shared" si="28"/>
        <v>6</v>
      </c>
      <c r="F185" s="186">
        <f t="shared" si="29"/>
        <v>0</v>
      </c>
      <c r="G185" s="187">
        <f t="shared" si="30"/>
        <v>0</v>
      </c>
      <c r="H185" s="186">
        <f t="shared" si="31"/>
        <v>1</v>
      </c>
      <c r="I185" s="187">
        <f t="shared" si="32"/>
        <v>0</v>
      </c>
      <c r="J185" s="186">
        <f t="shared" si="33"/>
        <v>1</v>
      </c>
      <c r="K185" s="187"/>
      <c r="L185" s="189">
        <f t="shared" si="35"/>
        <v>181</v>
      </c>
      <c r="M185" s="189">
        <f t="shared" si="34"/>
        <v>452.5</v>
      </c>
    </row>
    <row r="186" spans="1:13" ht="12.75" customHeight="1" x14ac:dyDescent="0.2">
      <c r="A186" s="191">
        <f t="shared" si="24"/>
        <v>490</v>
      </c>
      <c r="B186" s="186">
        <f t="shared" si="25"/>
        <v>2</v>
      </c>
      <c r="C186" s="187">
        <f t="shared" si="26"/>
        <v>0</v>
      </c>
      <c r="D186" s="186">
        <f t="shared" si="27"/>
        <v>0</v>
      </c>
      <c r="E186" s="187">
        <f t="shared" si="28"/>
        <v>6</v>
      </c>
      <c r="F186" s="186">
        <f t="shared" si="29"/>
        <v>0</v>
      </c>
      <c r="G186" s="187">
        <f t="shared" si="30"/>
        <v>0</v>
      </c>
      <c r="H186" s="186">
        <f t="shared" si="31"/>
        <v>1</v>
      </c>
      <c r="I186" s="187">
        <f t="shared" si="32"/>
        <v>1</v>
      </c>
      <c r="J186" s="186">
        <f t="shared" si="33"/>
        <v>0</v>
      </c>
      <c r="K186" s="187"/>
      <c r="L186" s="189">
        <f t="shared" si="35"/>
        <v>182</v>
      </c>
      <c r="M186" s="189">
        <f t="shared" si="34"/>
        <v>455</v>
      </c>
    </row>
    <row r="187" spans="1:13" ht="12.75" customHeight="1" x14ac:dyDescent="0.2">
      <c r="A187" s="191">
        <f t="shared" si="24"/>
        <v>492.5</v>
      </c>
      <c r="B187" s="186">
        <f t="shared" si="25"/>
        <v>2</v>
      </c>
      <c r="C187" s="187">
        <f t="shared" si="26"/>
        <v>0</v>
      </c>
      <c r="D187" s="186">
        <f t="shared" si="27"/>
        <v>0</v>
      </c>
      <c r="E187" s="187">
        <f t="shared" si="28"/>
        <v>6</v>
      </c>
      <c r="F187" s="186">
        <f t="shared" si="29"/>
        <v>0</v>
      </c>
      <c r="G187" s="187">
        <f t="shared" si="30"/>
        <v>0</v>
      </c>
      <c r="H187" s="186">
        <f t="shared" si="31"/>
        <v>1</v>
      </c>
      <c r="I187" s="187">
        <f t="shared" si="32"/>
        <v>1</v>
      </c>
      <c r="J187" s="186">
        <f t="shared" si="33"/>
        <v>1</v>
      </c>
      <c r="K187" s="187"/>
      <c r="L187" s="189">
        <f t="shared" si="35"/>
        <v>183</v>
      </c>
      <c r="M187" s="189">
        <f t="shared" si="34"/>
        <v>457.5</v>
      </c>
    </row>
    <row r="188" spans="1:13" ht="12.75" customHeight="1" x14ac:dyDescent="0.2">
      <c r="A188" s="191">
        <f t="shared" si="24"/>
        <v>495</v>
      </c>
      <c r="B188" s="186">
        <f t="shared" si="25"/>
        <v>2</v>
      </c>
      <c r="C188" s="187">
        <f t="shared" si="26"/>
        <v>0</v>
      </c>
      <c r="D188" s="186">
        <f t="shared" si="27"/>
        <v>0</v>
      </c>
      <c r="E188" s="187">
        <f t="shared" si="28"/>
        <v>6</v>
      </c>
      <c r="F188" s="186">
        <f t="shared" si="29"/>
        <v>0</v>
      </c>
      <c r="G188" s="187">
        <f t="shared" si="30"/>
        <v>1</v>
      </c>
      <c r="H188" s="186">
        <f t="shared" si="31"/>
        <v>0</v>
      </c>
      <c r="I188" s="187">
        <f t="shared" si="32"/>
        <v>0</v>
      </c>
      <c r="J188" s="186">
        <f t="shared" si="33"/>
        <v>0</v>
      </c>
      <c r="K188" s="187"/>
      <c r="L188" s="189">
        <f t="shared" si="35"/>
        <v>184</v>
      </c>
      <c r="M188" s="189">
        <f t="shared" si="34"/>
        <v>460</v>
      </c>
    </row>
    <row r="189" spans="1:13" ht="12.75" customHeight="1" x14ac:dyDescent="0.2">
      <c r="A189" s="191">
        <f t="shared" si="24"/>
        <v>497.5</v>
      </c>
      <c r="B189" s="186">
        <f t="shared" si="25"/>
        <v>2</v>
      </c>
      <c r="C189" s="187">
        <f t="shared" si="26"/>
        <v>0</v>
      </c>
      <c r="D189" s="186">
        <f t="shared" si="27"/>
        <v>0</v>
      </c>
      <c r="E189" s="187">
        <f t="shared" si="28"/>
        <v>6</v>
      </c>
      <c r="F189" s="186">
        <f t="shared" si="29"/>
        <v>0</v>
      </c>
      <c r="G189" s="187">
        <f t="shared" si="30"/>
        <v>1</v>
      </c>
      <c r="H189" s="186">
        <f t="shared" si="31"/>
        <v>0</v>
      </c>
      <c r="I189" s="187">
        <f t="shared" si="32"/>
        <v>0</v>
      </c>
      <c r="J189" s="186">
        <f t="shared" si="33"/>
        <v>1</v>
      </c>
      <c r="K189" s="187"/>
      <c r="L189" s="189">
        <f t="shared" si="35"/>
        <v>185</v>
      </c>
      <c r="M189" s="189">
        <f t="shared" si="34"/>
        <v>462.5</v>
      </c>
    </row>
    <row r="190" spans="1:13" ht="12.75" customHeight="1" x14ac:dyDescent="0.2">
      <c r="A190" s="191">
        <f t="shared" si="24"/>
        <v>500</v>
      </c>
      <c r="B190" s="186">
        <f t="shared" si="25"/>
        <v>2</v>
      </c>
      <c r="C190" s="187">
        <f t="shared" si="26"/>
        <v>0</v>
      </c>
      <c r="D190" s="186">
        <f t="shared" si="27"/>
        <v>0</v>
      </c>
      <c r="E190" s="187">
        <f t="shared" si="28"/>
        <v>6</v>
      </c>
      <c r="F190" s="186">
        <f t="shared" si="29"/>
        <v>0</v>
      </c>
      <c r="G190" s="187">
        <f t="shared" si="30"/>
        <v>1</v>
      </c>
      <c r="H190" s="186">
        <f t="shared" si="31"/>
        <v>0</v>
      </c>
      <c r="I190" s="187">
        <f t="shared" si="32"/>
        <v>1</v>
      </c>
      <c r="J190" s="186">
        <f t="shared" si="33"/>
        <v>0</v>
      </c>
      <c r="K190" s="187"/>
      <c r="L190" s="189">
        <f t="shared" si="35"/>
        <v>186</v>
      </c>
      <c r="M190" s="189">
        <f t="shared" si="34"/>
        <v>465</v>
      </c>
    </row>
    <row r="191" spans="1:13" ht="12.75" customHeight="1" x14ac:dyDescent="0.2">
      <c r="A191" s="191">
        <f t="shared" si="24"/>
        <v>502.5</v>
      </c>
      <c r="B191" s="186">
        <f t="shared" si="25"/>
        <v>2</v>
      </c>
      <c r="C191" s="187">
        <f t="shared" si="26"/>
        <v>0</v>
      </c>
      <c r="D191" s="186">
        <f t="shared" si="27"/>
        <v>0</v>
      </c>
      <c r="E191" s="187">
        <f t="shared" si="28"/>
        <v>6</v>
      </c>
      <c r="F191" s="186">
        <f t="shared" si="29"/>
        <v>0</v>
      </c>
      <c r="G191" s="187">
        <f t="shared" si="30"/>
        <v>1</v>
      </c>
      <c r="H191" s="186">
        <f t="shared" si="31"/>
        <v>0</v>
      </c>
      <c r="I191" s="187">
        <f t="shared" si="32"/>
        <v>1</v>
      </c>
      <c r="J191" s="186">
        <f t="shared" si="33"/>
        <v>1</v>
      </c>
      <c r="K191" s="187"/>
      <c r="L191" s="189">
        <f t="shared" si="35"/>
        <v>187</v>
      </c>
      <c r="M191" s="189">
        <f t="shared" si="34"/>
        <v>467.5</v>
      </c>
    </row>
    <row r="192" spans="1:13" ht="12.75" customHeight="1" x14ac:dyDescent="0.2">
      <c r="A192" s="191">
        <f t="shared" si="24"/>
        <v>505</v>
      </c>
      <c r="B192" s="186">
        <f t="shared" si="25"/>
        <v>2</v>
      </c>
      <c r="C192" s="187">
        <f t="shared" si="26"/>
        <v>0</v>
      </c>
      <c r="D192" s="186">
        <f t="shared" si="27"/>
        <v>0</v>
      </c>
      <c r="E192" s="187">
        <f t="shared" si="28"/>
        <v>6</v>
      </c>
      <c r="F192" s="186">
        <f t="shared" si="29"/>
        <v>1</v>
      </c>
      <c r="G192" s="187">
        <f t="shared" si="30"/>
        <v>0</v>
      </c>
      <c r="H192" s="186">
        <f t="shared" si="31"/>
        <v>0</v>
      </c>
      <c r="I192" s="187">
        <f t="shared" si="32"/>
        <v>0</v>
      </c>
      <c r="J192" s="186">
        <f t="shared" si="33"/>
        <v>0</v>
      </c>
      <c r="K192" s="187"/>
      <c r="L192" s="189">
        <f t="shared" si="35"/>
        <v>188</v>
      </c>
      <c r="M192" s="189">
        <f t="shared" si="34"/>
        <v>470</v>
      </c>
    </row>
    <row r="193" spans="1:13" ht="12.75" customHeight="1" x14ac:dyDescent="0.2">
      <c r="A193" s="191">
        <f t="shared" si="24"/>
        <v>507.5</v>
      </c>
      <c r="B193" s="186">
        <f t="shared" si="25"/>
        <v>2</v>
      </c>
      <c r="C193" s="187">
        <f t="shared" si="26"/>
        <v>0</v>
      </c>
      <c r="D193" s="186">
        <f t="shared" si="27"/>
        <v>0</v>
      </c>
      <c r="E193" s="187">
        <f t="shared" si="28"/>
        <v>6</v>
      </c>
      <c r="F193" s="186">
        <f t="shared" si="29"/>
        <v>1</v>
      </c>
      <c r="G193" s="187">
        <f t="shared" si="30"/>
        <v>0</v>
      </c>
      <c r="H193" s="186">
        <f t="shared" si="31"/>
        <v>0</v>
      </c>
      <c r="I193" s="187">
        <f t="shared" si="32"/>
        <v>0</v>
      </c>
      <c r="J193" s="186">
        <f t="shared" si="33"/>
        <v>1</v>
      </c>
      <c r="K193" s="187"/>
      <c r="L193" s="189">
        <f t="shared" si="35"/>
        <v>189</v>
      </c>
      <c r="M193" s="189">
        <f t="shared" si="34"/>
        <v>472.5</v>
      </c>
    </row>
    <row r="194" spans="1:13" ht="12.75" customHeight="1" x14ac:dyDescent="0.2">
      <c r="A194" s="191">
        <f t="shared" si="24"/>
        <v>510</v>
      </c>
      <c r="B194" s="186">
        <f t="shared" si="25"/>
        <v>2</v>
      </c>
      <c r="C194" s="187">
        <f t="shared" si="26"/>
        <v>0</v>
      </c>
      <c r="D194" s="186">
        <f t="shared" si="27"/>
        <v>0</v>
      </c>
      <c r="E194" s="187">
        <f t="shared" si="28"/>
        <v>6</v>
      </c>
      <c r="F194" s="186">
        <f t="shared" si="29"/>
        <v>1</v>
      </c>
      <c r="G194" s="187">
        <f t="shared" si="30"/>
        <v>0</v>
      </c>
      <c r="H194" s="186">
        <f t="shared" si="31"/>
        <v>0</v>
      </c>
      <c r="I194" s="187">
        <f t="shared" si="32"/>
        <v>1</v>
      </c>
      <c r="J194" s="186">
        <f t="shared" si="33"/>
        <v>0</v>
      </c>
      <c r="K194" s="187"/>
      <c r="L194" s="189">
        <f t="shared" si="35"/>
        <v>190</v>
      </c>
      <c r="M194" s="189">
        <f t="shared" si="34"/>
        <v>475</v>
      </c>
    </row>
    <row r="195" spans="1:13" ht="12.75" customHeight="1" x14ac:dyDescent="0.2">
      <c r="A195" s="191">
        <f t="shared" si="24"/>
        <v>512.5</v>
      </c>
      <c r="B195" s="186">
        <f t="shared" si="25"/>
        <v>2</v>
      </c>
      <c r="C195" s="187">
        <f t="shared" si="26"/>
        <v>0</v>
      </c>
      <c r="D195" s="186">
        <f t="shared" si="27"/>
        <v>0</v>
      </c>
      <c r="E195" s="187">
        <f t="shared" si="28"/>
        <v>6</v>
      </c>
      <c r="F195" s="186">
        <f t="shared" si="29"/>
        <v>1</v>
      </c>
      <c r="G195" s="187">
        <f t="shared" si="30"/>
        <v>0</v>
      </c>
      <c r="H195" s="186">
        <f t="shared" si="31"/>
        <v>0</v>
      </c>
      <c r="I195" s="187">
        <f t="shared" si="32"/>
        <v>1</v>
      </c>
      <c r="J195" s="186">
        <f t="shared" si="33"/>
        <v>1</v>
      </c>
      <c r="K195" s="187"/>
      <c r="L195" s="189">
        <f t="shared" si="35"/>
        <v>191</v>
      </c>
      <c r="M195" s="189">
        <f t="shared" si="34"/>
        <v>477.5</v>
      </c>
    </row>
    <row r="196" spans="1:13" ht="12.75" customHeight="1" x14ac:dyDescent="0.2">
      <c r="A196" s="191">
        <f t="shared" si="24"/>
        <v>515</v>
      </c>
      <c r="B196" s="186">
        <f t="shared" si="25"/>
        <v>2</v>
      </c>
      <c r="C196" s="187">
        <f t="shared" si="26"/>
        <v>0</v>
      </c>
      <c r="D196" s="186">
        <f t="shared" si="27"/>
        <v>0</v>
      </c>
      <c r="E196" s="187">
        <f t="shared" si="28"/>
        <v>7</v>
      </c>
      <c r="F196" s="186">
        <f t="shared" si="29"/>
        <v>0</v>
      </c>
      <c r="G196" s="187">
        <f t="shared" si="30"/>
        <v>0</v>
      </c>
      <c r="H196" s="186">
        <f t="shared" si="31"/>
        <v>0</v>
      </c>
      <c r="I196" s="187">
        <f t="shared" si="32"/>
        <v>0</v>
      </c>
      <c r="J196" s="186">
        <f t="shared" si="33"/>
        <v>0</v>
      </c>
      <c r="K196" s="187"/>
      <c r="L196" s="189">
        <f t="shared" si="35"/>
        <v>192</v>
      </c>
      <c r="M196" s="189">
        <f t="shared" si="34"/>
        <v>480</v>
      </c>
    </row>
    <row r="197" spans="1:13" ht="12.75" customHeight="1" x14ac:dyDescent="0.2">
      <c r="A197" s="191">
        <f t="shared" ref="A197:A260" si="36">IF(M197+$K$2&gt;$L$1,0,M197+$K$2)</f>
        <v>517.5</v>
      </c>
      <c r="B197" s="186">
        <f t="shared" ref="B197:B260" si="37">IF(A197=0,0,MIN($B$1/2,INT(M197/(2*$B$2))))</f>
        <v>2</v>
      </c>
      <c r="C197" s="187">
        <f t="shared" ref="C197:C260" si="38">IF(A197=0,0,MIN($C$1/2,INT(($M197-2*$B197*$B$2)/(2*$C$2))))</f>
        <v>0</v>
      </c>
      <c r="D197" s="186">
        <f t="shared" ref="D197:D260" si="39">IF(A197=0,0,MIN($D$1/2,INT(($M197-2*$B197*$B$2-2*$C197*$C$2)/(2*$D$2))))</f>
        <v>0</v>
      </c>
      <c r="E197" s="187">
        <f t="shared" ref="E197:E260" si="40">IF(A197=0,0,MIN($E$1/2,INT(($M197-2*$B197*$B$2-2*$C197*$C$2-2*$D197*$D$2)/(2*$E$2))))</f>
        <v>7</v>
      </c>
      <c r="F197" s="186">
        <f t="shared" ref="F197:F260" si="41">IF(A197=0,0,MIN($F$1/2,INT(($M197-2*$B197*$B$2-2*$C197*$C$2-2*$D197*$D$2-2*$E197*$E$2)/(2*$F$2))))</f>
        <v>0</v>
      </c>
      <c r="G197" s="187">
        <f t="shared" ref="G197:G260" si="42">IF(A197=0,0,MIN($G$1/2,INT(($M197-2*$B197*$B$2-2*$C197*$C$2-2*$D197*$D$2-2*$E197*$E$2-2*$F197*$F$2)/(2*$G$2))))</f>
        <v>0</v>
      </c>
      <c r="H197" s="186">
        <f t="shared" ref="H197:H260" si="43">IF(A197=0,0,MIN($H$1/2,INT(($M197-2*$B197*$B$2-2*$C197*$C$2-2*$D197*$D$2-2*$E197*$E$2-2*$F197*$F$2-2*$G197*$G$2)/(2*$H$2))))</f>
        <v>0</v>
      </c>
      <c r="I197" s="187">
        <f t="shared" ref="I197:I260" si="44">IF(A197=0,0,MIN($I$1/2,INT(($M197-2*$B197*$B$2-2*$C197*$C$2-2*$D197*$D$2-2*$E197*$E$2-2*$F197*$F$2-2*$G197*$G$2-2*$H197*$H$2)/(2*$I$2))))</f>
        <v>0</v>
      </c>
      <c r="J197" s="186">
        <f t="shared" ref="J197:J260" si="45">IF(A197=0,0,MIN($J$1/2,INT(($M197-2*$B197*$B$2-2*$C197*$C$2-2*$D197*$D$2-2*$E197*$E$2-2*$F197*$F$2-2*$G197*$G$2-2*$H197*$H$2-2*$I197*$I$2)/(2*$J$2))))</f>
        <v>1</v>
      </c>
      <c r="K197" s="187"/>
      <c r="L197" s="189">
        <f t="shared" si="35"/>
        <v>193</v>
      </c>
      <c r="M197" s="189">
        <f t="shared" ref="M197:M260" si="46">IF($A$2="Pounds",5*L197,2.5*L197)</f>
        <v>482.5</v>
      </c>
    </row>
    <row r="198" spans="1:13" ht="12.75" customHeight="1" x14ac:dyDescent="0.2">
      <c r="A198" s="191">
        <f t="shared" si="36"/>
        <v>520</v>
      </c>
      <c r="B198" s="186">
        <f t="shared" si="37"/>
        <v>2</v>
      </c>
      <c r="C198" s="187">
        <f t="shared" si="38"/>
        <v>0</v>
      </c>
      <c r="D198" s="186">
        <f t="shared" si="39"/>
        <v>0</v>
      </c>
      <c r="E198" s="187">
        <f t="shared" si="40"/>
        <v>7</v>
      </c>
      <c r="F198" s="186">
        <f t="shared" si="41"/>
        <v>0</v>
      </c>
      <c r="G198" s="187">
        <f t="shared" si="42"/>
        <v>0</v>
      </c>
      <c r="H198" s="186">
        <f t="shared" si="43"/>
        <v>0</v>
      </c>
      <c r="I198" s="187">
        <f t="shared" si="44"/>
        <v>1</v>
      </c>
      <c r="J198" s="186">
        <f t="shared" si="45"/>
        <v>0</v>
      </c>
      <c r="K198" s="187"/>
      <c r="L198" s="189">
        <f t="shared" si="35"/>
        <v>194</v>
      </c>
      <c r="M198" s="189">
        <f t="shared" si="46"/>
        <v>485</v>
      </c>
    </row>
    <row r="199" spans="1:13" ht="12.75" customHeight="1" x14ac:dyDescent="0.2">
      <c r="A199" s="191">
        <f t="shared" si="36"/>
        <v>522.5</v>
      </c>
      <c r="B199" s="186">
        <f t="shared" si="37"/>
        <v>2</v>
      </c>
      <c r="C199" s="187">
        <f t="shared" si="38"/>
        <v>0</v>
      </c>
      <c r="D199" s="186">
        <f t="shared" si="39"/>
        <v>0</v>
      </c>
      <c r="E199" s="187">
        <f t="shared" si="40"/>
        <v>7</v>
      </c>
      <c r="F199" s="186">
        <f t="shared" si="41"/>
        <v>0</v>
      </c>
      <c r="G199" s="187">
        <f t="shared" si="42"/>
        <v>0</v>
      </c>
      <c r="H199" s="186">
        <f t="shared" si="43"/>
        <v>0</v>
      </c>
      <c r="I199" s="187">
        <f t="shared" si="44"/>
        <v>1</v>
      </c>
      <c r="J199" s="186">
        <f t="shared" si="45"/>
        <v>1</v>
      </c>
      <c r="K199" s="187"/>
      <c r="L199" s="189">
        <f t="shared" si="35"/>
        <v>195</v>
      </c>
      <c r="M199" s="189">
        <f t="shared" si="46"/>
        <v>487.5</v>
      </c>
    </row>
    <row r="200" spans="1:13" ht="12.75" customHeight="1" x14ac:dyDescent="0.2">
      <c r="A200" s="191">
        <f t="shared" si="36"/>
        <v>525</v>
      </c>
      <c r="B200" s="186">
        <f t="shared" si="37"/>
        <v>2</v>
      </c>
      <c r="C200" s="187">
        <f t="shared" si="38"/>
        <v>0</v>
      </c>
      <c r="D200" s="186">
        <f t="shared" si="39"/>
        <v>0</v>
      </c>
      <c r="E200" s="187">
        <f t="shared" si="40"/>
        <v>7</v>
      </c>
      <c r="F200" s="186">
        <f t="shared" si="41"/>
        <v>0</v>
      </c>
      <c r="G200" s="187">
        <f t="shared" si="42"/>
        <v>0</v>
      </c>
      <c r="H200" s="186">
        <f t="shared" si="43"/>
        <v>1</v>
      </c>
      <c r="I200" s="187">
        <f t="shared" si="44"/>
        <v>0</v>
      </c>
      <c r="J200" s="186">
        <f t="shared" si="45"/>
        <v>0</v>
      </c>
      <c r="K200" s="187"/>
      <c r="L200" s="189">
        <f t="shared" si="35"/>
        <v>196</v>
      </c>
      <c r="M200" s="189">
        <f t="shared" si="46"/>
        <v>490</v>
      </c>
    </row>
    <row r="201" spans="1:13" ht="12.75" customHeight="1" x14ac:dyDescent="0.2">
      <c r="A201" s="191">
        <f t="shared" si="36"/>
        <v>527.5</v>
      </c>
      <c r="B201" s="186">
        <f t="shared" si="37"/>
        <v>2</v>
      </c>
      <c r="C201" s="187">
        <f t="shared" si="38"/>
        <v>0</v>
      </c>
      <c r="D201" s="186">
        <f t="shared" si="39"/>
        <v>0</v>
      </c>
      <c r="E201" s="187">
        <f t="shared" si="40"/>
        <v>7</v>
      </c>
      <c r="F201" s="186">
        <f t="shared" si="41"/>
        <v>0</v>
      </c>
      <c r="G201" s="187">
        <f t="shared" si="42"/>
        <v>0</v>
      </c>
      <c r="H201" s="186">
        <f t="shared" si="43"/>
        <v>1</v>
      </c>
      <c r="I201" s="187">
        <f t="shared" si="44"/>
        <v>0</v>
      </c>
      <c r="J201" s="186">
        <f t="shared" si="45"/>
        <v>1</v>
      </c>
      <c r="K201" s="187"/>
      <c r="L201" s="189">
        <f t="shared" si="35"/>
        <v>197</v>
      </c>
      <c r="M201" s="189">
        <f t="shared" si="46"/>
        <v>492.5</v>
      </c>
    </row>
    <row r="202" spans="1:13" ht="12.75" customHeight="1" x14ac:dyDescent="0.2">
      <c r="A202" s="191">
        <f t="shared" si="36"/>
        <v>530</v>
      </c>
      <c r="B202" s="186">
        <f t="shared" si="37"/>
        <v>2</v>
      </c>
      <c r="C202" s="187">
        <f t="shared" si="38"/>
        <v>0</v>
      </c>
      <c r="D202" s="186">
        <f t="shared" si="39"/>
        <v>0</v>
      </c>
      <c r="E202" s="187">
        <f t="shared" si="40"/>
        <v>7</v>
      </c>
      <c r="F202" s="186">
        <f t="shared" si="41"/>
        <v>0</v>
      </c>
      <c r="G202" s="187">
        <f t="shared" si="42"/>
        <v>0</v>
      </c>
      <c r="H202" s="186">
        <f t="shared" si="43"/>
        <v>1</v>
      </c>
      <c r="I202" s="187">
        <f t="shared" si="44"/>
        <v>1</v>
      </c>
      <c r="J202" s="186">
        <f t="shared" si="45"/>
        <v>0</v>
      </c>
      <c r="K202" s="187"/>
      <c r="L202" s="189">
        <f t="shared" si="35"/>
        <v>198</v>
      </c>
      <c r="M202" s="189">
        <f t="shared" si="46"/>
        <v>495</v>
      </c>
    </row>
    <row r="203" spans="1:13" ht="12.75" customHeight="1" x14ac:dyDescent="0.2">
      <c r="A203" s="191">
        <f t="shared" si="36"/>
        <v>532.5</v>
      </c>
      <c r="B203" s="186">
        <f t="shared" si="37"/>
        <v>2</v>
      </c>
      <c r="C203" s="187">
        <f t="shared" si="38"/>
        <v>0</v>
      </c>
      <c r="D203" s="186">
        <f t="shared" si="39"/>
        <v>0</v>
      </c>
      <c r="E203" s="187">
        <f t="shared" si="40"/>
        <v>7</v>
      </c>
      <c r="F203" s="186">
        <f t="shared" si="41"/>
        <v>0</v>
      </c>
      <c r="G203" s="187">
        <f t="shared" si="42"/>
        <v>0</v>
      </c>
      <c r="H203" s="186">
        <f t="shared" si="43"/>
        <v>1</v>
      </c>
      <c r="I203" s="187">
        <f t="shared" si="44"/>
        <v>1</v>
      </c>
      <c r="J203" s="186">
        <f t="shared" si="45"/>
        <v>1</v>
      </c>
      <c r="K203" s="187"/>
      <c r="L203" s="189">
        <f t="shared" si="35"/>
        <v>199</v>
      </c>
      <c r="M203" s="189">
        <f t="shared" si="46"/>
        <v>497.5</v>
      </c>
    </row>
    <row r="204" spans="1:13" ht="12.75" customHeight="1" x14ac:dyDescent="0.2">
      <c r="A204" s="191">
        <f t="shared" si="36"/>
        <v>535</v>
      </c>
      <c r="B204" s="186">
        <f t="shared" si="37"/>
        <v>2</v>
      </c>
      <c r="C204" s="187">
        <f t="shared" si="38"/>
        <v>0</v>
      </c>
      <c r="D204" s="186">
        <f t="shared" si="39"/>
        <v>0</v>
      </c>
      <c r="E204" s="187">
        <f t="shared" si="40"/>
        <v>7</v>
      </c>
      <c r="F204" s="186">
        <f t="shared" si="41"/>
        <v>0</v>
      </c>
      <c r="G204" s="187">
        <f t="shared" si="42"/>
        <v>1</v>
      </c>
      <c r="H204" s="186">
        <f t="shared" si="43"/>
        <v>0</v>
      </c>
      <c r="I204" s="187">
        <f t="shared" si="44"/>
        <v>0</v>
      </c>
      <c r="J204" s="186">
        <f t="shared" si="45"/>
        <v>0</v>
      </c>
      <c r="K204" s="187"/>
      <c r="L204" s="189">
        <f t="shared" si="35"/>
        <v>200</v>
      </c>
      <c r="M204" s="189">
        <f t="shared" si="46"/>
        <v>500</v>
      </c>
    </row>
    <row r="205" spans="1:13" ht="12.75" customHeight="1" x14ac:dyDescent="0.2">
      <c r="A205" s="191">
        <f t="shared" si="36"/>
        <v>537.5</v>
      </c>
      <c r="B205" s="186">
        <f t="shared" si="37"/>
        <v>2</v>
      </c>
      <c r="C205" s="187">
        <f t="shared" si="38"/>
        <v>0</v>
      </c>
      <c r="D205" s="186">
        <f t="shared" si="39"/>
        <v>0</v>
      </c>
      <c r="E205" s="187">
        <f t="shared" si="40"/>
        <v>7</v>
      </c>
      <c r="F205" s="186">
        <f t="shared" si="41"/>
        <v>0</v>
      </c>
      <c r="G205" s="187">
        <f t="shared" si="42"/>
        <v>1</v>
      </c>
      <c r="H205" s="186">
        <f t="shared" si="43"/>
        <v>0</v>
      </c>
      <c r="I205" s="187">
        <f t="shared" si="44"/>
        <v>0</v>
      </c>
      <c r="J205" s="186">
        <f t="shared" si="45"/>
        <v>1</v>
      </c>
      <c r="K205" s="187"/>
      <c r="L205" s="189">
        <f t="shared" ref="L205:L260" si="47">L204+1</f>
        <v>201</v>
      </c>
      <c r="M205" s="189">
        <f t="shared" si="46"/>
        <v>502.5</v>
      </c>
    </row>
    <row r="206" spans="1:13" ht="12.75" customHeight="1" x14ac:dyDescent="0.2">
      <c r="A206" s="191">
        <f t="shared" si="36"/>
        <v>540</v>
      </c>
      <c r="B206" s="186">
        <f t="shared" si="37"/>
        <v>2</v>
      </c>
      <c r="C206" s="187">
        <f t="shared" si="38"/>
        <v>0</v>
      </c>
      <c r="D206" s="186">
        <f t="shared" si="39"/>
        <v>0</v>
      </c>
      <c r="E206" s="187">
        <f t="shared" si="40"/>
        <v>7</v>
      </c>
      <c r="F206" s="186">
        <f t="shared" si="41"/>
        <v>0</v>
      </c>
      <c r="G206" s="187">
        <f t="shared" si="42"/>
        <v>1</v>
      </c>
      <c r="H206" s="186">
        <f t="shared" si="43"/>
        <v>0</v>
      </c>
      <c r="I206" s="187">
        <f t="shared" si="44"/>
        <v>1</v>
      </c>
      <c r="J206" s="186">
        <f t="shared" si="45"/>
        <v>0</v>
      </c>
      <c r="K206" s="187"/>
      <c r="L206" s="189">
        <f t="shared" si="47"/>
        <v>202</v>
      </c>
      <c r="M206" s="189">
        <f t="shared" si="46"/>
        <v>505</v>
      </c>
    </row>
    <row r="207" spans="1:13" ht="12.75" customHeight="1" x14ac:dyDescent="0.2">
      <c r="A207" s="191">
        <f t="shared" si="36"/>
        <v>542.5</v>
      </c>
      <c r="B207" s="186">
        <f t="shared" si="37"/>
        <v>2</v>
      </c>
      <c r="C207" s="187">
        <f t="shared" si="38"/>
        <v>0</v>
      </c>
      <c r="D207" s="186">
        <f t="shared" si="39"/>
        <v>0</v>
      </c>
      <c r="E207" s="187">
        <f t="shared" si="40"/>
        <v>7</v>
      </c>
      <c r="F207" s="186">
        <f t="shared" si="41"/>
        <v>0</v>
      </c>
      <c r="G207" s="187">
        <f t="shared" si="42"/>
        <v>1</v>
      </c>
      <c r="H207" s="186">
        <f t="shared" si="43"/>
        <v>0</v>
      </c>
      <c r="I207" s="187">
        <f t="shared" si="44"/>
        <v>1</v>
      </c>
      <c r="J207" s="186">
        <f t="shared" si="45"/>
        <v>1</v>
      </c>
      <c r="K207" s="187"/>
      <c r="L207" s="189">
        <f t="shared" si="47"/>
        <v>203</v>
      </c>
      <c r="M207" s="189">
        <f t="shared" si="46"/>
        <v>507.5</v>
      </c>
    </row>
    <row r="208" spans="1:13" ht="12.75" customHeight="1" x14ac:dyDescent="0.2">
      <c r="A208" s="191">
        <f t="shared" si="36"/>
        <v>545</v>
      </c>
      <c r="B208" s="186">
        <f t="shared" si="37"/>
        <v>2</v>
      </c>
      <c r="C208" s="187">
        <f t="shared" si="38"/>
        <v>0</v>
      </c>
      <c r="D208" s="186">
        <f t="shared" si="39"/>
        <v>0</v>
      </c>
      <c r="E208" s="187">
        <f t="shared" si="40"/>
        <v>7</v>
      </c>
      <c r="F208" s="186">
        <f t="shared" si="41"/>
        <v>1</v>
      </c>
      <c r="G208" s="187">
        <f t="shared" si="42"/>
        <v>0</v>
      </c>
      <c r="H208" s="186">
        <f t="shared" si="43"/>
        <v>0</v>
      </c>
      <c r="I208" s="187">
        <f t="shared" si="44"/>
        <v>0</v>
      </c>
      <c r="J208" s="186">
        <f t="shared" si="45"/>
        <v>0</v>
      </c>
      <c r="K208" s="187"/>
      <c r="L208" s="189">
        <f t="shared" si="47"/>
        <v>204</v>
      </c>
      <c r="M208" s="189">
        <f t="shared" si="46"/>
        <v>510</v>
      </c>
    </row>
    <row r="209" spans="1:13" ht="12.75" customHeight="1" x14ac:dyDescent="0.2">
      <c r="A209" s="191">
        <f t="shared" si="36"/>
        <v>547.5</v>
      </c>
      <c r="B209" s="186">
        <f t="shared" si="37"/>
        <v>2</v>
      </c>
      <c r="C209" s="187">
        <f t="shared" si="38"/>
        <v>0</v>
      </c>
      <c r="D209" s="186">
        <f t="shared" si="39"/>
        <v>0</v>
      </c>
      <c r="E209" s="187">
        <f t="shared" si="40"/>
        <v>7</v>
      </c>
      <c r="F209" s="186">
        <f t="shared" si="41"/>
        <v>1</v>
      </c>
      <c r="G209" s="187">
        <f t="shared" si="42"/>
        <v>0</v>
      </c>
      <c r="H209" s="186">
        <f t="shared" si="43"/>
        <v>0</v>
      </c>
      <c r="I209" s="187">
        <f t="shared" si="44"/>
        <v>0</v>
      </c>
      <c r="J209" s="186">
        <f t="shared" si="45"/>
        <v>1</v>
      </c>
      <c r="K209" s="187"/>
      <c r="L209" s="189">
        <f t="shared" si="47"/>
        <v>205</v>
      </c>
      <c r="M209" s="189">
        <f t="shared" si="46"/>
        <v>512.5</v>
      </c>
    </row>
    <row r="210" spans="1:13" ht="12.75" customHeight="1" x14ac:dyDescent="0.2">
      <c r="A210" s="191">
        <f t="shared" si="36"/>
        <v>550</v>
      </c>
      <c r="B210" s="186">
        <f t="shared" si="37"/>
        <v>2</v>
      </c>
      <c r="C210" s="187">
        <f t="shared" si="38"/>
        <v>0</v>
      </c>
      <c r="D210" s="186">
        <f t="shared" si="39"/>
        <v>0</v>
      </c>
      <c r="E210" s="187">
        <f t="shared" si="40"/>
        <v>7</v>
      </c>
      <c r="F210" s="186">
        <f t="shared" si="41"/>
        <v>1</v>
      </c>
      <c r="G210" s="187">
        <f t="shared" si="42"/>
        <v>0</v>
      </c>
      <c r="H210" s="186">
        <f t="shared" si="43"/>
        <v>0</v>
      </c>
      <c r="I210" s="187">
        <f t="shared" si="44"/>
        <v>1</v>
      </c>
      <c r="J210" s="186">
        <f t="shared" si="45"/>
        <v>0</v>
      </c>
      <c r="K210" s="187"/>
      <c r="L210" s="189">
        <f t="shared" si="47"/>
        <v>206</v>
      </c>
      <c r="M210" s="189">
        <f t="shared" si="46"/>
        <v>515</v>
      </c>
    </row>
    <row r="211" spans="1:13" ht="12.75" customHeight="1" x14ac:dyDescent="0.2">
      <c r="A211" s="191">
        <f t="shared" si="36"/>
        <v>552.5</v>
      </c>
      <c r="B211" s="186">
        <f t="shared" si="37"/>
        <v>2</v>
      </c>
      <c r="C211" s="187">
        <f t="shared" si="38"/>
        <v>0</v>
      </c>
      <c r="D211" s="186">
        <f t="shared" si="39"/>
        <v>0</v>
      </c>
      <c r="E211" s="187">
        <f t="shared" si="40"/>
        <v>7</v>
      </c>
      <c r="F211" s="186">
        <f t="shared" si="41"/>
        <v>1</v>
      </c>
      <c r="G211" s="187">
        <f t="shared" si="42"/>
        <v>0</v>
      </c>
      <c r="H211" s="186">
        <f t="shared" si="43"/>
        <v>0</v>
      </c>
      <c r="I211" s="187">
        <f t="shared" si="44"/>
        <v>1</v>
      </c>
      <c r="J211" s="186">
        <f t="shared" si="45"/>
        <v>1</v>
      </c>
      <c r="K211" s="187"/>
      <c r="L211" s="189">
        <f t="shared" si="47"/>
        <v>207</v>
      </c>
      <c r="M211" s="189">
        <f t="shared" si="46"/>
        <v>517.5</v>
      </c>
    </row>
    <row r="212" spans="1:13" ht="12.75" customHeight="1" x14ac:dyDescent="0.2">
      <c r="A212" s="191">
        <f t="shared" si="36"/>
        <v>555</v>
      </c>
      <c r="B212" s="186">
        <f t="shared" si="37"/>
        <v>2</v>
      </c>
      <c r="C212" s="187">
        <f t="shared" si="38"/>
        <v>0</v>
      </c>
      <c r="D212" s="186">
        <f t="shared" si="39"/>
        <v>0</v>
      </c>
      <c r="E212" s="187">
        <f t="shared" si="40"/>
        <v>8</v>
      </c>
      <c r="F212" s="186">
        <f t="shared" si="41"/>
        <v>0</v>
      </c>
      <c r="G212" s="187">
        <f t="shared" si="42"/>
        <v>0</v>
      </c>
      <c r="H212" s="186">
        <f t="shared" si="43"/>
        <v>0</v>
      </c>
      <c r="I212" s="187">
        <f t="shared" si="44"/>
        <v>0</v>
      </c>
      <c r="J212" s="186">
        <f t="shared" si="45"/>
        <v>0</v>
      </c>
      <c r="K212" s="187"/>
      <c r="L212" s="189">
        <f t="shared" si="47"/>
        <v>208</v>
      </c>
      <c r="M212" s="189">
        <f t="shared" si="46"/>
        <v>520</v>
      </c>
    </row>
    <row r="213" spans="1:13" ht="12.75" customHeight="1" x14ac:dyDescent="0.2">
      <c r="A213" s="191">
        <f t="shared" si="36"/>
        <v>557.5</v>
      </c>
      <c r="B213" s="186">
        <f t="shared" si="37"/>
        <v>2</v>
      </c>
      <c r="C213" s="187">
        <f t="shared" si="38"/>
        <v>0</v>
      </c>
      <c r="D213" s="186">
        <f t="shared" si="39"/>
        <v>0</v>
      </c>
      <c r="E213" s="187">
        <f t="shared" si="40"/>
        <v>8</v>
      </c>
      <c r="F213" s="186">
        <f t="shared" si="41"/>
        <v>0</v>
      </c>
      <c r="G213" s="187">
        <f t="shared" si="42"/>
        <v>0</v>
      </c>
      <c r="H213" s="186">
        <f t="shared" si="43"/>
        <v>0</v>
      </c>
      <c r="I213" s="187">
        <f t="shared" si="44"/>
        <v>0</v>
      </c>
      <c r="J213" s="186">
        <f t="shared" si="45"/>
        <v>1</v>
      </c>
      <c r="K213" s="187"/>
      <c r="L213" s="189">
        <f t="shared" si="47"/>
        <v>209</v>
      </c>
      <c r="M213" s="189">
        <f t="shared" si="46"/>
        <v>522.5</v>
      </c>
    </row>
    <row r="214" spans="1:13" ht="12.75" customHeight="1" x14ac:dyDescent="0.2">
      <c r="A214" s="191">
        <f t="shared" si="36"/>
        <v>560</v>
      </c>
      <c r="B214" s="186">
        <f t="shared" si="37"/>
        <v>2</v>
      </c>
      <c r="C214" s="187">
        <f t="shared" si="38"/>
        <v>0</v>
      </c>
      <c r="D214" s="186">
        <f t="shared" si="39"/>
        <v>0</v>
      </c>
      <c r="E214" s="187">
        <f t="shared" si="40"/>
        <v>8</v>
      </c>
      <c r="F214" s="186">
        <f t="shared" si="41"/>
        <v>0</v>
      </c>
      <c r="G214" s="187">
        <f t="shared" si="42"/>
        <v>0</v>
      </c>
      <c r="H214" s="186">
        <f t="shared" si="43"/>
        <v>0</v>
      </c>
      <c r="I214" s="187">
        <f t="shared" si="44"/>
        <v>1</v>
      </c>
      <c r="J214" s="186">
        <f t="shared" si="45"/>
        <v>0</v>
      </c>
      <c r="K214" s="187"/>
      <c r="L214" s="189">
        <f t="shared" si="47"/>
        <v>210</v>
      </c>
      <c r="M214" s="189">
        <f t="shared" si="46"/>
        <v>525</v>
      </c>
    </row>
    <row r="215" spans="1:13" ht="12.75" customHeight="1" x14ac:dyDescent="0.2">
      <c r="A215" s="191">
        <f t="shared" si="36"/>
        <v>562.5</v>
      </c>
      <c r="B215" s="186">
        <f t="shared" si="37"/>
        <v>2</v>
      </c>
      <c r="C215" s="187">
        <f t="shared" si="38"/>
        <v>0</v>
      </c>
      <c r="D215" s="186">
        <f t="shared" si="39"/>
        <v>0</v>
      </c>
      <c r="E215" s="187">
        <f t="shared" si="40"/>
        <v>8</v>
      </c>
      <c r="F215" s="186">
        <f t="shared" si="41"/>
        <v>0</v>
      </c>
      <c r="G215" s="187">
        <f t="shared" si="42"/>
        <v>0</v>
      </c>
      <c r="H215" s="186">
        <f t="shared" si="43"/>
        <v>0</v>
      </c>
      <c r="I215" s="187">
        <f t="shared" si="44"/>
        <v>1</v>
      </c>
      <c r="J215" s="186">
        <f t="shared" si="45"/>
        <v>1</v>
      </c>
      <c r="K215" s="187"/>
      <c r="L215" s="189">
        <f t="shared" si="47"/>
        <v>211</v>
      </c>
      <c r="M215" s="189">
        <f t="shared" si="46"/>
        <v>527.5</v>
      </c>
    </row>
    <row r="216" spans="1:13" ht="12.75" customHeight="1" x14ac:dyDescent="0.2">
      <c r="A216" s="191">
        <f t="shared" si="36"/>
        <v>565</v>
      </c>
      <c r="B216" s="186">
        <f t="shared" si="37"/>
        <v>2</v>
      </c>
      <c r="C216" s="187">
        <f t="shared" si="38"/>
        <v>0</v>
      </c>
      <c r="D216" s="186">
        <f t="shared" si="39"/>
        <v>0</v>
      </c>
      <c r="E216" s="187">
        <f t="shared" si="40"/>
        <v>8</v>
      </c>
      <c r="F216" s="186">
        <f t="shared" si="41"/>
        <v>0</v>
      </c>
      <c r="G216" s="187">
        <f t="shared" si="42"/>
        <v>0</v>
      </c>
      <c r="H216" s="186">
        <f t="shared" si="43"/>
        <v>1</v>
      </c>
      <c r="I216" s="187">
        <f t="shared" si="44"/>
        <v>0</v>
      </c>
      <c r="J216" s="186">
        <f t="shared" si="45"/>
        <v>0</v>
      </c>
      <c r="K216" s="187"/>
      <c r="L216" s="189">
        <f t="shared" si="47"/>
        <v>212</v>
      </c>
      <c r="M216" s="189">
        <f t="shared" si="46"/>
        <v>530</v>
      </c>
    </row>
    <row r="217" spans="1:13" ht="12.75" customHeight="1" x14ac:dyDescent="0.2">
      <c r="A217" s="191">
        <f t="shared" si="36"/>
        <v>567.5</v>
      </c>
      <c r="B217" s="186">
        <f t="shared" si="37"/>
        <v>2</v>
      </c>
      <c r="C217" s="187">
        <f t="shared" si="38"/>
        <v>0</v>
      </c>
      <c r="D217" s="186">
        <f t="shared" si="39"/>
        <v>0</v>
      </c>
      <c r="E217" s="187">
        <f t="shared" si="40"/>
        <v>8</v>
      </c>
      <c r="F217" s="186">
        <f t="shared" si="41"/>
        <v>0</v>
      </c>
      <c r="G217" s="187">
        <f t="shared" si="42"/>
        <v>0</v>
      </c>
      <c r="H217" s="186">
        <f t="shared" si="43"/>
        <v>1</v>
      </c>
      <c r="I217" s="187">
        <f t="shared" si="44"/>
        <v>0</v>
      </c>
      <c r="J217" s="186">
        <f t="shared" si="45"/>
        <v>1</v>
      </c>
      <c r="K217" s="187"/>
      <c r="L217" s="189">
        <f t="shared" si="47"/>
        <v>213</v>
      </c>
      <c r="M217" s="189">
        <f t="shared" si="46"/>
        <v>532.5</v>
      </c>
    </row>
    <row r="218" spans="1:13" ht="12.75" customHeight="1" x14ac:dyDescent="0.2">
      <c r="A218" s="191">
        <f t="shared" si="36"/>
        <v>570</v>
      </c>
      <c r="B218" s="186">
        <f t="shared" si="37"/>
        <v>2</v>
      </c>
      <c r="C218" s="187">
        <f t="shared" si="38"/>
        <v>0</v>
      </c>
      <c r="D218" s="186">
        <f t="shared" si="39"/>
        <v>0</v>
      </c>
      <c r="E218" s="187">
        <f t="shared" si="40"/>
        <v>8</v>
      </c>
      <c r="F218" s="186">
        <f t="shared" si="41"/>
        <v>0</v>
      </c>
      <c r="G218" s="187">
        <f t="shared" si="42"/>
        <v>0</v>
      </c>
      <c r="H218" s="186">
        <f t="shared" si="43"/>
        <v>1</v>
      </c>
      <c r="I218" s="187">
        <f t="shared" si="44"/>
        <v>1</v>
      </c>
      <c r="J218" s="186">
        <f t="shared" si="45"/>
        <v>0</v>
      </c>
      <c r="K218" s="187"/>
      <c r="L218" s="189">
        <f t="shared" si="47"/>
        <v>214</v>
      </c>
      <c r="M218" s="189">
        <f t="shared" si="46"/>
        <v>535</v>
      </c>
    </row>
    <row r="219" spans="1:13" ht="12.75" customHeight="1" x14ac:dyDescent="0.2">
      <c r="A219" s="191">
        <f t="shared" si="36"/>
        <v>572.5</v>
      </c>
      <c r="B219" s="186">
        <f t="shared" si="37"/>
        <v>2</v>
      </c>
      <c r="C219" s="187">
        <f t="shared" si="38"/>
        <v>0</v>
      </c>
      <c r="D219" s="186">
        <f t="shared" si="39"/>
        <v>0</v>
      </c>
      <c r="E219" s="187">
        <f t="shared" si="40"/>
        <v>8</v>
      </c>
      <c r="F219" s="186">
        <f t="shared" si="41"/>
        <v>0</v>
      </c>
      <c r="G219" s="187">
        <f t="shared" si="42"/>
        <v>0</v>
      </c>
      <c r="H219" s="186">
        <f t="shared" si="43"/>
        <v>1</v>
      </c>
      <c r="I219" s="187">
        <f t="shared" si="44"/>
        <v>1</v>
      </c>
      <c r="J219" s="186">
        <f t="shared" si="45"/>
        <v>1</v>
      </c>
      <c r="K219" s="187"/>
      <c r="L219" s="189">
        <f t="shared" si="47"/>
        <v>215</v>
      </c>
      <c r="M219" s="189">
        <f t="shared" si="46"/>
        <v>537.5</v>
      </c>
    </row>
    <row r="220" spans="1:13" ht="12.75" customHeight="1" x14ac:dyDescent="0.2">
      <c r="A220" s="191">
        <f t="shared" si="36"/>
        <v>575</v>
      </c>
      <c r="B220" s="186">
        <f t="shared" si="37"/>
        <v>2</v>
      </c>
      <c r="C220" s="187">
        <f t="shared" si="38"/>
        <v>0</v>
      </c>
      <c r="D220" s="186">
        <f t="shared" si="39"/>
        <v>0</v>
      </c>
      <c r="E220" s="187">
        <f t="shared" si="40"/>
        <v>8</v>
      </c>
      <c r="F220" s="186">
        <f t="shared" si="41"/>
        <v>0</v>
      </c>
      <c r="G220" s="187">
        <f t="shared" si="42"/>
        <v>1</v>
      </c>
      <c r="H220" s="186">
        <f t="shared" si="43"/>
        <v>0</v>
      </c>
      <c r="I220" s="187">
        <f t="shared" si="44"/>
        <v>0</v>
      </c>
      <c r="J220" s="186">
        <f t="shared" si="45"/>
        <v>0</v>
      </c>
      <c r="K220" s="187"/>
      <c r="L220" s="189">
        <f t="shared" si="47"/>
        <v>216</v>
      </c>
      <c r="M220" s="189">
        <f t="shared" si="46"/>
        <v>540</v>
      </c>
    </row>
    <row r="221" spans="1:13" ht="12.75" customHeight="1" x14ac:dyDescent="0.2">
      <c r="A221" s="191">
        <f t="shared" si="36"/>
        <v>577.5</v>
      </c>
      <c r="B221" s="186">
        <f t="shared" si="37"/>
        <v>2</v>
      </c>
      <c r="C221" s="187">
        <f t="shared" si="38"/>
        <v>0</v>
      </c>
      <c r="D221" s="186">
        <f t="shared" si="39"/>
        <v>0</v>
      </c>
      <c r="E221" s="187">
        <f t="shared" si="40"/>
        <v>8</v>
      </c>
      <c r="F221" s="186">
        <f t="shared" si="41"/>
        <v>0</v>
      </c>
      <c r="G221" s="187">
        <f t="shared" si="42"/>
        <v>1</v>
      </c>
      <c r="H221" s="186">
        <f t="shared" si="43"/>
        <v>0</v>
      </c>
      <c r="I221" s="187">
        <f t="shared" si="44"/>
        <v>0</v>
      </c>
      <c r="J221" s="186">
        <f t="shared" si="45"/>
        <v>1</v>
      </c>
      <c r="K221" s="187"/>
      <c r="L221" s="189">
        <f t="shared" si="47"/>
        <v>217</v>
      </c>
      <c r="M221" s="189">
        <f t="shared" si="46"/>
        <v>542.5</v>
      </c>
    </row>
    <row r="222" spans="1:13" ht="12.75" customHeight="1" x14ac:dyDescent="0.2">
      <c r="A222" s="191">
        <f t="shared" si="36"/>
        <v>580</v>
      </c>
      <c r="B222" s="186">
        <f t="shared" si="37"/>
        <v>2</v>
      </c>
      <c r="C222" s="187">
        <f t="shared" si="38"/>
        <v>0</v>
      </c>
      <c r="D222" s="186">
        <f t="shared" si="39"/>
        <v>0</v>
      </c>
      <c r="E222" s="187">
        <f t="shared" si="40"/>
        <v>8</v>
      </c>
      <c r="F222" s="186">
        <f t="shared" si="41"/>
        <v>0</v>
      </c>
      <c r="G222" s="187">
        <f t="shared" si="42"/>
        <v>1</v>
      </c>
      <c r="H222" s="186">
        <f t="shared" si="43"/>
        <v>0</v>
      </c>
      <c r="I222" s="187">
        <f t="shared" si="44"/>
        <v>1</v>
      </c>
      <c r="J222" s="186">
        <f t="shared" si="45"/>
        <v>0</v>
      </c>
      <c r="K222" s="187"/>
      <c r="L222" s="189">
        <f t="shared" si="47"/>
        <v>218</v>
      </c>
      <c r="M222" s="189">
        <f t="shared" si="46"/>
        <v>545</v>
      </c>
    </row>
    <row r="223" spans="1:13" ht="12.75" customHeight="1" x14ac:dyDescent="0.2">
      <c r="A223" s="191">
        <f t="shared" si="36"/>
        <v>582.5</v>
      </c>
      <c r="B223" s="186">
        <f t="shared" si="37"/>
        <v>2</v>
      </c>
      <c r="C223" s="187">
        <f t="shared" si="38"/>
        <v>0</v>
      </c>
      <c r="D223" s="186">
        <f t="shared" si="39"/>
        <v>0</v>
      </c>
      <c r="E223" s="187">
        <f t="shared" si="40"/>
        <v>8</v>
      </c>
      <c r="F223" s="186">
        <f t="shared" si="41"/>
        <v>0</v>
      </c>
      <c r="G223" s="187">
        <f t="shared" si="42"/>
        <v>1</v>
      </c>
      <c r="H223" s="186">
        <f t="shared" si="43"/>
        <v>0</v>
      </c>
      <c r="I223" s="187">
        <f t="shared" si="44"/>
        <v>1</v>
      </c>
      <c r="J223" s="186">
        <f t="shared" si="45"/>
        <v>1</v>
      </c>
      <c r="K223" s="187"/>
      <c r="L223" s="189">
        <f t="shared" si="47"/>
        <v>219</v>
      </c>
      <c r="M223" s="189">
        <f t="shared" si="46"/>
        <v>547.5</v>
      </c>
    </row>
    <row r="224" spans="1:13" ht="12.75" customHeight="1" x14ac:dyDescent="0.2">
      <c r="A224" s="191">
        <f t="shared" si="36"/>
        <v>585</v>
      </c>
      <c r="B224" s="186">
        <f t="shared" si="37"/>
        <v>2</v>
      </c>
      <c r="C224" s="187">
        <f t="shared" si="38"/>
        <v>0</v>
      </c>
      <c r="D224" s="186">
        <f t="shared" si="39"/>
        <v>0</v>
      </c>
      <c r="E224" s="187">
        <f t="shared" si="40"/>
        <v>8</v>
      </c>
      <c r="F224" s="186">
        <f t="shared" si="41"/>
        <v>1</v>
      </c>
      <c r="G224" s="187">
        <f t="shared" si="42"/>
        <v>0</v>
      </c>
      <c r="H224" s="186">
        <f t="shared" si="43"/>
        <v>0</v>
      </c>
      <c r="I224" s="187">
        <f t="shared" si="44"/>
        <v>0</v>
      </c>
      <c r="J224" s="186">
        <f t="shared" si="45"/>
        <v>0</v>
      </c>
      <c r="K224" s="187"/>
      <c r="L224" s="189">
        <f t="shared" si="47"/>
        <v>220</v>
      </c>
      <c r="M224" s="189">
        <f t="shared" si="46"/>
        <v>550</v>
      </c>
    </row>
    <row r="225" spans="1:13" ht="12.75" customHeight="1" x14ac:dyDescent="0.2">
      <c r="A225" s="191">
        <f t="shared" si="36"/>
        <v>587.5</v>
      </c>
      <c r="B225" s="186">
        <f t="shared" si="37"/>
        <v>2</v>
      </c>
      <c r="C225" s="187">
        <f t="shared" si="38"/>
        <v>0</v>
      </c>
      <c r="D225" s="186">
        <f t="shared" si="39"/>
        <v>0</v>
      </c>
      <c r="E225" s="187">
        <f t="shared" si="40"/>
        <v>8</v>
      </c>
      <c r="F225" s="186">
        <f t="shared" si="41"/>
        <v>1</v>
      </c>
      <c r="G225" s="187">
        <f t="shared" si="42"/>
        <v>0</v>
      </c>
      <c r="H225" s="186">
        <f t="shared" si="43"/>
        <v>0</v>
      </c>
      <c r="I225" s="187">
        <f t="shared" si="44"/>
        <v>0</v>
      </c>
      <c r="J225" s="186">
        <f t="shared" si="45"/>
        <v>1</v>
      </c>
      <c r="K225" s="187"/>
      <c r="L225" s="189">
        <f t="shared" si="47"/>
        <v>221</v>
      </c>
      <c r="M225" s="189">
        <f t="shared" si="46"/>
        <v>552.5</v>
      </c>
    </row>
    <row r="226" spans="1:13" ht="12.75" customHeight="1" x14ac:dyDescent="0.2">
      <c r="A226" s="191">
        <f t="shared" si="36"/>
        <v>590</v>
      </c>
      <c r="B226" s="186">
        <f t="shared" si="37"/>
        <v>2</v>
      </c>
      <c r="C226" s="187">
        <f t="shared" si="38"/>
        <v>0</v>
      </c>
      <c r="D226" s="186">
        <f t="shared" si="39"/>
        <v>0</v>
      </c>
      <c r="E226" s="187">
        <f t="shared" si="40"/>
        <v>8</v>
      </c>
      <c r="F226" s="186">
        <f t="shared" si="41"/>
        <v>1</v>
      </c>
      <c r="G226" s="187">
        <f t="shared" si="42"/>
        <v>0</v>
      </c>
      <c r="H226" s="186">
        <f t="shared" si="43"/>
        <v>0</v>
      </c>
      <c r="I226" s="187">
        <f t="shared" si="44"/>
        <v>1</v>
      </c>
      <c r="J226" s="186">
        <f t="shared" si="45"/>
        <v>0</v>
      </c>
      <c r="K226" s="187"/>
      <c r="L226" s="189">
        <f t="shared" si="47"/>
        <v>222</v>
      </c>
      <c r="M226" s="189">
        <f t="shared" si="46"/>
        <v>555</v>
      </c>
    </row>
    <row r="227" spans="1:13" ht="12.75" customHeight="1" x14ac:dyDescent="0.2">
      <c r="A227" s="191">
        <f t="shared" si="36"/>
        <v>592.5</v>
      </c>
      <c r="B227" s="186">
        <f t="shared" si="37"/>
        <v>2</v>
      </c>
      <c r="C227" s="187">
        <f t="shared" si="38"/>
        <v>0</v>
      </c>
      <c r="D227" s="186">
        <f t="shared" si="39"/>
        <v>0</v>
      </c>
      <c r="E227" s="187">
        <f t="shared" si="40"/>
        <v>8</v>
      </c>
      <c r="F227" s="186">
        <f t="shared" si="41"/>
        <v>1</v>
      </c>
      <c r="G227" s="187">
        <f t="shared" si="42"/>
        <v>0</v>
      </c>
      <c r="H227" s="186">
        <f t="shared" si="43"/>
        <v>0</v>
      </c>
      <c r="I227" s="187">
        <f t="shared" si="44"/>
        <v>1</v>
      </c>
      <c r="J227" s="186">
        <f t="shared" si="45"/>
        <v>1</v>
      </c>
      <c r="K227" s="187"/>
      <c r="L227" s="189">
        <f t="shared" si="47"/>
        <v>223</v>
      </c>
      <c r="M227" s="189">
        <f t="shared" si="46"/>
        <v>557.5</v>
      </c>
    </row>
    <row r="228" spans="1:13" ht="12.75" customHeight="1" x14ac:dyDescent="0.2">
      <c r="A228" s="191">
        <f t="shared" si="36"/>
        <v>595</v>
      </c>
      <c r="B228" s="186">
        <f t="shared" si="37"/>
        <v>2</v>
      </c>
      <c r="C228" s="187">
        <f t="shared" si="38"/>
        <v>0</v>
      </c>
      <c r="D228" s="186">
        <f t="shared" si="39"/>
        <v>0</v>
      </c>
      <c r="E228" s="187">
        <f t="shared" si="40"/>
        <v>8</v>
      </c>
      <c r="F228" s="186">
        <f t="shared" si="41"/>
        <v>1</v>
      </c>
      <c r="G228" s="187">
        <f t="shared" si="42"/>
        <v>0</v>
      </c>
      <c r="H228" s="186">
        <f t="shared" si="43"/>
        <v>1</v>
      </c>
      <c r="I228" s="187">
        <f t="shared" si="44"/>
        <v>0</v>
      </c>
      <c r="J228" s="186">
        <f t="shared" si="45"/>
        <v>0</v>
      </c>
      <c r="K228" s="187"/>
      <c r="L228" s="189">
        <f t="shared" si="47"/>
        <v>224</v>
      </c>
      <c r="M228" s="189">
        <f t="shared" si="46"/>
        <v>560</v>
      </c>
    </row>
    <row r="229" spans="1:13" ht="12.75" customHeight="1" x14ac:dyDescent="0.2">
      <c r="A229" s="191">
        <f t="shared" si="36"/>
        <v>597.5</v>
      </c>
      <c r="B229" s="186">
        <f t="shared" si="37"/>
        <v>2</v>
      </c>
      <c r="C229" s="187">
        <f t="shared" si="38"/>
        <v>0</v>
      </c>
      <c r="D229" s="186">
        <f t="shared" si="39"/>
        <v>0</v>
      </c>
      <c r="E229" s="187">
        <f t="shared" si="40"/>
        <v>8</v>
      </c>
      <c r="F229" s="186">
        <f t="shared" si="41"/>
        <v>1</v>
      </c>
      <c r="G229" s="187">
        <f t="shared" si="42"/>
        <v>0</v>
      </c>
      <c r="H229" s="186">
        <f t="shared" si="43"/>
        <v>1</v>
      </c>
      <c r="I229" s="187">
        <f t="shared" si="44"/>
        <v>0</v>
      </c>
      <c r="J229" s="186">
        <f t="shared" si="45"/>
        <v>1</v>
      </c>
      <c r="K229" s="187"/>
      <c r="L229" s="189">
        <f t="shared" si="47"/>
        <v>225</v>
      </c>
      <c r="M229" s="189">
        <f t="shared" si="46"/>
        <v>562.5</v>
      </c>
    </row>
    <row r="230" spans="1:13" ht="12.75" customHeight="1" x14ac:dyDescent="0.2">
      <c r="A230" s="191">
        <f t="shared" si="36"/>
        <v>600</v>
      </c>
      <c r="B230" s="186">
        <f t="shared" si="37"/>
        <v>2</v>
      </c>
      <c r="C230" s="187">
        <f t="shared" si="38"/>
        <v>0</v>
      </c>
      <c r="D230" s="186">
        <f t="shared" si="39"/>
        <v>0</v>
      </c>
      <c r="E230" s="187">
        <f t="shared" si="40"/>
        <v>8</v>
      </c>
      <c r="F230" s="186">
        <f t="shared" si="41"/>
        <v>1</v>
      </c>
      <c r="G230" s="187">
        <f t="shared" si="42"/>
        <v>0</v>
      </c>
      <c r="H230" s="186">
        <f t="shared" si="43"/>
        <v>1</v>
      </c>
      <c r="I230" s="187">
        <f t="shared" si="44"/>
        <v>1</v>
      </c>
      <c r="J230" s="186">
        <f t="shared" si="45"/>
        <v>0</v>
      </c>
      <c r="K230" s="187"/>
      <c r="L230" s="189">
        <f t="shared" si="47"/>
        <v>226</v>
      </c>
      <c r="M230" s="189">
        <f t="shared" si="46"/>
        <v>565</v>
      </c>
    </row>
    <row r="231" spans="1:13" ht="12.75" customHeight="1" x14ac:dyDescent="0.2">
      <c r="A231" s="191">
        <f t="shared" si="36"/>
        <v>602.5</v>
      </c>
      <c r="B231" s="186">
        <f t="shared" si="37"/>
        <v>2</v>
      </c>
      <c r="C231" s="187">
        <f t="shared" si="38"/>
        <v>0</v>
      </c>
      <c r="D231" s="186">
        <f t="shared" si="39"/>
        <v>0</v>
      </c>
      <c r="E231" s="187">
        <f t="shared" si="40"/>
        <v>8</v>
      </c>
      <c r="F231" s="186">
        <f t="shared" si="41"/>
        <v>1</v>
      </c>
      <c r="G231" s="187">
        <f t="shared" si="42"/>
        <v>0</v>
      </c>
      <c r="H231" s="186">
        <f t="shared" si="43"/>
        <v>1</v>
      </c>
      <c r="I231" s="187">
        <f t="shared" si="44"/>
        <v>1</v>
      </c>
      <c r="J231" s="186">
        <f t="shared" si="45"/>
        <v>1</v>
      </c>
      <c r="K231" s="187"/>
      <c r="L231" s="189">
        <f t="shared" si="47"/>
        <v>227</v>
      </c>
      <c r="M231" s="189">
        <f t="shared" si="46"/>
        <v>567.5</v>
      </c>
    </row>
    <row r="232" spans="1:13" ht="12.75" customHeight="1" x14ac:dyDescent="0.2">
      <c r="A232" s="191">
        <f t="shared" si="36"/>
        <v>605</v>
      </c>
      <c r="B232" s="186">
        <f t="shared" si="37"/>
        <v>2</v>
      </c>
      <c r="C232" s="187">
        <f t="shared" si="38"/>
        <v>0</v>
      </c>
      <c r="D232" s="186">
        <f t="shared" si="39"/>
        <v>0</v>
      </c>
      <c r="E232" s="187">
        <f t="shared" si="40"/>
        <v>8</v>
      </c>
      <c r="F232" s="186">
        <f t="shared" si="41"/>
        <v>1</v>
      </c>
      <c r="G232" s="187">
        <f t="shared" si="42"/>
        <v>1</v>
      </c>
      <c r="H232" s="186">
        <f t="shared" si="43"/>
        <v>0</v>
      </c>
      <c r="I232" s="187">
        <f t="shared" si="44"/>
        <v>0</v>
      </c>
      <c r="J232" s="186">
        <f t="shared" si="45"/>
        <v>0</v>
      </c>
      <c r="K232" s="187"/>
      <c r="L232" s="189">
        <f t="shared" si="47"/>
        <v>228</v>
      </c>
      <c r="M232" s="189">
        <f t="shared" si="46"/>
        <v>570</v>
      </c>
    </row>
    <row r="233" spans="1:13" ht="12.75" customHeight="1" x14ac:dyDescent="0.2">
      <c r="A233" s="191">
        <f t="shared" si="36"/>
        <v>607.5</v>
      </c>
      <c r="B233" s="186">
        <f t="shared" si="37"/>
        <v>2</v>
      </c>
      <c r="C233" s="187">
        <f t="shared" si="38"/>
        <v>0</v>
      </c>
      <c r="D233" s="186">
        <f t="shared" si="39"/>
        <v>0</v>
      </c>
      <c r="E233" s="187">
        <f t="shared" si="40"/>
        <v>8</v>
      </c>
      <c r="F233" s="186">
        <f t="shared" si="41"/>
        <v>1</v>
      </c>
      <c r="G233" s="187">
        <f t="shared" si="42"/>
        <v>1</v>
      </c>
      <c r="H233" s="186">
        <f t="shared" si="43"/>
        <v>0</v>
      </c>
      <c r="I233" s="187">
        <f t="shared" si="44"/>
        <v>0</v>
      </c>
      <c r="J233" s="186">
        <f t="shared" si="45"/>
        <v>1</v>
      </c>
      <c r="K233" s="187"/>
      <c r="L233" s="189">
        <f t="shared" si="47"/>
        <v>229</v>
      </c>
      <c r="M233" s="189">
        <f t="shared" si="46"/>
        <v>572.5</v>
      </c>
    </row>
    <row r="234" spans="1:13" ht="12.75" customHeight="1" x14ac:dyDescent="0.2">
      <c r="A234" s="191">
        <f t="shared" si="36"/>
        <v>610</v>
      </c>
      <c r="B234" s="186">
        <f t="shared" si="37"/>
        <v>2</v>
      </c>
      <c r="C234" s="187">
        <f t="shared" si="38"/>
        <v>0</v>
      </c>
      <c r="D234" s="186">
        <f t="shared" si="39"/>
        <v>0</v>
      </c>
      <c r="E234" s="187">
        <f t="shared" si="40"/>
        <v>8</v>
      </c>
      <c r="F234" s="186">
        <f t="shared" si="41"/>
        <v>1</v>
      </c>
      <c r="G234" s="187">
        <f t="shared" si="42"/>
        <v>1</v>
      </c>
      <c r="H234" s="186">
        <f t="shared" si="43"/>
        <v>0</v>
      </c>
      <c r="I234" s="187">
        <f t="shared" si="44"/>
        <v>1</v>
      </c>
      <c r="J234" s="186">
        <f t="shared" si="45"/>
        <v>0</v>
      </c>
      <c r="K234" s="187"/>
      <c r="L234" s="189">
        <f t="shared" si="47"/>
        <v>230</v>
      </c>
      <c r="M234" s="189">
        <f t="shared" si="46"/>
        <v>575</v>
      </c>
    </row>
    <row r="235" spans="1:13" ht="12.75" customHeight="1" x14ac:dyDescent="0.2">
      <c r="A235" s="191">
        <f t="shared" si="36"/>
        <v>612.5</v>
      </c>
      <c r="B235" s="186">
        <f t="shared" si="37"/>
        <v>2</v>
      </c>
      <c r="C235" s="187">
        <f t="shared" si="38"/>
        <v>0</v>
      </c>
      <c r="D235" s="186">
        <f t="shared" si="39"/>
        <v>0</v>
      </c>
      <c r="E235" s="187">
        <f t="shared" si="40"/>
        <v>8</v>
      </c>
      <c r="F235" s="186">
        <f t="shared" si="41"/>
        <v>1</v>
      </c>
      <c r="G235" s="187">
        <f t="shared" si="42"/>
        <v>1</v>
      </c>
      <c r="H235" s="186">
        <f t="shared" si="43"/>
        <v>0</v>
      </c>
      <c r="I235" s="187">
        <f t="shared" si="44"/>
        <v>1</v>
      </c>
      <c r="J235" s="186">
        <f t="shared" si="45"/>
        <v>1</v>
      </c>
      <c r="K235" s="187"/>
      <c r="L235" s="189">
        <f t="shared" si="47"/>
        <v>231</v>
      </c>
      <c r="M235" s="189">
        <f t="shared" si="46"/>
        <v>577.5</v>
      </c>
    </row>
    <row r="236" spans="1:13" ht="12.75" customHeight="1" x14ac:dyDescent="0.2">
      <c r="A236" s="191">
        <f t="shared" si="36"/>
        <v>615</v>
      </c>
      <c r="B236" s="186">
        <f t="shared" si="37"/>
        <v>2</v>
      </c>
      <c r="C236" s="187">
        <f t="shared" si="38"/>
        <v>0</v>
      </c>
      <c r="D236" s="186">
        <f t="shared" si="39"/>
        <v>0</v>
      </c>
      <c r="E236" s="187">
        <f t="shared" si="40"/>
        <v>8</v>
      </c>
      <c r="F236" s="186">
        <f t="shared" si="41"/>
        <v>1</v>
      </c>
      <c r="G236" s="187">
        <f t="shared" si="42"/>
        <v>1</v>
      </c>
      <c r="H236" s="186">
        <f t="shared" si="43"/>
        <v>1</v>
      </c>
      <c r="I236" s="187">
        <f t="shared" si="44"/>
        <v>0</v>
      </c>
      <c r="J236" s="186">
        <f t="shared" si="45"/>
        <v>0</v>
      </c>
      <c r="K236" s="187"/>
      <c r="L236" s="189">
        <f t="shared" si="47"/>
        <v>232</v>
      </c>
      <c r="M236" s="189">
        <f t="shared" si="46"/>
        <v>580</v>
      </c>
    </row>
    <row r="237" spans="1:13" ht="12.75" customHeight="1" x14ac:dyDescent="0.2">
      <c r="A237" s="191">
        <f t="shared" si="36"/>
        <v>617.5</v>
      </c>
      <c r="B237" s="186">
        <f t="shared" si="37"/>
        <v>2</v>
      </c>
      <c r="C237" s="187">
        <f t="shared" si="38"/>
        <v>0</v>
      </c>
      <c r="D237" s="186">
        <f t="shared" si="39"/>
        <v>0</v>
      </c>
      <c r="E237" s="187">
        <f t="shared" si="40"/>
        <v>8</v>
      </c>
      <c r="F237" s="186">
        <f t="shared" si="41"/>
        <v>1</v>
      </c>
      <c r="G237" s="187">
        <f t="shared" si="42"/>
        <v>1</v>
      </c>
      <c r="H237" s="186">
        <f t="shared" si="43"/>
        <v>1</v>
      </c>
      <c r="I237" s="187">
        <f t="shared" si="44"/>
        <v>0</v>
      </c>
      <c r="J237" s="186">
        <f t="shared" si="45"/>
        <v>1</v>
      </c>
      <c r="K237" s="187"/>
      <c r="L237" s="189">
        <f t="shared" si="47"/>
        <v>233</v>
      </c>
      <c r="M237" s="189">
        <f t="shared" si="46"/>
        <v>582.5</v>
      </c>
    </row>
    <row r="238" spans="1:13" ht="12.75" customHeight="1" x14ac:dyDescent="0.2">
      <c r="A238" s="191">
        <f t="shared" si="36"/>
        <v>620</v>
      </c>
      <c r="B238" s="186">
        <f t="shared" si="37"/>
        <v>2</v>
      </c>
      <c r="C238" s="187">
        <f t="shared" si="38"/>
        <v>0</v>
      </c>
      <c r="D238" s="186">
        <f t="shared" si="39"/>
        <v>0</v>
      </c>
      <c r="E238" s="187">
        <f t="shared" si="40"/>
        <v>8</v>
      </c>
      <c r="F238" s="186">
        <f t="shared" si="41"/>
        <v>1</v>
      </c>
      <c r="G238" s="187">
        <f t="shared" si="42"/>
        <v>1</v>
      </c>
      <c r="H238" s="186">
        <f t="shared" si="43"/>
        <v>1</v>
      </c>
      <c r="I238" s="187">
        <f t="shared" si="44"/>
        <v>1</v>
      </c>
      <c r="J238" s="186">
        <f t="shared" si="45"/>
        <v>0</v>
      </c>
      <c r="K238" s="187"/>
      <c r="L238" s="189">
        <f t="shared" si="47"/>
        <v>234</v>
      </c>
      <c r="M238" s="189">
        <f t="shared" si="46"/>
        <v>585</v>
      </c>
    </row>
    <row r="239" spans="1:13" ht="12.75" customHeight="1" x14ac:dyDescent="0.2">
      <c r="A239" s="191">
        <f t="shared" si="36"/>
        <v>622.5</v>
      </c>
      <c r="B239" s="186">
        <f t="shared" si="37"/>
        <v>2</v>
      </c>
      <c r="C239" s="187">
        <f t="shared" si="38"/>
        <v>0</v>
      </c>
      <c r="D239" s="186">
        <f t="shared" si="39"/>
        <v>0</v>
      </c>
      <c r="E239" s="187">
        <f t="shared" si="40"/>
        <v>8</v>
      </c>
      <c r="F239" s="186">
        <f t="shared" si="41"/>
        <v>1</v>
      </c>
      <c r="G239" s="187">
        <f t="shared" si="42"/>
        <v>1</v>
      </c>
      <c r="H239" s="186">
        <f t="shared" si="43"/>
        <v>1</v>
      </c>
      <c r="I239" s="187">
        <f t="shared" si="44"/>
        <v>1</v>
      </c>
      <c r="J239" s="186">
        <f t="shared" si="45"/>
        <v>1</v>
      </c>
      <c r="K239" s="187"/>
      <c r="L239" s="189">
        <f t="shared" si="47"/>
        <v>235</v>
      </c>
      <c r="M239" s="189">
        <f t="shared" si="46"/>
        <v>587.5</v>
      </c>
    </row>
    <row r="240" spans="1:13" ht="12.75" customHeight="1" x14ac:dyDescent="0.2">
      <c r="A240" s="191">
        <f t="shared" si="36"/>
        <v>625</v>
      </c>
      <c r="B240" s="186">
        <f t="shared" si="37"/>
        <v>2</v>
      </c>
      <c r="C240" s="187">
        <f t="shared" si="38"/>
        <v>0</v>
      </c>
      <c r="D240" s="186">
        <f t="shared" si="39"/>
        <v>0</v>
      </c>
      <c r="E240" s="187">
        <f t="shared" si="40"/>
        <v>8</v>
      </c>
      <c r="F240" s="186">
        <f t="shared" si="41"/>
        <v>1</v>
      </c>
      <c r="G240" s="187">
        <f t="shared" si="42"/>
        <v>1</v>
      </c>
      <c r="H240" s="186">
        <f t="shared" si="43"/>
        <v>2</v>
      </c>
      <c r="I240" s="187">
        <f t="shared" si="44"/>
        <v>0</v>
      </c>
      <c r="J240" s="186">
        <f t="shared" si="45"/>
        <v>0</v>
      </c>
      <c r="K240" s="187"/>
      <c r="L240" s="189">
        <f t="shared" si="47"/>
        <v>236</v>
      </c>
      <c r="M240" s="189">
        <f t="shared" si="46"/>
        <v>590</v>
      </c>
    </row>
    <row r="241" spans="1:13" ht="12.75" customHeight="1" x14ac:dyDescent="0.2">
      <c r="A241" s="191">
        <f t="shared" si="36"/>
        <v>627.5</v>
      </c>
      <c r="B241" s="186">
        <f t="shared" si="37"/>
        <v>2</v>
      </c>
      <c r="C241" s="187">
        <f t="shared" si="38"/>
        <v>0</v>
      </c>
      <c r="D241" s="186">
        <f t="shared" si="39"/>
        <v>0</v>
      </c>
      <c r="E241" s="187">
        <f t="shared" si="40"/>
        <v>8</v>
      </c>
      <c r="F241" s="186">
        <f t="shared" si="41"/>
        <v>1</v>
      </c>
      <c r="G241" s="187">
        <f t="shared" si="42"/>
        <v>1</v>
      </c>
      <c r="H241" s="186">
        <f t="shared" si="43"/>
        <v>2</v>
      </c>
      <c r="I241" s="187">
        <f t="shared" si="44"/>
        <v>0</v>
      </c>
      <c r="J241" s="186">
        <f t="shared" si="45"/>
        <v>1</v>
      </c>
      <c r="K241" s="187"/>
      <c r="L241" s="189">
        <f t="shared" si="47"/>
        <v>237</v>
      </c>
      <c r="M241" s="189">
        <f t="shared" si="46"/>
        <v>592.5</v>
      </c>
    </row>
    <row r="242" spans="1:13" ht="12.75" customHeight="1" x14ac:dyDescent="0.2">
      <c r="A242" s="191">
        <f t="shared" si="36"/>
        <v>630</v>
      </c>
      <c r="B242" s="186">
        <f t="shared" si="37"/>
        <v>2</v>
      </c>
      <c r="C242" s="187">
        <f t="shared" si="38"/>
        <v>0</v>
      </c>
      <c r="D242" s="186">
        <f t="shared" si="39"/>
        <v>0</v>
      </c>
      <c r="E242" s="187">
        <f t="shared" si="40"/>
        <v>8</v>
      </c>
      <c r="F242" s="186">
        <f t="shared" si="41"/>
        <v>1</v>
      </c>
      <c r="G242" s="187">
        <f t="shared" si="42"/>
        <v>1</v>
      </c>
      <c r="H242" s="186">
        <f t="shared" si="43"/>
        <v>2</v>
      </c>
      <c r="I242" s="187">
        <f t="shared" si="44"/>
        <v>1</v>
      </c>
      <c r="J242" s="186">
        <f t="shared" si="45"/>
        <v>0</v>
      </c>
      <c r="K242" s="187"/>
      <c r="L242" s="189">
        <f t="shared" si="47"/>
        <v>238</v>
      </c>
      <c r="M242" s="189">
        <f t="shared" si="46"/>
        <v>595</v>
      </c>
    </row>
    <row r="243" spans="1:13" ht="12.75" customHeight="1" x14ac:dyDescent="0.2">
      <c r="A243" s="191">
        <f t="shared" si="36"/>
        <v>632.5</v>
      </c>
      <c r="B243" s="186">
        <f t="shared" si="37"/>
        <v>2</v>
      </c>
      <c r="C243" s="187">
        <f t="shared" si="38"/>
        <v>0</v>
      </c>
      <c r="D243" s="186">
        <f t="shared" si="39"/>
        <v>0</v>
      </c>
      <c r="E243" s="187">
        <f t="shared" si="40"/>
        <v>8</v>
      </c>
      <c r="F243" s="186">
        <f t="shared" si="41"/>
        <v>1</v>
      </c>
      <c r="G243" s="187">
        <f t="shared" si="42"/>
        <v>1</v>
      </c>
      <c r="H243" s="186">
        <f t="shared" si="43"/>
        <v>2</v>
      </c>
      <c r="I243" s="187">
        <f t="shared" si="44"/>
        <v>1</v>
      </c>
      <c r="J243" s="186">
        <f t="shared" si="45"/>
        <v>1</v>
      </c>
      <c r="K243" s="187"/>
      <c r="L243" s="189">
        <f t="shared" si="47"/>
        <v>239</v>
      </c>
      <c r="M243" s="189">
        <f t="shared" si="46"/>
        <v>597.5</v>
      </c>
    </row>
    <row r="244" spans="1:13" ht="12.75" customHeight="1" x14ac:dyDescent="0.2">
      <c r="A244" s="191">
        <f t="shared" si="36"/>
        <v>0</v>
      </c>
      <c r="B244" s="186">
        <f t="shared" si="37"/>
        <v>0</v>
      </c>
      <c r="C244" s="187">
        <f t="shared" si="38"/>
        <v>0</v>
      </c>
      <c r="D244" s="186">
        <f t="shared" si="39"/>
        <v>0</v>
      </c>
      <c r="E244" s="187">
        <f t="shared" si="40"/>
        <v>0</v>
      </c>
      <c r="F244" s="186">
        <f t="shared" si="41"/>
        <v>0</v>
      </c>
      <c r="G244" s="187">
        <f t="shared" si="42"/>
        <v>0</v>
      </c>
      <c r="H244" s="186">
        <f t="shared" si="43"/>
        <v>0</v>
      </c>
      <c r="I244" s="187">
        <f t="shared" si="44"/>
        <v>0</v>
      </c>
      <c r="J244" s="186">
        <f t="shared" si="45"/>
        <v>0</v>
      </c>
      <c r="K244" s="187"/>
      <c r="L244" s="189">
        <f t="shared" si="47"/>
        <v>240</v>
      </c>
      <c r="M244" s="189">
        <f t="shared" si="46"/>
        <v>600</v>
      </c>
    </row>
    <row r="245" spans="1:13" ht="12.75" customHeight="1" x14ac:dyDescent="0.2">
      <c r="A245" s="191">
        <f t="shared" si="36"/>
        <v>0</v>
      </c>
      <c r="B245" s="186">
        <f t="shared" si="37"/>
        <v>0</v>
      </c>
      <c r="C245" s="187">
        <f t="shared" si="38"/>
        <v>0</v>
      </c>
      <c r="D245" s="186">
        <f t="shared" si="39"/>
        <v>0</v>
      </c>
      <c r="E245" s="187">
        <f t="shared" si="40"/>
        <v>0</v>
      </c>
      <c r="F245" s="186">
        <f t="shared" si="41"/>
        <v>0</v>
      </c>
      <c r="G245" s="187">
        <f t="shared" si="42"/>
        <v>0</v>
      </c>
      <c r="H245" s="186">
        <f t="shared" si="43"/>
        <v>0</v>
      </c>
      <c r="I245" s="187">
        <f t="shared" si="44"/>
        <v>0</v>
      </c>
      <c r="J245" s="186">
        <f t="shared" si="45"/>
        <v>0</v>
      </c>
      <c r="K245" s="187"/>
      <c r="L245" s="189">
        <f t="shared" si="47"/>
        <v>241</v>
      </c>
      <c r="M245" s="189">
        <f t="shared" si="46"/>
        <v>602.5</v>
      </c>
    </row>
    <row r="246" spans="1:13" ht="12.75" customHeight="1" x14ac:dyDescent="0.2">
      <c r="A246" s="191">
        <f t="shared" si="36"/>
        <v>0</v>
      </c>
      <c r="B246" s="186">
        <f t="shared" si="37"/>
        <v>0</v>
      </c>
      <c r="C246" s="187">
        <f t="shared" si="38"/>
        <v>0</v>
      </c>
      <c r="D246" s="186">
        <f t="shared" si="39"/>
        <v>0</v>
      </c>
      <c r="E246" s="187">
        <f t="shared" si="40"/>
        <v>0</v>
      </c>
      <c r="F246" s="186">
        <f t="shared" si="41"/>
        <v>0</v>
      </c>
      <c r="G246" s="187">
        <f t="shared" si="42"/>
        <v>0</v>
      </c>
      <c r="H246" s="186">
        <f t="shared" si="43"/>
        <v>0</v>
      </c>
      <c r="I246" s="187">
        <f t="shared" si="44"/>
        <v>0</v>
      </c>
      <c r="J246" s="186">
        <f t="shared" si="45"/>
        <v>0</v>
      </c>
      <c r="K246" s="187"/>
      <c r="L246" s="189">
        <f t="shared" si="47"/>
        <v>242</v>
      </c>
      <c r="M246" s="189">
        <f t="shared" si="46"/>
        <v>605</v>
      </c>
    </row>
    <row r="247" spans="1:13" ht="12.75" customHeight="1" x14ac:dyDescent="0.2">
      <c r="A247" s="191">
        <f t="shared" si="36"/>
        <v>0</v>
      </c>
      <c r="B247" s="186">
        <f t="shared" si="37"/>
        <v>0</v>
      </c>
      <c r="C247" s="187">
        <f t="shared" si="38"/>
        <v>0</v>
      </c>
      <c r="D247" s="186">
        <f t="shared" si="39"/>
        <v>0</v>
      </c>
      <c r="E247" s="187">
        <f t="shared" si="40"/>
        <v>0</v>
      </c>
      <c r="F247" s="186">
        <f t="shared" si="41"/>
        <v>0</v>
      </c>
      <c r="G247" s="187">
        <f t="shared" si="42"/>
        <v>0</v>
      </c>
      <c r="H247" s="186">
        <f t="shared" si="43"/>
        <v>0</v>
      </c>
      <c r="I247" s="187">
        <f t="shared" si="44"/>
        <v>0</v>
      </c>
      <c r="J247" s="186">
        <f t="shared" si="45"/>
        <v>0</v>
      </c>
      <c r="K247" s="187"/>
      <c r="L247" s="189">
        <f t="shared" si="47"/>
        <v>243</v>
      </c>
      <c r="M247" s="189">
        <f t="shared" si="46"/>
        <v>607.5</v>
      </c>
    </row>
    <row r="248" spans="1:13" ht="12.75" customHeight="1" x14ac:dyDescent="0.2">
      <c r="A248" s="191">
        <f t="shared" si="36"/>
        <v>0</v>
      </c>
      <c r="B248" s="186">
        <f t="shared" si="37"/>
        <v>0</v>
      </c>
      <c r="C248" s="187">
        <f t="shared" si="38"/>
        <v>0</v>
      </c>
      <c r="D248" s="186">
        <f t="shared" si="39"/>
        <v>0</v>
      </c>
      <c r="E248" s="187">
        <f t="shared" si="40"/>
        <v>0</v>
      </c>
      <c r="F248" s="186">
        <f t="shared" si="41"/>
        <v>0</v>
      </c>
      <c r="G248" s="187">
        <f t="shared" si="42"/>
        <v>0</v>
      </c>
      <c r="H248" s="186">
        <f t="shared" si="43"/>
        <v>0</v>
      </c>
      <c r="I248" s="187">
        <f t="shared" si="44"/>
        <v>0</v>
      </c>
      <c r="J248" s="186">
        <f t="shared" si="45"/>
        <v>0</v>
      </c>
      <c r="K248" s="187"/>
      <c r="L248" s="189">
        <f t="shared" si="47"/>
        <v>244</v>
      </c>
      <c r="M248" s="189">
        <f t="shared" si="46"/>
        <v>610</v>
      </c>
    </row>
    <row r="249" spans="1:13" ht="12.75" customHeight="1" x14ac:dyDescent="0.2">
      <c r="A249" s="191">
        <f t="shared" si="36"/>
        <v>0</v>
      </c>
      <c r="B249" s="186">
        <f t="shared" si="37"/>
        <v>0</v>
      </c>
      <c r="C249" s="187">
        <f t="shared" si="38"/>
        <v>0</v>
      </c>
      <c r="D249" s="186">
        <f t="shared" si="39"/>
        <v>0</v>
      </c>
      <c r="E249" s="187">
        <f t="shared" si="40"/>
        <v>0</v>
      </c>
      <c r="F249" s="186">
        <f t="shared" si="41"/>
        <v>0</v>
      </c>
      <c r="G249" s="187">
        <f t="shared" si="42"/>
        <v>0</v>
      </c>
      <c r="H249" s="186">
        <f t="shared" si="43"/>
        <v>0</v>
      </c>
      <c r="I249" s="187">
        <f t="shared" si="44"/>
        <v>0</v>
      </c>
      <c r="J249" s="186">
        <f t="shared" si="45"/>
        <v>0</v>
      </c>
      <c r="K249" s="187"/>
      <c r="L249" s="189">
        <f t="shared" si="47"/>
        <v>245</v>
      </c>
      <c r="M249" s="189">
        <f t="shared" si="46"/>
        <v>612.5</v>
      </c>
    </row>
    <row r="250" spans="1:13" ht="12.75" customHeight="1" x14ac:dyDescent="0.2">
      <c r="A250" s="191">
        <f t="shared" si="36"/>
        <v>0</v>
      </c>
      <c r="B250" s="186">
        <f t="shared" si="37"/>
        <v>0</v>
      </c>
      <c r="C250" s="187">
        <f t="shared" si="38"/>
        <v>0</v>
      </c>
      <c r="D250" s="186">
        <f t="shared" si="39"/>
        <v>0</v>
      </c>
      <c r="E250" s="187">
        <f t="shared" si="40"/>
        <v>0</v>
      </c>
      <c r="F250" s="186">
        <f t="shared" si="41"/>
        <v>0</v>
      </c>
      <c r="G250" s="187">
        <f t="shared" si="42"/>
        <v>0</v>
      </c>
      <c r="H250" s="186">
        <f t="shared" si="43"/>
        <v>0</v>
      </c>
      <c r="I250" s="187">
        <f t="shared" si="44"/>
        <v>0</v>
      </c>
      <c r="J250" s="186">
        <f t="shared" si="45"/>
        <v>0</v>
      </c>
      <c r="K250" s="187"/>
      <c r="L250" s="189">
        <f t="shared" si="47"/>
        <v>246</v>
      </c>
      <c r="M250" s="189">
        <f t="shared" si="46"/>
        <v>615</v>
      </c>
    </row>
    <row r="251" spans="1:13" ht="12.75" customHeight="1" x14ac:dyDescent="0.2">
      <c r="A251" s="191">
        <f t="shared" si="36"/>
        <v>0</v>
      </c>
      <c r="B251" s="186">
        <f t="shared" si="37"/>
        <v>0</v>
      </c>
      <c r="C251" s="187">
        <f t="shared" si="38"/>
        <v>0</v>
      </c>
      <c r="D251" s="186">
        <f t="shared" si="39"/>
        <v>0</v>
      </c>
      <c r="E251" s="187">
        <f t="shared" si="40"/>
        <v>0</v>
      </c>
      <c r="F251" s="186">
        <f t="shared" si="41"/>
        <v>0</v>
      </c>
      <c r="G251" s="187">
        <f t="shared" si="42"/>
        <v>0</v>
      </c>
      <c r="H251" s="186">
        <f t="shared" si="43"/>
        <v>0</v>
      </c>
      <c r="I251" s="187">
        <f t="shared" si="44"/>
        <v>0</v>
      </c>
      <c r="J251" s="186">
        <f t="shared" si="45"/>
        <v>0</v>
      </c>
      <c r="K251" s="187"/>
      <c r="L251" s="189">
        <f t="shared" si="47"/>
        <v>247</v>
      </c>
      <c r="M251" s="189">
        <f t="shared" si="46"/>
        <v>617.5</v>
      </c>
    </row>
    <row r="252" spans="1:13" ht="12.75" customHeight="1" x14ac:dyDescent="0.2">
      <c r="A252" s="191">
        <f t="shared" si="36"/>
        <v>0</v>
      </c>
      <c r="B252" s="186">
        <f t="shared" si="37"/>
        <v>0</v>
      </c>
      <c r="C252" s="187">
        <f t="shared" si="38"/>
        <v>0</v>
      </c>
      <c r="D252" s="186">
        <f t="shared" si="39"/>
        <v>0</v>
      </c>
      <c r="E252" s="187">
        <f t="shared" si="40"/>
        <v>0</v>
      </c>
      <c r="F252" s="186">
        <f t="shared" si="41"/>
        <v>0</v>
      </c>
      <c r="G252" s="187">
        <f t="shared" si="42"/>
        <v>0</v>
      </c>
      <c r="H252" s="186">
        <f t="shared" si="43"/>
        <v>0</v>
      </c>
      <c r="I252" s="187">
        <f t="shared" si="44"/>
        <v>0</v>
      </c>
      <c r="J252" s="186">
        <f t="shared" si="45"/>
        <v>0</v>
      </c>
      <c r="K252" s="187"/>
      <c r="L252" s="189">
        <f t="shared" si="47"/>
        <v>248</v>
      </c>
      <c r="M252" s="189">
        <f t="shared" si="46"/>
        <v>620</v>
      </c>
    </row>
    <row r="253" spans="1:13" ht="12.75" customHeight="1" x14ac:dyDescent="0.2">
      <c r="A253" s="191">
        <f t="shared" si="36"/>
        <v>0</v>
      </c>
      <c r="B253" s="186">
        <f t="shared" si="37"/>
        <v>0</v>
      </c>
      <c r="C253" s="187">
        <f t="shared" si="38"/>
        <v>0</v>
      </c>
      <c r="D253" s="186">
        <f t="shared" si="39"/>
        <v>0</v>
      </c>
      <c r="E253" s="187">
        <f t="shared" si="40"/>
        <v>0</v>
      </c>
      <c r="F253" s="186">
        <f t="shared" si="41"/>
        <v>0</v>
      </c>
      <c r="G253" s="187">
        <f t="shared" si="42"/>
        <v>0</v>
      </c>
      <c r="H253" s="186">
        <f t="shared" si="43"/>
        <v>0</v>
      </c>
      <c r="I253" s="187">
        <f t="shared" si="44"/>
        <v>0</v>
      </c>
      <c r="J253" s="186">
        <f t="shared" si="45"/>
        <v>0</v>
      </c>
      <c r="K253" s="187"/>
      <c r="L253" s="189">
        <f t="shared" si="47"/>
        <v>249</v>
      </c>
      <c r="M253" s="189">
        <f t="shared" si="46"/>
        <v>622.5</v>
      </c>
    </row>
    <row r="254" spans="1:13" ht="12.75" customHeight="1" x14ac:dyDescent="0.2">
      <c r="A254" s="191">
        <f t="shared" si="36"/>
        <v>0</v>
      </c>
      <c r="B254" s="186">
        <f t="shared" si="37"/>
        <v>0</v>
      </c>
      <c r="C254" s="187">
        <f t="shared" si="38"/>
        <v>0</v>
      </c>
      <c r="D254" s="186">
        <f t="shared" si="39"/>
        <v>0</v>
      </c>
      <c r="E254" s="187">
        <f t="shared" si="40"/>
        <v>0</v>
      </c>
      <c r="F254" s="186">
        <f t="shared" si="41"/>
        <v>0</v>
      </c>
      <c r="G254" s="187">
        <f t="shared" si="42"/>
        <v>0</v>
      </c>
      <c r="H254" s="186">
        <f t="shared" si="43"/>
        <v>0</v>
      </c>
      <c r="I254" s="187">
        <f t="shared" si="44"/>
        <v>0</v>
      </c>
      <c r="J254" s="186">
        <f t="shared" si="45"/>
        <v>0</v>
      </c>
      <c r="K254" s="187"/>
      <c r="L254" s="189">
        <f t="shared" si="47"/>
        <v>250</v>
      </c>
      <c r="M254" s="189">
        <f t="shared" si="46"/>
        <v>625</v>
      </c>
    </row>
    <row r="255" spans="1:13" ht="12.75" customHeight="1" x14ac:dyDescent="0.2">
      <c r="A255" s="191">
        <f t="shared" si="36"/>
        <v>0</v>
      </c>
      <c r="B255" s="186">
        <f t="shared" si="37"/>
        <v>0</v>
      </c>
      <c r="C255" s="187">
        <f t="shared" si="38"/>
        <v>0</v>
      </c>
      <c r="D255" s="186">
        <f t="shared" si="39"/>
        <v>0</v>
      </c>
      <c r="E255" s="187">
        <f t="shared" si="40"/>
        <v>0</v>
      </c>
      <c r="F255" s="186">
        <f t="shared" si="41"/>
        <v>0</v>
      </c>
      <c r="G255" s="187">
        <f t="shared" si="42"/>
        <v>0</v>
      </c>
      <c r="H255" s="186">
        <f t="shared" si="43"/>
        <v>0</v>
      </c>
      <c r="I255" s="187">
        <f t="shared" si="44"/>
        <v>0</v>
      </c>
      <c r="J255" s="186">
        <f t="shared" si="45"/>
        <v>0</v>
      </c>
      <c r="K255" s="187"/>
      <c r="L255" s="189">
        <f t="shared" si="47"/>
        <v>251</v>
      </c>
      <c r="M255" s="189">
        <f t="shared" si="46"/>
        <v>627.5</v>
      </c>
    </row>
    <row r="256" spans="1:13" ht="12.75" customHeight="1" x14ac:dyDescent="0.2">
      <c r="A256" s="191">
        <f t="shared" si="36"/>
        <v>0</v>
      </c>
      <c r="B256" s="186">
        <f t="shared" si="37"/>
        <v>0</v>
      </c>
      <c r="C256" s="187">
        <f t="shared" si="38"/>
        <v>0</v>
      </c>
      <c r="D256" s="186">
        <f t="shared" si="39"/>
        <v>0</v>
      </c>
      <c r="E256" s="187">
        <f t="shared" si="40"/>
        <v>0</v>
      </c>
      <c r="F256" s="186">
        <f t="shared" si="41"/>
        <v>0</v>
      </c>
      <c r="G256" s="187">
        <f t="shared" si="42"/>
        <v>0</v>
      </c>
      <c r="H256" s="186">
        <f t="shared" si="43"/>
        <v>0</v>
      </c>
      <c r="I256" s="187">
        <f t="shared" si="44"/>
        <v>0</v>
      </c>
      <c r="J256" s="186">
        <f t="shared" si="45"/>
        <v>0</v>
      </c>
      <c r="K256" s="187"/>
      <c r="L256" s="189">
        <f t="shared" si="47"/>
        <v>252</v>
      </c>
      <c r="M256" s="189">
        <f t="shared" si="46"/>
        <v>630</v>
      </c>
    </row>
    <row r="257" spans="1:13" ht="12.75" customHeight="1" x14ac:dyDescent="0.2">
      <c r="A257" s="191">
        <f t="shared" si="36"/>
        <v>0</v>
      </c>
      <c r="B257" s="186">
        <f t="shared" si="37"/>
        <v>0</v>
      </c>
      <c r="C257" s="187">
        <f t="shared" si="38"/>
        <v>0</v>
      </c>
      <c r="D257" s="186">
        <f t="shared" si="39"/>
        <v>0</v>
      </c>
      <c r="E257" s="187">
        <f t="shared" si="40"/>
        <v>0</v>
      </c>
      <c r="F257" s="186">
        <f t="shared" si="41"/>
        <v>0</v>
      </c>
      <c r="G257" s="187">
        <f t="shared" si="42"/>
        <v>0</v>
      </c>
      <c r="H257" s="186">
        <f t="shared" si="43"/>
        <v>0</v>
      </c>
      <c r="I257" s="187">
        <f t="shared" si="44"/>
        <v>0</v>
      </c>
      <c r="J257" s="186">
        <f t="shared" si="45"/>
        <v>0</v>
      </c>
      <c r="K257" s="187"/>
      <c r="L257" s="189">
        <f t="shared" si="47"/>
        <v>253</v>
      </c>
      <c r="M257" s="189">
        <f t="shared" si="46"/>
        <v>632.5</v>
      </c>
    </row>
    <row r="258" spans="1:13" ht="12.75" customHeight="1" x14ac:dyDescent="0.2">
      <c r="A258" s="191">
        <f t="shared" si="36"/>
        <v>0</v>
      </c>
      <c r="B258" s="186">
        <f t="shared" si="37"/>
        <v>0</v>
      </c>
      <c r="C258" s="187">
        <f t="shared" si="38"/>
        <v>0</v>
      </c>
      <c r="D258" s="186">
        <f t="shared" si="39"/>
        <v>0</v>
      </c>
      <c r="E258" s="187">
        <f t="shared" si="40"/>
        <v>0</v>
      </c>
      <c r="F258" s="186">
        <f t="shared" si="41"/>
        <v>0</v>
      </c>
      <c r="G258" s="187">
        <f t="shared" si="42"/>
        <v>0</v>
      </c>
      <c r="H258" s="186">
        <f t="shared" si="43"/>
        <v>0</v>
      </c>
      <c r="I258" s="187">
        <f t="shared" si="44"/>
        <v>0</v>
      </c>
      <c r="J258" s="186">
        <f t="shared" si="45"/>
        <v>0</v>
      </c>
      <c r="K258" s="187"/>
      <c r="L258" s="189">
        <f t="shared" si="47"/>
        <v>254</v>
      </c>
      <c r="M258" s="189">
        <f t="shared" si="46"/>
        <v>635</v>
      </c>
    </row>
    <row r="259" spans="1:13" ht="12.75" customHeight="1" x14ac:dyDescent="0.2">
      <c r="A259" s="191">
        <f t="shared" si="36"/>
        <v>0</v>
      </c>
      <c r="B259" s="186">
        <f t="shared" si="37"/>
        <v>0</v>
      </c>
      <c r="C259" s="187">
        <f t="shared" si="38"/>
        <v>0</v>
      </c>
      <c r="D259" s="186">
        <f t="shared" si="39"/>
        <v>0</v>
      </c>
      <c r="E259" s="187">
        <f t="shared" si="40"/>
        <v>0</v>
      </c>
      <c r="F259" s="186">
        <f t="shared" si="41"/>
        <v>0</v>
      </c>
      <c r="G259" s="187">
        <f t="shared" si="42"/>
        <v>0</v>
      </c>
      <c r="H259" s="186">
        <f t="shared" si="43"/>
        <v>0</v>
      </c>
      <c r="I259" s="187">
        <f t="shared" si="44"/>
        <v>0</v>
      </c>
      <c r="J259" s="186">
        <f t="shared" si="45"/>
        <v>0</v>
      </c>
      <c r="K259" s="187"/>
      <c r="L259" s="189">
        <f t="shared" si="47"/>
        <v>255</v>
      </c>
      <c r="M259" s="189">
        <f t="shared" si="46"/>
        <v>637.5</v>
      </c>
    </row>
    <row r="260" spans="1:13" ht="12.75" customHeight="1" x14ac:dyDescent="0.2">
      <c r="A260" s="191">
        <f t="shared" si="36"/>
        <v>0</v>
      </c>
      <c r="B260" s="186">
        <f t="shared" si="37"/>
        <v>0</v>
      </c>
      <c r="C260" s="187">
        <f t="shared" si="38"/>
        <v>0</v>
      </c>
      <c r="D260" s="186">
        <f t="shared" si="39"/>
        <v>0</v>
      </c>
      <c r="E260" s="187">
        <f t="shared" si="40"/>
        <v>0</v>
      </c>
      <c r="F260" s="186">
        <f t="shared" si="41"/>
        <v>0</v>
      </c>
      <c r="G260" s="187">
        <f t="shared" si="42"/>
        <v>0</v>
      </c>
      <c r="H260" s="186">
        <f t="shared" si="43"/>
        <v>0</v>
      </c>
      <c r="I260" s="187">
        <f t="shared" si="44"/>
        <v>0</v>
      </c>
      <c r="J260" s="186">
        <f t="shared" si="45"/>
        <v>0</v>
      </c>
      <c r="K260" s="187"/>
      <c r="L260" s="189">
        <f t="shared" si="47"/>
        <v>256</v>
      </c>
      <c r="M260" s="189">
        <f t="shared" si="46"/>
        <v>640</v>
      </c>
    </row>
  </sheetData>
  <phoneticPr fontId="41" type="noConversion"/>
  <dataValidations count="5">
    <dataValidation type="list" allowBlank="1" showInputMessage="1" showErrorMessage="1" prompt="Select the number of plates at this weight from the pull down menu" sqref="F1:J1" xr:uid="{00000000-0002-0000-0F00-000000000000}">
      <formula1>"0,2,4"</formula1>
    </dataValidation>
    <dataValidation type="list" allowBlank="1" showInputMessage="1" showErrorMessage="1" sqref="E1" xr:uid="{00000000-0002-0000-0F00-000001000000}">
      <formula1>"0,2,4,6,8,10,12,14,16,18, 20"</formula1>
    </dataValidation>
    <dataValidation type="list" allowBlank="1" showInputMessage="1" showErrorMessage="1" prompt="Select Pounds or Kilos from the drop down menu" sqref="A2" xr:uid="{00000000-0002-0000-0F00-000002000000}">
      <formula1>"Pounds,Kilos"</formula1>
    </dataValidation>
    <dataValidation type="list" allowBlank="1" showInputMessage="1" showErrorMessage="1" prompt="Select the number of plates at this weight from the pull down menu" sqref="B1:D1" xr:uid="{00000000-0002-0000-0F00-000003000000}">
      <formula1>"0,2,4,6,8,10,12,14,16,18, 20"</formula1>
    </dataValidation>
    <dataValidation type="list" allowBlank="1" showInputMessage="1" showErrorMessage="1" sqref="K2" xr:uid="{00000000-0002-0000-0F00-000004000000}">
      <formula1>$O$2:$O$7</formula1>
    </dataValidation>
  </dataValidations>
  <printOptions horizontalCentered="1"/>
  <pageMargins left="0.75" right="0.75" top="1" bottom="1" header="0.499" footer="0.499"/>
  <pageSetup fitToHeight="0" orientation="portrait" useFirstPageNumber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Z600"/>
  <sheetViews>
    <sheetView topLeftCell="B1" zoomScale="85" zoomScaleNormal="85" workbookViewId="0">
      <pane ySplit="2" topLeftCell="A3" activePane="bottomLeft" state="frozen"/>
      <selection activeCell="B1" sqref="B1"/>
      <selection pane="bottomLeft" activeCell="C15" sqref="C15:W15"/>
    </sheetView>
  </sheetViews>
  <sheetFormatPr defaultColWidth="9.140625" defaultRowHeight="12.75" x14ac:dyDescent="0.2"/>
  <cols>
    <col min="1" max="1" width="9" style="66" hidden="1" customWidth="1"/>
    <col min="2" max="2" width="7.28515625" style="66" customWidth="1"/>
    <col min="3" max="3" width="33.85546875" style="66" customWidth="1"/>
    <col min="4" max="4" width="5.5703125" style="66" customWidth="1"/>
    <col min="5" max="5" width="16.5703125" style="66" customWidth="1"/>
    <col min="6" max="6" width="7.28515625" style="66" customWidth="1"/>
    <col min="7" max="8" width="9.140625" style="66" hidden="1" customWidth="1"/>
    <col min="9" max="9" width="4.42578125" style="66" customWidth="1"/>
    <col min="10" max="10" width="4.42578125" style="207" customWidth="1"/>
    <col min="11" max="11" width="8" style="66" customWidth="1"/>
    <col min="12" max="15" width="9.140625" style="66" hidden="1" customWidth="1"/>
    <col min="16" max="16" width="4.42578125" style="207" customWidth="1"/>
    <col min="17" max="17" width="8" style="66" customWidth="1"/>
    <col min="18" max="22" width="8" style="66" hidden="1" customWidth="1"/>
    <col min="23" max="23" width="8" style="66" customWidth="1"/>
    <col min="24" max="33" width="9.140625" style="66" hidden="1" customWidth="1"/>
    <col min="34" max="34" width="33.140625" style="66" customWidth="1"/>
    <col min="35" max="35" width="14" style="66" customWidth="1"/>
    <col min="36" max="37" width="9.140625" style="15" hidden="1" customWidth="1"/>
    <col min="38" max="38" width="7.5703125" style="15" hidden="1" customWidth="1"/>
    <col min="39" max="39" width="21.140625" style="16" customWidth="1"/>
    <col min="40" max="103" width="9.140625" style="16" hidden="1" customWidth="1"/>
    <col min="104" max="104" width="24.5703125" style="16" customWidth="1"/>
    <col min="105" max="120" width="9.140625" style="16" customWidth="1"/>
    <col min="121" max="16384" width="9.140625" style="16"/>
  </cols>
  <sheetData>
    <row r="1" spans="1:103" s="126" customFormat="1" ht="38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207"/>
      <c r="K1" s="66"/>
      <c r="L1" s="66"/>
      <c r="M1" s="66"/>
      <c r="N1" s="66"/>
      <c r="O1" s="66"/>
      <c r="P1" s="207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125"/>
      <c r="AK1" s="125"/>
      <c r="AL1" s="125"/>
      <c r="AY1" s="21" t="str">
        <f>CONCATENATE("Setup!O7:O",COUNTA(Setup!O:O)+3)</f>
        <v>Setup!O7:O11</v>
      </c>
      <c r="BB1" s="126" t="s">
        <v>62</v>
      </c>
      <c r="BC1" s="126" t="s">
        <v>63</v>
      </c>
      <c r="BD1" s="126" t="s">
        <v>64</v>
      </c>
      <c r="BE1" s="126" t="s">
        <v>65</v>
      </c>
      <c r="BF1" s="126" t="s">
        <v>66</v>
      </c>
      <c r="CC1" s="126">
        <v>15</v>
      </c>
    </row>
    <row r="2" spans="1:103" s="196" customFormat="1" ht="26.25" thickBot="1" x14ac:dyDescent="0.25">
      <c r="A2" s="197"/>
      <c r="B2" s="197" t="s">
        <v>107</v>
      </c>
      <c r="C2" s="197" t="s">
        <v>0</v>
      </c>
      <c r="D2" s="197" t="s">
        <v>1</v>
      </c>
      <c r="E2" s="197" t="s">
        <v>29</v>
      </c>
      <c r="F2" s="197" t="str">
        <f>Setup!K6</f>
        <v>BWt (Kg)</v>
      </c>
      <c r="G2" s="197" t="s">
        <v>103</v>
      </c>
      <c r="H2" s="197" t="s">
        <v>94</v>
      </c>
      <c r="I2" s="197" t="s">
        <v>2</v>
      </c>
      <c r="J2" s="208" t="s">
        <v>26</v>
      </c>
      <c r="K2" s="197" t="s">
        <v>22</v>
      </c>
      <c r="L2" s="197" t="s">
        <v>23</v>
      </c>
      <c r="M2" s="197" t="s">
        <v>24</v>
      </c>
      <c r="N2" s="197" t="s">
        <v>25</v>
      </c>
      <c r="O2" s="197" t="s">
        <v>11</v>
      </c>
      <c r="P2" s="208" t="s">
        <v>27</v>
      </c>
      <c r="Q2" s="197" t="s">
        <v>104</v>
      </c>
      <c r="R2" s="197" t="s">
        <v>13</v>
      </c>
      <c r="S2" s="197" t="s">
        <v>14</v>
      </c>
      <c r="T2" s="197" t="s">
        <v>28</v>
      </c>
      <c r="U2" s="197" t="s">
        <v>15</v>
      </c>
      <c r="V2" s="197" t="s">
        <v>16</v>
      </c>
      <c r="W2" s="197" t="s">
        <v>17</v>
      </c>
      <c r="X2" s="197" t="s">
        <v>18</v>
      </c>
      <c r="Y2" s="197" t="s">
        <v>19</v>
      </c>
      <c r="Z2" s="197" t="s">
        <v>20</v>
      </c>
      <c r="AA2" s="197" t="s">
        <v>21</v>
      </c>
      <c r="AB2" s="197"/>
      <c r="AC2" s="197" t="s">
        <v>90</v>
      </c>
      <c r="AD2" s="197" t="s">
        <v>95</v>
      </c>
      <c r="AE2" s="197" t="s">
        <v>100</v>
      </c>
      <c r="AF2" s="197" t="s">
        <v>30</v>
      </c>
      <c r="AG2" s="197" t="s">
        <v>37</v>
      </c>
      <c r="AH2" s="197" t="s">
        <v>44</v>
      </c>
      <c r="AI2" s="197" t="s">
        <v>106</v>
      </c>
      <c r="AJ2" s="195" t="s">
        <v>102</v>
      </c>
      <c r="AK2" s="195" t="s">
        <v>36</v>
      </c>
      <c r="AL2" s="195" t="s">
        <v>38</v>
      </c>
      <c r="AP2" s="196" t="s">
        <v>98</v>
      </c>
      <c r="AQ2" s="196" t="s">
        <v>99</v>
      </c>
      <c r="AR2" s="196">
        <v>-1</v>
      </c>
      <c r="CC2" s="196">
        <v>3</v>
      </c>
      <c r="CH2" s="196" t="s">
        <v>80</v>
      </c>
      <c r="CI2" s="196" t="s">
        <v>22</v>
      </c>
      <c r="CJ2" s="196" t="s">
        <v>23</v>
      </c>
      <c r="CK2" s="196" t="s">
        <v>24</v>
      </c>
      <c r="CL2" s="196" t="s">
        <v>25</v>
      </c>
      <c r="CM2" s="196" t="s">
        <v>11</v>
      </c>
      <c r="CN2" s="196" t="s">
        <v>27</v>
      </c>
      <c r="CO2" s="196" t="s">
        <v>12</v>
      </c>
      <c r="CP2" s="196" t="s">
        <v>13</v>
      </c>
      <c r="CQ2" s="196" t="s">
        <v>14</v>
      </c>
      <c r="CR2" s="196" t="s">
        <v>28</v>
      </c>
      <c r="CS2" s="196" t="s">
        <v>15</v>
      </c>
      <c r="CT2" s="196" t="s">
        <v>16</v>
      </c>
      <c r="CU2" s="196" t="s">
        <v>17</v>
      </c>
      <c r="CV2" s="196" t="s">
        <v>18</v>
      </c>
      <c r="CW2" s="196" t="s">
        <v>19</v>
      </c>
      <c r="CX2" s="196" t="s">
        <v>20</v>
      </c>
      <c r="CY2" s="196" t="s">
        <v>21</v>
      </c>
    </row>
    <row r="3" spans="1:103" ht="12.75" customHeight="1" x14ac:dyDescent="0.2">
      <c r="B3" s="224" t="s">
        <v>32</v>
      </c>
      <c r="C3" s="268" t="s">
        <v>198</v>
      </c>
      <c r="D3" s="260">
        <v>23</v>
      </c>
      <c r="E3" s="261" t="s">
        <v>188</v>
      </c>
      <c r="F3" s="260">
        <v>58.35</v>
      </c>
      <c r="G3" s="224"/>
      <c r="H3" s="224"/>
      <c r="I3" s="224"/>
      <c r="J3" s="225"/>
      <c r="K3" s="224">
        <v>180</v>
      </c>
      <c r="L3" s="224"/>
      <c r="M3" s="224"/>
      <c r="N3" s="224"/>
      <c r="O3" s="224"/>
      <c r="P3" s="262"/>
      <c r="Q3" s="263">
        <v>105</v>
      </c>
      <c r="R3" s="263"/>
      <c r="S3" s="263"/>
      <c r="T3" s="263"/>
      <c r="U3" s="263"/>
      <c r="V3" s="263"/>
      <c r="W3" s="262">
        <v>190</v>
      </c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64"/>
      <c r="AI3" s="269" t="s">
        <v>186</v>
      </c>
    </row>
    <row r="4" spans="1:103" ht="12.75" customHeight="1" x14ac:dyDescent="0.2">
      <c r="B4" s="224" t="s">
        <v>32</v>
      </c>
      <c r="C4" s="268" t="s">
        <v>199</v>
      </c>
      <c r="D4" s="260">
        <v>18</v>
      </c>
      <c r="E4" s="261" t="s">
        <v>187</v>
      </c>
      <c r="F4" s="260">
        <v>57</v>
      </c>
      <c r="G4" s="224"/>
      <c r="H4" s="224"/>
      <c r="I4" s="224"/>
      <c r="J4" s="225"/>
      <c r="K4" s="224">
        <v>140</v>
      </c>
      <c r="L4" s="224"/>
      <c r="M4" s="224"/>
      <c r="N4" s="224"/>
      <c r="O4" s="224"/>
      <c r="P4" s="262"/>
      <c r="Q4" s="263">
        <v>70</v>
      </c>
      <c r="R4" s="263"/>
      <c r="S4" s="263"/>
      <c r="T4" s="263"/>
      <c r="U4" s="263"/>
      <c r="V4" s="263"/>
      <c r="W4" s="262">
        <v>175</v>
      </c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64"/>
      <c r="AI4" s="269" t="s">
        <v>186</v>
      </c>
    </row>
    <row r="5" spans="1:103" x14ac:dyDescent="0.2">
      <c r="B5" s="224" t="s">
        <v>32</v>
      </c>
      <c r="C5" s="268" t="s">
        <v>200</v>
      </c>
      <c r="D5" s="260">
        <v>25</v>
      </c>
      <c r="E5" s="261" t="s">
        <v>193</v>
      </c>
      <c r="F5" s="260">
        <v>67.400000000000006</v>
      </c>
      <c r="G5" s="224"/>
      <c r="H5" s="224"/>
      <c r="I5" s="224"/>
      <c r="J5" s="225"/>
      <c r="K5" s="224">
        <v>87.5</v>
      </c>
      <c r="L5" s="224"/>
      <c r="M5" s="224"/>
      <c r="N5" s="224"/>
      <c r="O5" s="224"/>
      <c r="P5" s="262"/>
      <c r="Q5" s="263">
        <v>50</v>
      </c>
      <c r="R5" s="263"/>
      <c r="S5" s="263"/>
      <c r="T5" s="263"/>
      <c r="U5" s="263"/>
      <c r="V5" s="263"/>
      <c r="W5" s="262">
        <v>120</v>
      </c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65"/>
      <c r="AI5" s="269" t="s">
        <v>186</v>
      </c>
    </row>
    <row r="6" spans="1:103" ht="12.75" customHeight="1" x14ac:dyDescent="0.2">
      <c r="B6" s="224" t="s">
        <v>32</v>
      </c>
      <c r="C6" s="268" t="s">
        <v>201</v>
      </c>
      <c r="D6" s="260">
        <v>23</v>
      </c>
      <c r="E6" s="261" t="s">
        <v>193</v>
      </c>
      <c r="F6" s="260">
        <v>70.3</v>
      </c>
      <c r="G6" s="224"/>
      <c r="H6" s="224"/>
      <c r="I6" s="224"/>
      <c r="J6" s="225"/>
      <c r="K6" s="224">
        <v>100</v>
      </c>
      <c r="L6" s="224"/>
      <c r="M6" s="224"/>
      <c r="N6" s="224"/>
      <c r="O6" s="224"/>
      <c r="P6" s="262"/>
      <c r="Q6" s="263">
        <v>60</v>
      </c>
      <c r="R6" s="263"/>
      <c r="S6" s="263"/>
      <c r="T6" s="263"/>
      <c r="U6" s="263"/>
      <c r="V6" s="263"/>
      <c r="W6" s="262">
        <v>120</v>
      </c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65"/>
      <c r="AI6" s="269" t="s">
        <v>186</v>
      </c>
    </row>
    <row r="7" spans="1:103" ht="12.75" customHeight="1" x14ac:dyDescent="0.2">
      <c r="B7" s="224" t="s">
        <v>32</v>
      </c>
      <c r="C7" s="268" t="s">
        <v>202</v>
      </c>
      <c r="D7" s="260">
        <v>18</v>
      </c>
      <c r="E7" s="261" t="s">
        <v>193</v>
      </c>
      <c r="F7" s="260">
        <v>62.2</v>
      </c>
      <c r="G7" s="224"/>
      <c r="H7" s="224"/>
      <c r="I7" s="224"/>
      <c r="J7" s="225"/>
      <c r="K7" s="224">
        <v>80</v>
      </c>
      <c r="L7" s="224"/>
      <c r="M7" s="224"/>
      <c r="N7" s="224"/>
      <c r="O7" s="224"/>
      <c r="P7" s="262"/>
      <c r="Q7" s="263">
        <v>35</v>
      </c>
      <c r="R7" s="263"/>
      <c r="S7" s="263"/>
      <c r="T7" s="263"/>
      <c r="U7" s="263"/>
      <c r="V7" s="263"/>
      <c r="W7" s="262">
        <v>100</v>
      </c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65"/>
      <c r="AI7" s="269" t="s">
        <v>186</v>
      </c>
    </row>
    <row r="8" spans="1:103" ht="12.75" customHeight="1" x14ac:dyDescent="0.2">
      <c r="B8" s="238" t="s">
        <v>32</v>
      </c>
      <c r="C8" s="242" t="s">
        <v>203</v>
      </c>
      <c r="D8" s="223">
        <v>21</v>
      </c>
      <c r="E8" s="242" t="s">
        <v>193</v>
      </c>
      <c r="F8" s="66">
        <v>60</v>
      </c>
      <c r="K8" s="66">
        <v>80</v>
      </c>
      <c r="P8" s="225"/>
      <c r="Q8" s="66">
        <v>50</v>
      </c>
      <c r="W8" s="66">
        <v>100</v>
      </c>
      <c r="AH8" s="224"/>
      <c r="AI8" s="224" t="s">
        <v>186</v>
      </c>
    </row>
    <row r="9" spans="1:103" ht="12.75" customHeight="1" x14ac:dyDescent="0.2">
      <c r="B9" s="238" t="s">
        <v>32</v>
      </c>
      <c r="C9" s="242" t="s">
        <v>204</v>
      </c>
      <c r="D9" s="223">
        <v>22</v>
      </c>
      <c r="E9" s="242" t="s">
        <v>193</v>
      </c>
      <c r="F9" s="66">
        <v>67</v>
      </c>
      <c r="K9" s="66">
        <v>115</v>
      </c>
      <c r="P9" s="225"/>
      <c r="Q9" s="66">
        <v>45</v>
      </c>
      <c r="W9" s="66">
        <v>120</v>
      </c>
      <c r="AH9" s="224"/>
      <c r="AI9" s="224" t="s">
        <v>186</v>
      </c>
    </row>
    <row r="10" spans="1:103" ht="12.75" customHeight="1" x14ac:dyDescent="0.2">
      <c r="B10" s="238" t="s">
        <v>32</v>
      </c>
      <c r="C10" s="242" t="s">
        <v>205</v>
      </c>
      <c r="D10" s="223">
        <v>18</v>
      </c>
      <c r="E10" s="242" t="s">
        <v>193</v>
      </c>
      <c r="F10" s="66">
        <v>61</v>
      </c>
      <c r="K10" s="66">
        <v>60</v>
      </c>
      <c r="P10" s="225"/>
      <c r="Q10" s="66">
        <v>40</v>
      </c>
      <c r="W10" s="66">
        <v>70</v>
      </c>
      <c r="AH10" s="224"/>
      <c r="AI10" s="224" t="s">
        <v>186</v>
      </c>
    </row>
    <row r="11" spans="1:103" ht="12.75" customHeight="1" x14ac:dyDescent="0.2">
      <c r="B11" s="238" t="s">
        <v>32</v>
      </c>
      <c r="C11" s="242" t="s">
        <v>206</v>
      </c>
      <c r="D11" s="223">
        <v>28</v>
      </c>
      <c r="E11" s="242" t="s">
        <v>193</v>
      </c>
      <c r="F11" s="66">
        <v>48</v>
      </c>
      <c r="K11" s="66">
        <v>70</v>
      </c>
      <c r="P11" s="225"/>
      <c r="Q11" s="289">
        <v>45</v>
      </c>
      <c r="W11" s="66">
        <v>90</v>
      </c>
      <c r="AH11" s="224"/>
      <c r="AI11" s="224" t="s">
        <v>186</v>
      </c>
    </row>
    <row r="12" spans="1:103" ht="12.75" customHeight="1" x14ac:dyDescent="0.2">
      <c r="B12" s="238" t="s">
        <v>32</v>
      </c>
      <c r="C12" s="242" t="s">
        <v>207</v>
      </c>
      <c r="D12" s="223">
        <v>24</v>
      </c>
      <c r="E12" s="242" t="s">
        <v>193</v>
      </c>
      <c r="F12" s="66">
        <v>62</v>
      </c>
      <c r="K12" s="66">
        <v>85</v>
      </c>
      <c r="P12" s="225"/>
      <c r="Q12" s="66">
        <v>45</v>
      </c>
      <c r="W12" s="66">
        <v>92.5</v>
      </c>
      <c r="AH12" s="224"/>
      <c r="AI12" s="224" t="s">
        <v>186</v>
      </c>
    </row>
    <row r="13" spans="1:103" ht="12.75" customHeight="1" x14ac:dyDescent="0.2">
      <c r="B13" s="238" t="s">
        <v>32</v>
      </c>
      <c r="C13" s="268" t="s">
        <v>209</v>
      </c>
      <c r="D13" s="260">
        <v>21</v>
      </c>
      <c r="E13" s="261" t="s">
        <v>193</v>
      </c>
      <c r="F13" s="260">
        <v>66.599999999999994</v>
      </c>
      <c r="G13" s="224"/>
      <c r="H13" s="224"/>
      <c r="I13" s="224"/>
      <c r="J13" s="225"/>
      <c r="K13" s="224">
        <v>120</v>
      </c>
      <c r="L13" s="224"/>
      <c r="M13" s="224"/>
      <c r="N13" s="224"/>
      <c r="O13" s="224"/>
      <c r="P13" s="262"/>
      <c r="Q13" s="263">
        <v>55</v>
      </c>
      <c r="R13" s="263"/>
      <c r="S13" s="263"/>
      <c r="T13" s="263"/>
      <c r="U13" s="263"/>
      <c r="V13" s="263"/>
      <c r="W13" s="262">
        <v>150</v>
      </c>
      <c r="AH13" s="224"/>
      <c r="AI13" s="224" t="s">
        <v>186</v>
      </c>
    </row>
    <row r="14" spans="1:103" ht="12.75" customHeight="1" x14ac:dyDescent="0.2">
      <c r="B14" s="238" t="s">
        <v>32</v>
      </c>
      <c r="C14" s="268" t="s">
        <v>208</v>
      </c>
      <c r="D14" s="260">
        <v>23</v>
      </c>
      <c r="E14" s="261" t="s">
        <v>193</v>
      </c>
      <c r="F14" s="260">
        <v>85.05</v>
      </c>
      <c r="G14" s="224"/>
      <c r="H14" s="224"/>
      <c r="I14" s="224"/>
      <c r="J14" s="225"/>
      <c r="K14" s="224">
        <v>105</v>
      </c>
      <c r="L14" s="224"/>
      <c r="M14" s="224"/>
      <c r="N14" s="224"/>
      <c r="O14" s="224"/>
      <c r="P14" s="262"/>
      <c r="Q14" s="263">
        <v>62.5</v>
      </c>
      <c r="R14" s="263"/>
      <c r="S14" s="263"/>
      <c r="T14" s="263"/>
      <c r="U14" s="263"/>
      <c r="V14" s="263"/>
      <c r="W14" s="262">
        <v>125</v>
      </c>
      <c r="AH14" s="224"/>
      <c r="AI14" s="224" t="s">
        <v>186</v>
      </c>
    </row>
    <row r="15" spans="1:103" ht="12.75" customHeight="1" x14ac:dyDescent="0.2">
      <c r="B15" s="238" t="s">
        <v>32</v>
      </c>
      <c r="C15" s="242" t="s">
        <v>210</v>
      </c>
      <c r="D15" s="223">
        <v>26</v>
      </c>
      <c r="E15" s="242" t="s">
        <v>188</v>
      </c>
      <c r="F15" s="66">
        <v>62.2</v>
      </c>
      <c r="K15" s="66">
        <v>60</v>
      </c>
      <c r="P15" s="225"/>
      <c r="Q15" s="66">
        <v>30</v>
      </c>
      <c r="W15" s="66">
        <v>80</v>
      </c>
      <c r="AH15" s="224"/>
      <c r="AI15" s="224" t="s">
        <v>186</v>
      </c>
      <c r="AM15" s="241"/>
    </row>
    <row r="16" spans="1:103" ht="12.75" customHeight="1" x14ac:dyDescent="0.2">
      <c r="B16" s="238" t="s">
        <v>32</v>
      </c>
      <c r="C16" s="242"/>
      <c r="D16" s="223"/>
      <c r="E16" s="242"/>
      <c r="P16" s="225"/>
      <c r="AH16" s="224"/>
      <c r="AI16" s="224" t="s">
        <v>186</v>
      </c>
    </row>
    <row r="17" spans="2:39" x14ac:dyDescent="0.2">
      <c r="B17" s="238" t="s">
        <v>32</v>
      </c>
      <c r="C17" s="242"/>
      <c r="D17" s="223"/>
      <c r="E17" s="242"/>
      <c r="P17" s="225"/>
      <c r="AH17" s="224"/>
      <c r="AI17" s="224" t="s">
        <v>186</v>
      </c>
    </row>
    <row r="18" spans="2:39" ht="12.75" customHeight="1" x14ac:dyDescent="0.2">
      <c r="B18" s="238" t="s">
        <v>32</v>
      </c>
      <c r="C18" s="242"/>
      <c r="D18" s="223"/>
      <c r="E18" s="242"/>
      <c r="P18" s="225"/>
      <c r="AH18" s="224"/>
      <c r="AI18" s="224" t="s">
        <v>186</v>
      </c>
      <c r="AM18" s="241"/>
    </row>
    <row r="19" spans="2:39" ht="12.75" customHeight="1" x14ac:dyDescent="0.2">
      <c r="B19" s="238" t="s">
        <v>32</v>
      </c>
      <c r="C19" s="242"/>
      <c r="D19" s="223"/>
      <c r="E19" s="242"/>
      <c r="P19" s="225"/>
      <c r="AH19" s="224"/>
      <c r="AI19" s="224" t="s">
        <v>186</v>
      </c>
    </row>
    <row r="20" spans="2:39" ht="12.75" customHeight="1" x14ac:dyDescent="0.2">
      <c r="B20" s="238" t="s">
        <v>32</v>
      </c>
      <c r="C20" s="242"/>
      <c r="D20" s="223"/>
      <c r="E20" s="242"/>
      <c r="P20" s="225"/>
      <c r="AH20" s="224"/>
      <c r="AI20" s="224" t="s">
        <v>186</v>
      </c>
    </row>
    <row r="21" spans="2:39" ht="12.75" customHeight="1" x14ac:dyDescent="0.2">
      <c r="B21" s="238" t="s">
        <v>32</v>
      </c>
      <c r="C21" s="242"/>
      <c r="D21" s="223"/>
      <c r="E21" s="242"/>
      <c r="P21" s="225"/>
      <c r="AH21" s="224"/>
      <c r="AI21" s="224" t="s">
        <v>186</v>
      </c>
    </row>
    <row r="22" spans="2:39" ht="12.75" customHeight="1" x14ac:dyDescent="0.2">
      <c r="B22" s="238" t="s">
        <v>32</v>
      </c>
      <c r="C22" s="242"/>
      <c r="D22" s="223"/>
      <c r="E22" s="242"/>
      <c r="P22" s="225"/>
      <c r="AH22" s="224"/>
      <c r="AI22" s="224" t="s">
        <v>186</v>
      </c>
    </row>
    <row r="23" spans="2:39" x14ac:dyDescent="0.2">
      <c r="B23" s="238" t="s">
        <v>32</v>
      </c>
      <c r="C23" s="242"/>
      <c r="D23" s="223"/>
      <c r="E23" s="242"/>
      <c r="P23" s="225"/>
      <c r="AH23" s="224"/>
      <c r="AI23" s="224" t="s">
        <v>186</v>
      </c>
    </row>
    <row r="24" spans="2:39" ht="12.75" customHeight="1" x14ac:dyDescent="0.2">
      <c r="B24" s="238" t="s">
        <v>32</v>
      </c>
      <c r="C24" s="242"/>
      <c r="D24" s="223"/>
      <c r="E24" s="242"/>
      <c r="P24" s="225"/>
      <c r="AH24" s="224"/>
      <c r="AI24" s="224" t="s">
        <v>186</v>
      </c>
      <c r="AM24" s="241"/>
    </row>
    <row r="25" spans="2:39" ht="12.75" customHeight="1" x14ac:dyDescent="0.2">
      <c r="B25" s="238" t="s">
        <v>32</v>
      </c>
      <c r="C25" s="242"/>
      <c r="D25" s="223"/>
      <c r="E25" s="242"/>
      <c r="P25" s="225"/>
      <c r="AH25" s="224"/>
      <c r="AI25" s="224" t="s">
        <v>186</v>
      </c>
    </row>
    <row r="26" spans="2:39" ht="12.75" customHeight="1" x14ac:dyDescent="0.2">
      <c r="B26" s="238" t="s">
        <v>32</v>
      </c>
      <c r="C26" s="242"/>
      <c r="D26" s="223"/>
      <c r="E26" s="242"/>
      <c r="P26" s="225"/>
      <c r="AH26" s="224"/>
      <c r="AI26" s="224" t="s">
        <v>186</v>
      </c>
    </row>
    <row r="27" spans="2:39" ht="12.75" customHeight="1" x14ac:dyDescent="0.2">
      <c r="B27" s="238" t="s">
        <v>32</v>
      </c>
      <c r="C27" s="242"/>
      <c r="D27" s="223"/>
      <c r="E27" s="242"/>
      <c r="P27" s="225"/>
      <c r="AH27" s="224"/>
      <c r="AI27" s="224"/>
    </row>
    <row r="28" spans="2:39" ht="12.75" customHeight="1" x14ac:dyDescent="0.2">
      <c r="B28" s="238" t="s">
        <v>32</v>
      </c>
      <c r="C28" s="242"/>
      <c r="D28" s="223"/>
      <c r="E28" s="242"/>
      <c r="P28" s="225"/>
      <c r="AH28" s="224"/>
      <c r="AI28" s="224"/>
    </row>
    <row r="29" spans="2:39" ht="12.75" customHeight="1" x14ac:dyDescent="0.2">
      <c r="B29" s="238" t="s">
        <v>32</v>
      </c>
      <c r="C29" s="242"/>
      <c r="D29" s="223"/>
      <c r="E29" s="242"/>
      <c r="P29" s="225"/>
      <c r="AH29" s="224"/>
      <c r="AI29" s="224"/>
    </row>
    <row r="30" spans="2:39" ht="12.75" customHeight="1" x14ac:dyDescent="0.2">
      <c r="B30" s="238" t="s">
        <v>32</v>
      </c>
      <c r="C30" s="242"/>
      <c r="D30" s="223"/>
      <c r="E30" s="242"/>
      <c r="P30" s="225"/>
      <c r="AH30" s="224"/>
      <c r="AI30" s="224"/>
    </row>
    <row r="31" spans="2:39" ht="12.75" customHeight="1" x14ac:dyDescent="0.2">
      <c r="B31" s="238" t="s">
        <v>32</v>
      </c>
      <c r="C31" s="242"/>
      <c r="D31" s="223"/>
      <c r="E31" s="242"/>
      <c r="P31" s="225"/>
      <c r="AH31" s="224"/>
      <c r="AI31" s="224"/>
    </row>
    <row r="32" spans="2:39" ht="12.75" customHeight="1" x14ac:dyDescent="0.2">
      <c r="B32" s="238" t="s">
        <v>32</v>
      </c>
      <c r="C32" s="242"/>
      <c r="D32" s="223"/>
      <c r="E32" s="242"/>
      <c r="P32" s="225"/>
      <c r="AH32" s="224"/>
      <c r="AI32" s="224"/>
    </row>
    <row r="33" spans="2:104" ht="12.75" customHeight="1" x14ac:dyDescent="0.2">
      <c r="B33" s="238" t="s">
        <v>32</v>
      </c>
      <c r="C33" s="242"/>
      <c r="D33" s="223"/>
      <c r="E33" s="242"/>
      <c r="P33" s="225"/>
      <c r="AH33" s="224"/>
      <c r="AI33" s="224"/>
    </row>
    <row r="34" spans="2:104" ht="12.75" customHeight="1" x14ac:dyDescent="0.2">
      <c r="B34" s="238" t="s">
        <v>32</v>
      </c>
      <c r="C34" s="242"/>
      <c r="D34" s="223"/>
      <c r="E34" s="242"/>
      <c r="P34" s="225"/>
      <c r="AH34" s="224"/>
      <c r="AI34" s="224"/>
    </row>
    <row r="35" spans="2:104" ht="12.75" customHeight="1" x14ac:dyDescent="0.2">
      <c r="B35" s="238" t="s">
        <v>32</v>
      </c>
      <c r="C35" s="242"/>
      <c r="D35" s="223"/>
      <c r="E35" s="242"/>
      <c r="P35" s="225"/>
      <c r="AH35" s="224"/>
      <c r="AI35" s="224"/>
    </row>
    <row r="36" spans="2:104" ht="12.75" customHeight="1" x14ac:dyDescent="0.2">
      <c r="B36" s="238" t="s">
        <v>32</v>
      </c>
      <c r="C36" s="242"/>
      <c r="D36" s="223"/>
      <c r="E36" s="242"/>
      <c r="P36" s="225"/>
      <c r="AH36" s="224"/>
      <c r="AI36" s="224"/>
    </row>
    <row r="37" spans="2:104" ht="12.75" customHeight="1" x14ac:dyDescent="0.2">
      <c r="B37" s="238"/>
      <c r="C37" s="242"/>
      <c r="D37" s="223"/>
      <c r="E37" s="242"/>
      <c r="P37" s="225"/>
      <c r="AH37" s="224"/>
      <c r="AI37" s="224"/>
    </row>
    <row r="38" spans="2:104" ht="12.75" customHeight="1" x14ac:dyDescent="0.2">
      <c r="B38" s="238"/>
      <c r="C38" s="242"/>
      <c r="D38" s="223"/>
      <c r="E38" s="242"/>
      <c r="P38" s="225"/>
      <c r="AH38" s="224"/>
      <c r="AI38" s="224"/>
    </row>
    <row r="39" spans="2:104" ht="12.75" customHeight="1" x14ac:dyDescent="0.2">
      <c r="B39" s="238"/>
      <c r="C39" s="242"/>
      <c r="D39" s="223"/>
      <c r="E39" s="242"/>
      <c r="P39" s="225"/>
      <c r="AH39" s="224"/>
      <c r="AI39" s="224"/>
      <c r="CZ39" s="239"/>
    </row>
    <row r="40" spans="2:104" ht="12.75" customHeight="1" x14ac:dyDescent="0.2">
      <c r="B40" s="238"/>
      <c r="C40" s="242"/>
      <c r="D40" s="223"/>
      <c r="E40" s="242"/>
      <c r="P40" s="225"/>
      <c r="AH40" s="224"/>
      <c r="AI40" s="224"/>
      <c r="CZ40" s="239"/>
    </row>
    <row r="41" spans="2:104" ht="12.75" customHeight="1" x14ac:dyDescent="0.2">
      <c r="B41" s="238"/>
      <c r="C41" s="242"/>
      <c r="D41" s="223"/>
      <c r="E41" s="242"/>
      <c r="P41" s="225"/>
      <c r="AH41" s="224"/>
      <c r="AI41" s="224"/>
    </row>
    <row r="42" spans="2:104" x14ac:dyDescent="0.2">
      <c r="B42" s="238"/>
      <c r="C42" s="242"/>
      <c r="D42" s="223"/>
      <c r="E42" s="242"/>
      <c r="P42" s="225"/>
      <c r="AH42" s="224"/>
      <c r="AI42" s="224"/>
    </row>
    <row r="43" spans="2:104" ht="12.75" customHeight="1" x14ac:dyDescent="0.2">
      <c r="B43" s="238"/>
      <c r="C43" s="242"/>
      <c r="D43" s="223"/>
      <c r="E43" s="242"/>
      <c r="P43" s="225"/>
      <c r="AH43" s="224"/>
      <c r="AI43" s="224"/>
    </row>
    <row r="44" spans="2:104" ht="12.75" customHeight="1" x14ac:dyDescent="0.2">
      <c r="B44" s="238"/>
      <c r="C44" s="242"/>
      <c r="D44" s="223"/>
      <c r="E44" s="242"/>
      <c r="P44" s="225"/>
      <c r="AH44" s="224"/>
      <c r="AI44" s="224"/>
    </row>
    <row r="45" spans="2:104" ht="12.75" customHeight="1" x14ac:dyDescent="0.2">
      <c r="B45" s="238"/>
      <c r="C45" s="242"/>
      <c r="D45" s="223"/>
      <c r="E45" s="242"/>
      <c r="P45" s="225"/>
      <c r="AH45" s="224"/>
      <c r="AI45" s="224"/>
    </row>
    <row r="46" spans="2:104" ht="12.75" customHeight="1" x14ac:dyDescent="0.2">
      <c r="B46" s="238"/>
      <c r="C46" s="242"/>
      <c r="D46" s="223"/>
      <c r="E46" s="242"/>
      <c r="P46" s="225"/>
      <c r="AH46" s="224"/>
      <c r="AI46" s="224"/>
    </row>
    <row r="47" spans="2:104" ht="12.75" customHeight="1" x14ac:dyDescent="0.2">
      <c r="B47" s="238"/>
      <c r="C47" s="242"/>
      <c r="D47" s="223"/>
      <c r="E47" s="242"/>
      <c r="P47" s="225"/>
      <c r="AH47" s="224"/>
      <c r="AI47" s="224"/>
    </row>
    <row r="48" spans="2:104" ht="12.75" customHeight="1" x14ac:dyDescent="0.2">
      <c r="B48" s="238"/>
      <c r="C48" s="242"/>
      <c r="D48" s="223"/>
      <c r="E48" s="242"/>
      <c r="P48" s="225"/>
      <c r="AH48" s="224"/>
      <c r="AI48" s="224"/>
    </row>
    <row r="49" spans="2:39" x14ac:dyDescent="0.2">
      <c r="B49" s="238"/>
      <c r="C49" s="242"/>
      <c r="D49" s="223"/>
      <c r="E49" s="242"/>
      <c r="P49" s="225"/>
      <c r="AH49" s="224"/>
      <c r="AI49" s="224"/>
    </row>
    <row r="50" spans="2:39" ht="12.75" customHeight="1" x14ac:dyDescent="0.2">
      <c r="B50" s="238"/>
      <c r="C50" s="242"/>
      <c r="D50" s="223"/>
      <c r="E50" s="242"/>
      <c r="P50" s="225"/>
      <c r="AH50" s="224"/>
      <c r="AI50" s="224"/>
    </row>
    <row r="51" spans="2:39" ht="12.75" customHeight="1" x14ac:dyDescent="0.2">
      <c r="B51" s="238"/>
      <c r="C51" s="242"/>
      <c r="D51" s="223"/>
      <c r="E51" s="242"/>
      <c r="P51" s="225"/>
      <c r="AH51" s="224"/>
      <c r="AI51" s="224"/>
    </row>
    <row r="52" spans="2:39" ht="12.75" customHeight="1" x14ac:dyDescent="0.2">
      <c r="B52" s="238"/>
      <c r="C52" s="242"/>
      <c r="D52" s="223"/>
      <c r="E52" s="242"/>
      <c r="P52" s="225"/>
      <c r="AH52" s="224"/>
      <c r="AI52" s="224"/>
      <c r="AM52" s="241"/>
    </row>
    <row r="53" spans="2:39" ht="12.75" customHeight="1" x14ac:dyDescent="0.2">
      <c r="B53" s="238"/>
      <c r="C53" s="242"/>
      <c r="D53" s="223"/>
      <c r="E53" s="242"/>
      <c r="P53" s="225"/>
      <c r="AH53" s="224"/>
      <c r="AI53" s="224"/>
    </row>
    <row r="54" spans="2:39" ht="12.75" customHeight="1" x14ac:dyDescent="0.2">
      <c r="B54" s="238"/>
      <c r="C54" s="242"/>
      <c r="D54" s="223"/>
      <c r="E54" s="242"/>
      <c r="P54" s="225"/>
      <c r="AH54" s="224"/>
      <c r="AI54" s="224"/>
    </row>
    <row r="55" spans="2:39" ht="12.75" customHeight="1" x14ac:dyDescent="0.2">
      <c r="B55" s="238"/>
      <c r="C55" s="242"/>
      <c r="D55" s="223"/>
      <c r="E55" s="242"/>
      <c r="P55" s="225"/>
      <c r="AH55" s="224"/>
      <c r="AI55" s="224"/>
    </row>
    <row r="56" spans="2:39" ht="12.75" customHeight="1" x14ac:dyDescent="0.2">
      <c r="B56" s="238"/>
      <c r="C56" s="242"/>
      <c r="D56" s="223"/>
      <c r="E56" s="242"/>
      <c r="P56" s="225"/>
      <c r="AH56" s="224"/>
      <c r="AI56" s="224"/>
    </row>
    <row r="57" spans="2:39" ht="12.75" customHeight="1" x14ac:dyDescent="0.2">
      <c r="B57" s="238"/>
      <c r="C57" s="242"/>
      <c r="D57" s="223"/>
      <c r="E57" s="242"/>
      <c r="P57" s="225"/>
      <c r="AH57" s="224"/>
      <c r="AI57" s="224"/>
    </row>
    <row r="58" spans="2:39" x14ac:dyDescent="0.2">
      <c r="B58" s="238"/>
      <c r="C58" s="242"/>
      <c r="D58" s="223"/>
      <c r="E58" s="242"/>
      <c r="P58" s="225"/>
      <c r="AH58" s="224"/>
      <c r="AI58" s="224"/>
    </row>
    <row r="59" spans="2:39" ht="12.75" customHeight="1" x14ac:dyDescent="0.2">
      <c r="B59" s="238"/>
      <c r="C59" s="242"/>
      <c r="D59" s="223"/>
      <c r="E59" s="242"/>
      <c r="P59" s="225"/>
      <c r="AH59" s="224"/>
      <c r="AI59" s="224"/>
    </row>
    <row r="60" spans="2:39" ht="12.75" customHeight="1" x14ac:dyDescent="0.2">
      <c r="B60" s="238"/>
      <c r="C60" s="242"/>
      <c r="D60" s="223"/>
      <c r="E60" s="242"/>
      <c r="P60" s="225"/>
      <c r="AH60" s="224"/>
      <c r="AI60" s="224"/>
    </row>
    <row r="61" spans="2:39" ht="12.75" customHeight="1" x14ac:dyDescent="0.2">
      <c r="B61" s="238"/>
      <c r="C61" s="242"/>
      <c r="D61" s="223"/>
      <c r="E61" s="242"/>
      <c r="P61" s="225"/>
      <c r="AH61" s="224"/>
      <c r="AI61" s="224"/>
    </row>
    <row r="62" spans="2:39" ht="12.75" customHeight="1" x14ac:dyDescent="0.2">
      <c r="B62" s="238"/>
      <c r="C62" s="242"/>
      <c r="D62" s="223"/>
      <c r="E62" s="242"/>
      <c r="P62" s="225"/>
      <c r="AH62" s="224"/>
      <c r="AI62" s="224"/>
    </row>
    <row r="63" spans="2:39" x14ac:dyDescent="0.2">
      <c r="B63" s="238"/>
      <c r="C63" s="242"/>
      <c r="D63" s="223"/>
      <c r="E63" s="242"/>
      <c r="P63" s="225"/>
      <c r="AH63" s="224"/>
      <c r="AI63" s="224"/>
    </row>
    <row r="64" spans="2:39" x14ac:dyDescent="0.2">
      <c r="B64" s="238"/>
      <c r="C64" s="242"/>
      <c r="D64" s="223"/>
      <c r="E64" s="242"/>
      <c r="P64" s="225"/>
      <c r="AH64" s="224"/>
      <c r="AI64" s="224"/>
    </row>
    <row r="65" spans="2:104" x14ac:dyDescent="0.2">
      <c r="B65" s="238"/>
      <c r="C65" s="242"/>
      <c r="D65" s="223"/>
      <c r="E65" s="242"/>
      <c r="P65" s="225"/>
      <c r="AH65" s="224"/>
      <c r="AI65" s="224"/>
    </row>
    <row r="66" spans="2:104" ht="12.75" customHeight="1" x14ac:dyDescent="0.2">
      <c r="B66" s="238"/>
      <c r="C66" s="242"/>
      <c r="D66" s="223"/>
      <c r="E66" s="242"/>
      <c r="P66" s="225"/>
      <c r="AH66" s="224"/>
      <c r="AI66" s="224"/>
    </row>
    <row r="67" spans="2:104" ht="12.75" customHeight="1" x14ac:dyDescent="0.2">
      <c r="B67" s="238"/>
      <c r="C67" s="242"/>
      <c r="D67" s="223"/>
      <c r="E67" s="242"/>
      <c r="P67" s="225"/>
      <c r="AH67" s="224"/>
      <c r="AI67" s="224"/>
    </row>
    <row r="68" spans="2:104" ht="12.75" customHeight="1" x14ac:dyDescent="0.2">
      <c r="B68" s="238"/>
      <c r="C68" s="242"/>
      <c r="D68" s="223"/>
      <c r="E68" s="242"/>
      <c r="P68" s="225"/>
      <c r="AH68" s="224"/>
      <c r="AI68" s="224"/>
    </row>
    <row r="69" spans="2:104" ht="12.75" customHeight="1" x14ac:dyDescent="0.2">
      <c r="B69" s="238"/>
      <c r="C69" s="242"/>
      <c r="D69" s="223"/>
      <c r="E69" s="242"/>
      <c r="P69" s="225"/>
      <c r="AH69" s="224"/>
      <c r="AI69" s="224"/>
    </row>
    <row r="70" spans="2:104" ht="15" customHeight="1" x14ac:dyDescent="0.2">
      <c r="B70" s="238"/>
      <c r="C70" s="242"/>
      <c r="D70" s="223"/>
      <c r="E70" s="242"/>
      <c r="P70" s="225"/>
      <c r="AH70" s="224"/>
      <c r="AI70" s="224"/>
    </row>
    <row r="71" spans="2:104" ht="12.75" customHeight="1" x14ac:dyDescent="0.2">
      <c r="B71" s="238"/>
      <c r="C71" s="242"/>
      <c r="D71" s="223"/>
      <c r="E71" s="242"/>
      <c r="P71" s="225"/>
      <c r="AH71" s="224"/>
      <c r="AI71" s="224"/>
      <c r="CZ71" s="239"/>
    </row>
    <row r="72" spans="2:104" ht="15" customHeight="1" x14ac:dyDescent="0.2">
      <c r="B72" s="238"/>
      <c r="C72" s="242"/>
      <c r="D72" s="223"/>
      <c r="E72" s="242"/>
      <c r="P72" s="225"/>
      <c r="AH72" s="224"/>
      <c r="AI72" s="224"/>
    </row>
    <row r="73" spans="2:104" ht="15" customHeight="1" x14ac:dyDescent="0.2">
      <c r="B73" s="238"/>
      <c r="C73" s="242"/>
      <c r="D73" s="223"/>
      <c r="E73" s="242"/>
      <c r="P73" s="225"/>
      <c r="AH73" s="224"/>
      <c r="AI73" s="224"/>
    </row>
    <row r="74" spans="2:104" ht="12.75" customHeight="1" x14ac:dyDescent="0.2">
      <c r="B74" s="238"/>
      <c r="C74" s="242"/>
      <c r="D74" s="223"/>
      <c r="E74" s="242"/>
      <c r="P74" s="225"/>
      <c r="AH74" s="224"/>
      <c r="AI74" s="224"/>
    </row>
    <row r="75" spans="2:104" ht="12.75" customHeight="1" x14ac:dyDescent="0.2">
      <c r="B75" s="238"/>
      <c r="C75" s="242"/>
      <c r="D75" s="223"/>
      <c r="E75" s="242"/>
      <c r="P75" s="225"/>
      <c r="AH75" s="224"/>
      <c r="AI75" s="224"/>
    </row>
    <row r="76" spans="2:104" ht="12.75" customHeight="1" x14ac:dyDescent="0.2">
      <c r="B76" s="238"/>
      <c r="C76" s="242"/>
      <c r="D76" s="223"/>
      <c r="E76" s="242"/>
      <c r="P76" s="225"/>
      <c r="AH76" s="224"/>
      <c r="AI76" s="224"/>
    </row>
    <row r="77" spans="2:104" ht="12.75" customHeight="1" x14ac:dyDescent="0.2">
      <c r="B77" s="238"/>
      <c r="C77" s="242"/>
      <c r="D77" s="223"/>
      <c r="E77" s="242"/>
      <c r="P77" s="225"/>
      <c r="AH77" s="224"/>
      <c r="AI77" s="224"/>
    </row>
    <row r="78" spans="2:104" x14ac:dyDescent="0.2">
      <c r="B78" s="238"/>
      <c r="C78" s="242"/>
      <c r="D78" s="223"/>
      <c r="E78" s="242"/>
      <c r="P78" s="225"/>
      <c r="AH78" s="224"/>
      <c r="AI78" s="224"/>
    </row>
    <row r="79" spans="2:104" x14ac:dyDescent="0.2">
      <c r="B79" s="238"/>
      <c r="C79" s="242"/>
      <c r="D79" s="223"/>
      <c r="E79" s="242"/>
      <c r="P79" s="225"/>
      <c r="AH79" s="224"/>
      <c r="AI79" s="224"/>
    </row>
    <row r="80" spans="2:104" ht="12.75" customHeight="1" x14ac:dyDescent="0.2">
      <c r="B80" s="238"/>
      <c r="C80" s="242"/>
      <c r="D80" s="223"/>
      <c r="E80" s="242"/>
      <c r="P80" s="225"/>
      <c r="AH80" s="224"/>
      <c r="AI80" s="224"/>
    </row>
    <row r="81" spans="2:35" ht="12.75" customHeight="1" x14ac:dyDescent="0.2">
      <c r="B81" s="238"/>
      <c r="C81" s="242"/>
      <c r="D81" s="223"/>
      <c r="E81" s="242"/>
      <c r="P81" s="225"/>
      <c r="AH81" s="224"/>
      <c r="AI81" s="224"/>
    </row>
    <row r="82" spans="2:35" x14ac:dyDescent="0.2">
      <c r="B82" s="238"/>
      <c r="C82" s="242"/>
      <c r="D82" s="223"/>
      <c r="E82" s="242"/>
      <c r="P82" s="225"/>
      <c r="AH82" s="224"/>
      <c r="AI82" s="224"/>
    </row>
    <row r="83" spans="2:35" x14ac:dyDescent="0.2">
      <c r="B83" s="238"/>
      <c r="C83" s="242"/>
      <c r="D83" s="223"/>
      <c r="E83" s="242"/>
      <c r="P83" s="225"/>
      <c r="AH83" s="224"/>
      <c r="AI83" s="224"/>
    </row>
    <row r="84" spans="2:35" x14ac:dyDescent="0.2">
      <c r="B84" s="238"/>
      <c r="C84" s="242"/>
      <c r="D84" s="223"/>
      <c r="E84" s="242"/>
      <c r="P84" s="225"/>
      <c r="AH84" s="224"/>
      <c r="AI84" s="224"/>
    </row>
    <row r="85" spans="2:35" x14ac:dyDescent="0.2">
      <c r="B85" s="238"/>
      <c r="C85" s="242"/>
      <c r="D85" s="223"/>
      <c r="E85" s="242"/>
      <c r="P85" s="225"/>
      <c r="AH85" s="224"/>
      <c r="AI85" s="224"/>
    </row>
    <row r="86" spans="2:35" x14ac:dyDescent="0.2">
      <c r="B86" s="238"/>
      <c r="C86" s="242"/>
      <c r="D86" s="223"/>
      <c r="E86" s="242"/>
      <c r="P86" s="225"/>
      <c r="AH86" s="224"/>
      <c r="AI86" s="224"/>
    </row>
    <row r="87" spans="2:35" x14ac:dyDescent="0.2">
      <c r="B87" s="238"/>
      <c r="C87" s="242"/>
      <c r="D87" s="223"/>
      <c r="E87" s="242"/>
      <c r="P87" s="225"/>
      <c r="AH87" s="224"/>
      <c r="AI87" s="224"/>
    </row>
    <row r="88" spans="2:35" x14ac:dyDescent="0.2">
      <c r="B88" s="238"/>
      <c r="C88" s="242"/>
      <c r="D88" s="223"/>
      <c r="E88" s="242"/>
      <c r="P88" s="225"/>
      <c r="AH88" s="224"/>
      <c r="AI88" s="224"/>
    </row>
    <row r="89" spans="2:35" x14ac:dyDescent="0.2">
      <c r="B89" s="238"/>
      <c r="C89" s="242"/>
      <c r="D89" s="223"/>
      <c r="E89" s="242"/>
      <c r="P89" s="225"/>
      <c r="AH89" s="224"/>
      <c r="AI89" s="224"/>
    </row>
    <row r="90" spans="2:35" x14ac:dyDescent="0.2">
      <c r="B90" s="238"/>
      <c r="C90" s="242"/>
      <c r="D90" s="223"/>
      <c r="E90" s="242"/>
      <c r="P90" s="225"/>
      <c r="AH90" s="224"/>
      <c r="AI90" s="224"/>
    </row>
    <row r="91" spans="2:35" x14ac:dyDescent="0.2">
      <c r="B91" s="238"/>
      <c r="C91" s="242"/>
      <c r="D91" s="223"/>
      <c r="E91" s="242"/>
      <c r="P91" s="225"/>
      <c r="AH91" s="224"/>
      <c r="AI91" s="224"/>
    </row>
    <row r="92" spans="2:35" x14ac:dyDescent="0.2">
      <c r="B92" s="238"/>
      <c r="C92" s="242"/>
      <c r="D92" s="223"/>
      <c r="E92" s="242"/>
      <c r="P92" s="225"/>
      <c r="AH92" s="224"/>
      <c r="AI92" s="224"/>
    </row>
    <row r="93" spans="2:35" x14ac:dyDescent="0.2">
      <c r="B93" s="238"/>
      <c r="C93" s="242"/>
      <c r="D93" s="223"/>
      <c r="E93" s="242"/>
      <c r="P93" s="225"/>
      <c r="AH93" s="224"/>
      <c r="AI93" s="224"/>
    </row>
    <row r="94" spans="2:35" x14ac:dyDescent="0.2">
      <c r="B94" s="238"/>
      <c r="C94" s="242"/>
      <c r="D94" s="223"/>
      <c r="E94" s="242"/>
      <c r="P94" s="225"/>
      <c r="AH94" s="224"/>
      <c r="AI94" s="224"/>
    </row>
    <row r="95" spans="2:35" x14ac:dyDescent="0.2">
      <c r="B95" s="238"/>
      <c r="C95" s="242"/>
      <c r="D95" s="223"/>
      <c r="E95" s="242"/>
      <c r="P95" s="225"/>
      <c r="AH95" s="224"/>
      <c r="AI95" s="224"/>
    </row>
    <row r="96" spans="2:35" x14ac:dyDescent="0.2">
      <c r="B96" s="238"/>
      <c r="C96" s="242"/>
      <c r="D96" s="223"/>
      <c r="E96" s="242"/>
      <c r="P96" s="225"/>
      <c r="AH96" s="224"/>
      <c r="AI96" s="224"/>
    </row>
    <row r="97" spans="2:35" x14ac:dyDescent="0.2">
      <c r="B97" s="238"/>
      <c r="C97" s="242"/>
      <c r="D97" s="223"/>
      <c r="E97" s="242"/>
      <c r="P97" s="225"/>
      <c r="AH97" s="224"/>
      <c r="AI97" s="224"/>
    </row>
    <row r="98" spans="2:35" x14ac:dyDescent="0.2">
      <c r="B98" s="238"/>
      <c r="C98" s="242"/>
      <c r="D98" s="223"/>
      <c r="E98" s="242"/>
      <c r="P98" s="225"/>
      <c r="AH98" s="224"/>
      <c r="AI98" s="224"/>
    </row>
    <row r="99" spans="2:35" x14ac:dyDescent="0.2">
      <c r="B99" s="238"/>
      <c r="C99" s="242"/>
      <c r="D99" s="223"/>
      <c r="E99" s="242"/>
      <c r="P99" s="225"/>
      <c r="AH99" s="224"/>
      <c r="AI99" s="224"/>
    </row>
    <row r="100" spans="2:35" x14ac:dyDescent="0.2">
      <c r="B100" s="238"/>
      <c r="C100" s="242"/>
      <c r="D100" s="223"/>
      <c r="E100" s="242"/>
      <c r="P100" s="225"/>
      <c r="AH100" s="224"/>
      <c r="AI100" s="224"/>
    </row>
    <row r="101" spans="2:35" x14ac:dyDescent="0.2">
      <c r="B101" s="238"/>
      <c r="C101" s="242"/>
      <c r="D101" s="223"/>
      <c r="E101" s="242"/>
      <c r="P101" s="225"/>
      <c r="AH101" s="224"/>
      <c r="AI101" s="224"/>
    </row>
    <row r="102" spans="2:35" x14ac:dyDescent="0.2">
      <c r="B102" s="238"/>
      <c r="C102" s="242"/>
      <c r="D102" s="223"/>
      <c r="E102" s="242"/>
      <c r="P102" s="225"/>
      <c r="AH102" s="224"/>
      <c r="AI102" s="224"/>
    </row>
    <row r="103" spans="2:35" x14ac:dyDescent="0.2">
      <c r="B103" s="238"/>
      <c r="C103" s="242"/>
      <c r="D103" s="223"/>
      <c r="E103" s="242"/>
      <c r="P103" s="225"/>
      <c r="AH103" s="224"/>
      <c r="AI103" s="224"/>
    </row>
    <row r="104" spans="2:35" x14ac:dyDescent="0.2">
      <c r="B104" s="238"/>
      <c r="C104" s="242"/>
      <c r="D104" s="223"/>
      <c r="E104" s="242"/>
      <c r="P104" s="225"/>
      <c r="AH104" s="224"/>
      <c r="AI104" s="224"/>
    </row>
    <row r="105" spans="2:35" x14ac:dyDescent="0.2">
      <c r="B105" s="238"/>
      <c r="C105" s="242"/>
      <c r="D105" s="223"/>
      <c r="E105" s="242"/>
      <c r="P105" s="225"/>
      <c r="AH105" s="224"/>
      <c r="AI105" s="224"/>
    </row>
    <row r="106" spans="2:35" x14ac:dyDescent="0.2">
      <c r="B106" s="238"/>
      <c r="C106" s="242"/>
      <c r="D106" s="223"/>
      <c r="E106" s="242"/>
      <c r="P106" s="225"/>
      <c r="AH106" s="224"/>
      <c r="AI106" s="224"/>
    </row>
    <row r="107" spans="2:35" x14ac:dyDescent="0.2">
      <c r="B107" s="238"/>
      <c r="C107" s="242"/>
      <c r="D107" s="223"/>
      <c r="E107" s="242"/>
      <c r="P107" s="225"/>
      <c r="AH107" s="224"/>
      <c r="AI107" s="224"/>
    </row>
    <row r="108" spans="2:35" x14ac:dyDescent="0.2">
      <c r="B108" s="238"/>
      <c r="C108" s="242"/>
      <c r="D108" s="223"/>
      <c r="E108" s="242"/>
      <c r="P108" s="225"/>
      <c r="AH108" s="224"/>
      <c r="AI108" s="224"/>
    </row>
    <row r="109" spans="2:35" x14ac:dyDescent="0.2">
      <c r="B109" s="238"/>
      <c r="C109" s="242"/>
      <c r="D109" s="223"/>
      <c r="E109" s="242"/>
      <c r="P109" s="225"/>
      <c r="AH109" s="224"/>
      <c r="AI109" s="224"/>
    </row>
    <row r="110" spans="2:35" x14ac:dyDescent="0.2">
      <c r="B110" s="238"/>
      <c r="C110" s="242"/>
      <c r="D110" s="223"/>
      <c r="E110" s="242"/>
      <c r="P110" s="225"/>
      <c r="AH110" s="224"/>
      <c r="AI110" s="224"/>
    </row>
    <row r="111" spans="2:35" x14ac:dyDescent="0.2">
      <c r="B111" s="238"/>
      <c r="C111" s="242"/>
      <c r="D111" s="223"/>
      <c r="E111" s="242"/>
      <c r="P111" s="225"/>
      <c r="AH111" s="224"/>
      <c r="AI111" s="224"/>
    </row>
    <row r="112" spans="2:35" x14ac:dyDescent="0.2">
      <c r="B112" s="238"/>
      <c r="C112" s="242"/>
      <c r="D112" s="223"/>
      <c r="E112" s="242"/>
      <c r="P112" s="225"/>
      <c r="AH112" s="224"/>
      <c r="AI112" s="224"/>
    </row>
    <row r="113" spans="2:35" x14ac:dyDescent="0.2">
      <c r="B113" s="238"/>
      <c r="C113" s="242"/>
      <c r="D113" s="223"/>
      <c r="E113" s="242"/>
      <c r="P113" s="225"/>
      <c r="AH113" s="224"/>
      <c r="AI113" s="224"/>
    </row>
    <row r="114" spans="2:35" x14ac:dyDescent="0.2">
      <c r="B114" s="238"/>
      <c r="C114" s="242"/>
      <c r="D114" s="223"/>
      <c r="E114" s="242"/>
      <c r="P114" s="225"/>
      <c r="AH114" s="224"/>
      <c r="AI114" s="224"/>
    </row>
    <row r="115" spans="2:35" x14ac:dyDescent="0.2">
      <c r="B115" s="238"/>
      <c r="C115" s="242"/>
      <c r="D115" s="223"/>
      <c r="E115" s="242"/>
      <c r="P115" s="225"/>
      <c r="AH115" s="224"/>
      <c r="AI115" s="224"/>
    </row>
    <row r="116" spans="2:35" x14ac:dyDescent="0.2">
      <c r="B116" s="238"/>
      <c r="C116" s="242"/>
      <c r="D116" s="223"/>
      <c r="E116" s="242"/>
      <c r="P116" s="225"/>
      <c r="AH116" s="224"/>
      <c r="AI116" s="224"/>
    </row>
    <row r="117" spans="2:35" x14ac:dyDescent="0.2">
      <c r="B117" s="238"/>
      <c r="C117" s="242"/>
      <c r="D117" s="223"/>
      <c r="E117" s="242"/>
      <c r="P117" s="225"/>
      <c r="AH117" s="224"/>
      <c r="AI117" s="224"/>
    </row>
    <row r="118" spans="2:35" x14ac:dyDescent="0.2">
      <c r="B118" s="238"/>
      <c r="C118" s="242"/>
      <c r="D118" s="223"/>
      <c r="E118" s="242"/>
      <c r="P118" s="225"/>
      <c r="AH118" s="224"/>
      <c r="AI118" s="224"/>
    </row>
    <row r="119" spans="2:35" x14ac:dyDescent="0.2">
      <c r="B119" s="238"/>
      <c r="C119" s="242"/>
      <c r="D119" s="223"/>
      <c r="E119" s="242"/>
      <c r="P119" s="225"/>
      <c r="AH119" s="224"/>
      <c r="AI119" s="224"/>
    </row>
    <row r="120" spans="2:35" x14ac:dyDescent="0.2">
      <c r="B120" s="238"/>
      <c r="C120" s="242"/>
      <c r="D120" s="223"/>
      <c r="E120" s="242"/>
      <c r="P120" s="225"/>
      <c r="AH120" s="224"/>
      <c r="AI120" s="224"/>
    </row>
    <row r="121" spans="2:35" x14ac:dyDescent="0.2">
      <c r="B121" s="238"/>
      <c r="C121" s="242"/>
      <c r="D121" s="223"/>
      <c r="E121" s="242"/>
      <c r="P121" s="225"/>
      <c r="AH121" s="224"/>
      <c r="AI121" s="224"/>
    </row>
    <row r="122" spans="2:35" x14ac:dyDescent="0.2">
      <c r="B122" s="238"/>
      <c r="C122" s="242"/>
      <c r="D122" s="223"/>
      <c r="E122" s="242"/>
      <c r="P122" s="225"/>
      <c r="AH122" s="224"/>
      <c r="AI122" s="224"/>
    </row>
    <row r="123" spans="2:35" x14ac:dyDescent="0.2">
      <c r="B123" s="238"/>
      <c r="C123" s="242"/>
      <c r="D123" s="223"/>
      <c r="E123" s="242"/>
      <c r="P123" s="225"/>
      <c r="AH123" s="224"/>
      <c r="AI123" s="224"/>
    </row>
    <row r="124" spans="2:35" x14ac:dyDescent="0.2">
      <c r="B124" s="238"/>
      <c r="C124" s="242"/>
      <c r="D124" s="223"/>
      <c r="E124" s="242"/>
      <c r="P124" s="225"/>
      <c r="AH124" s="224"/>
      <c r="AI124" s="224"/>
    </row>
    <row r="125" spans="2:35" x14ac:dyDescent="0.2">
      <c r="B125" s="238"/>
      <c r="C125" s="242"/>
      <c r="D125" s="223"/>
      <c r="E125" s="242"/>
      <c r="P125" s="225"/>
      <c r="AH125" s="224"/>
      <c r="AI125" s="224"/>
    </row>
    <row r="126" spans="2:35" x14ac:dyDescent="0.2">
      <c r="B126" s="238"/>
      <c r="C126" s="242"/>
      <c r="D126" s="223"/>
      <c r="E126" s="242"/>
      <c r="P126" s="225"/>
      <c r="AH126" s="224"/>
      <c r="AI126" s="224"/>
    </row>
    <row r="127" spans="2:35" x14ac:dyDescent="0.2">
      <c r="B127" s="238"/>
      <c r="C127" s="242"/>
      <c r="D127" s="223"/>
      <c r="E127" s="242"/>
      <c r="P127" s="225"/>
      <c r="AH127" s="224"/>
      <c r="AI127" s="224"/>
    </row>
    <row r="128" spans="2:35" x14ac:dyDescent="0.2">
      <c r="B128" s="238"/>
      <c r="C128" s="242"/>
      <c r="D128" s="223"/>
      <c r="E128" s="242"/>
      <c r="P128" s="225"/>
      <c r="AH128" s="224"/>
      <c r="AI128" s="224"/>
    </row>
    <row r="129" spans="2:35" x14ac:dyDescent="0.2">
      <c r="B129" s="238"/>
      <c r="C129" s="242"/>
      <c r="D129" s="223"/>
      <c r="E129" s="242"/>
      <c r="P129" s="225"/>
      <c r="AH129" s="224"/>
      <c r="AI129" s="224"/>
    </row>
    <row r="130" spans="2:35" x14ac:dyDescent="0.2">
      <c r="B130" s="238"/>
      <c r="C130" s="242"/>
      <c r="D130" s="223"/>
      <c r="E130" s="242"/>
      <c r="P130" s="225"/>
      <c r="AH130" s="224"/>
      <c r="AI130" s="224"/>
    </row>
    <row r="131" spans="2:35" x14ac:dyDescent="0.2">
      <c r="B131" s="238"/>
      <c r="C131" s="242"/>
      <c r="D131" s="223"/>
      <c r="E131" s="242"/>
      <c r="P131" s="225"/>
      <c r="AH131" s="224"/>
      <c r="AI131" s="224"/>
    </row>
    <row r="132" spans="2:35" x14ac:dyDescent="0.2">
      <c r="B132" s="238"/>
      <c r="C132" s="242"/>
      <c r="D132" s="223"/>
      <c r="E132" s="242"/>
      <c r="P132" s="225"/>
      <c r="AH132" s="224"/>
      <c r="AI132" s="224"/>
    </row>
    <row r="133" spans="2:35" x14ac:dyDescent="0.2">
      <c r="B133" s="238"/>
      <c r="C133" s="242"/>
      <c r="D133" s="223"/>
      <c r="E133" s="242"/>
      <c r="P133" s="225"/>
      <c r="AH133" s="224"/>
      <c r="AI133" s="224"/>
    </row>
    <row r="134" spans="2:35" x14ac:dyDescent="0.2">
      <c r="B134" s="238"/>
      <c r="C134" s="242"/>
      <c r="D134" s="223"/>
      <c r="E134" s="242"/>
      <c r="P134" s="225"/>
      <c r="AH134" s="224"/>
      <c r="AI134" s="224"/>
    </row>
    <row r="135" spans="2:35" x14ac:dyDescent="0.2">
      <c r="B135" s="238"/>
      <c r="C135" s="242"/>
      <c r="D135" s="223"/>
      <c r="E135" s="242"/>
      <c r="P135" s="225"/>
      <c r="AH135" s="224"/>
      <c r="AI135" s="224"/>
    </row>
    <row r="136" spans="2:35" x14ac:dyDescent="0.2">
      <c r="B136" s="238"/>
      <c r="C136" s="242"/>
      <c r="D136" s="223"/>
      <c r="E136" s="242"/>
      <c r="P136" s="225"/>
      <c r="AH136" s="224"/>
      <c r="AI136" s="224"/>
    </row>
    <row r="137" spans="2:35" x14ac:dyDescent="0.2">
      <c r="B137" s="238"/>
      <c r="C137" s="242"/>
      <c r="D137" s="223"/>
      <c r="E137" s="242"/>
      <c r="P137" s="225"/>
      <c r="AH137" s="224"/>
      <c r="AI137" s="224"/>
    </row>
    <row r="138" spans="2:35" x14ac:dyDescent="0.2">
      <c r="B138" s="238"/>
      <c r="C138" s="242"/>
      <c r="D138" s="223"/>
      <c r="E138" s="242"/>
      <c r="P138" s="225"/>
      <c r="AH138" s="224"/>
      <c r="AI138" s="224"/>
    </row>
    <row r="139" spans="2:35" x14ac:dyDescent="0.2">
      <c r="B139" s="238"/>
      <c r="C139" s="242"/>
      <c r="D139" s="223"/>
      <c r="E139" s="242"/>
      <c r="P139" s="225"/>
      <c r="AH139" s="224"/>
      <c r="AI139" s="224"/>
    </row>
    <row r="140" spans="2:35" x14ac:dyDescent="0.2">
      <c r="B140" s="238"/>
      <c r="C140" s="242"/>
      <c r="D140" s="223"/>
      <c r="E140" s="242"/>
      <c r="P140" s="225"/>
      <c r="AH140" s="224"/>
      <c r="AI140" s="224"/>
    </row>
    <row r="141" spans="2:35" x14ac:dyDescent="0.2">
      <c r="B141" s="238"/>
      <c r="C141" s="242"/>
      <c r="D141" s="223"/>
      <c r="E141" s="242"/>
      <c r="P141" s="225"/>
      <c r="AH141" s="224"/>
      <c r="AI141" s="224"/>
    </row>
    <row r="142" spans="2:35" x14ac:dyDescent="0.2">
      <c r="B142" s="238"/>
      <c r="C142" s="242"/>
      <c r="D142" s="223"/>
      <c r="E142" s="242"/>
      <c r="P142" s="225"/>
      <c r="AH142" s="224"/>
      <c r="AI142" s="224"/>
    </row>
    <row r="143" spans="2:35" x14ac:dyDescent="0.2">
      <c r="B143" s="238"/>
      <c r="C143" s="242"/>
      <c r="D143" s="223"/>
      <c r="E143" s="242"/>
      <c r="P143" s="225"/>
      <c r="AH143" s="224"/>
      <c r="AI143" s="224"/>
    </row>
    <row r="144" spans="2:35" x14ac:dyDescent="0.2">
      <c r="B144" s="238"/>
      <c r="C144" s="242"/>
      <c r="D144" s="223"/>
      <c r="E144" s="242"/>
      <c r="P144" s="225"/>
      <c r="AH144" s="224"/>
      <c r="AI144" s="224"/>
    </row>
    <row r="145" spans="2:35" x14ac:dyDescent="0.2">
      <c r="B145" s="238"/>
      <c r="C145" s="242"/>
      <c r="D145" s="223"/>
      <c r="E145" s="242"/>
      <c r="P145" s="225"/>
      <c r="AH145" s="224"/>
      <c r="AI145" s="224"/>
    </row>
    <row r="146" spans="2:35" x14ac:dyDescent="0.2">
      <c r="B146" s="238"/>
      <c r="C146" s="242"/>
      <c r="D146" s="223"/>
      <c r="E146" s="242"/>
      <c r="P146" s="225"/>
      <c r="AH146" s="224"/>
      <c r="AI146" s="224"/>
    </row>
    <row r="147" spans="2:35" x14ac:dyDescent="0.2">
      <c r="B147" s="238"/>
      <c r="C147" s="242"/>
      <c r="D147" s="223"/>
      <c r="E147" s="242"/>
      <c r="P147" s="225"/>
      <c r="AH147" s="224"/>
      <c r="AI147" s="224"/>
    </row>
    <row r="148" spans="2:35" x14ac:dyDescent="0.2">
      <c r="B148" s="238"/>
      <c r="C148" s="242"/>
      <c r="D148" s="223"/>
      <c r="E148" s="242"/>
      <c r="P148" s="225"/>
      <c r="AH148" s="224"/>
      <c r="AI148" s="224"/>
    </row>
    <row r="149" spans="2:35" x14ac:dyDescent="0.2">
      <c r="B149" s="238"/>
      <c r="C149" s="242"/>
      <c r="D149" s="223"/>
      <c r="E149" s="242"/>
      <c r="P149" s="225"/>
      <c r="AH149" s="224"/>
      <c r="AI149" s="224"/>
    </row>
    <row r="150" spans="2:35" x14ac:dyDescent="0.2">
      <c r="B150" s="238"/>
      <c r="C150" s="242"/>
      <c r="D150" s="223"/>
      <c r="E150" s="242"/>
      <c r="P150" s="225"/>
      <c r="AH150" s="224"/>
      <c r="AI150" s="224"/>
    </row>
    <row r="151" spans="2:35" x14ac:dyDescent="0.2">
      <c r="B151" s="238"/>
      <c r="C151" s="242"/>
      <c r="D151" s="223"/>
      <c r="E151" s="242"/>
      <c r="P151" s="225"/>
      <c r="AH151" s="224"/>
      <c r="AI151" s="224"/>
    </row>
    <row r="152" spans="2:35" x14ac:dyDescent="0.2">
      <c r="B152" s="238"/>
      <c r="C152" s="242"/>
      <c r="D152" s="223"/>
      <c r="E152" s="242"/>
      <c r="P152" s="225"/>
      <c r="AH152" s="224"/>
      <c r="AI152" s="224"/>
    </row>
    <row r="153" spans="2:35" x14ac:dyDescent="0.2">
      <c r="B153" s="238"/>
      <c r="C153" s="242"/>
      <c r="D153" s="223"/>
      <c r="E153" s="242"/>
      <c r="P153" s="225"/>
      <c r="AH153" s="224"/>
      <c r="AI153" s="224"/>
    </row>
    <row r="154" spans="2:35" x14ac:dyDescent="0.2">
      <c r="B154" s="238"/>
      <c r="C154" s="242"/>
      <c r="D154" s="223"/>
      <c r="E154" s="242"/>
      <c r="P154" s="225"/>
      <c r="AH154" s="224"/>
      <c r="AI154" s="224"/>
    </row>
    <row r="155" spans="2:35" x14ac:dyDescent="0.2">
      <c r="B155" s="238"/>
      <c r="C155" s="242"/>
      <c r="D155" s="223"/>
      <c r="E155" s="242"/>
      <c r="P155" s="225"/>
      <c r="AH155" s="224"/>
      <c r="AI155" s="224"/>
    </row>
    <row r="156" spans="2:35" x14ac:dyDescent="0.2">
      <c r="B156" s="238"/>
      <c r="C156" s="242"/>
      <c r="D156" s="223"/>
      <c r="E156" s="242"/>
      <c r="P156" s="225"/>
      <c r="AH156" s="224"/>
      <c r="AI156" s="224"/>
    </row>
    <row r="157" spans="2:35" x14ac:dyDescent="0.2">
      <c r="B157" s="238"/>
      <c r="C157" s="242"/>
      <c r="D157" s="223"/>
      <c r="E157" s="242"/>
      <c r="P157" s="225"/>
      <c r="AH157" s="224"/>
      <c r="AI157" s="224"/>
    </row>
    <row r="158" spans="2:35" x14ac:dyDescent="0.2">
      <c r="B158" s="238"/>
      <c r="C158" s="242"/>
      <c r="D158" s="223"/>
      <c r="E158" s="242"/>
      <c r="P158" s="225"/>
      <c r="AH158" s="224"/>
      <c r="AI158" s="224"/>
    </row>
    <row r="159" spans="2:35" x14ac:dyDescent="0.2">
      <c r="B159" s="238"/>
      <c r="C159" s="242"/>
      <c r="D159" s="223"/>
      <c r="E159" s="242"/>
      <c r="P159" s="225"/>
      <c r="AH159" s="224"/>
      <c r="AI159" s="224"/>
    </row>
    <row r="160" spans="2:35" x14ac:dyDescent="0.2">
      <c r="B160" s="238"/>
      <c r="C160" s="242"/>
      <c r="D160" s="223"/>
      <c r="E160" s="242"/>
      <c r="P160" s="225"/>
      <c r="AH160" s="224"/>
      <c r="AI160" s="224"/>
    </row>
    <row r="161" spans="2:35" x14ac:dyDescent="0.2">
      <c r="B161" s="238"/>
      <c r="C161" s="242"/>
      <c r="D161" s="223"/>
      <c r="E161" s="242"/>
      <c r="P161" s="225"/>
      <c r="AH161" s="224"/>
      <c r="AI161" s="224"/>
    </row>
    <row r="162" spans="2:35" x14ac:dyDescent="0.2">
      <c r="B162" s="238"/>
      <c r="C162" s="242"/>
      <c r="D162" s="223"/>
      <c r="E162" s="242"/>
      <c r="P162" s="225"/>
      <c r="AH162" s="224"/>
      <c r="AI162" s="224"/>
    </row>
    <row r="163" spans="2:35" x14ac:dyDescent="0.2">
      <c r="B163" s="238"/>
      <c r="C163" s="242"/>
      <c r="D163" s="223"/>
      <c r="E163" s="242"/>
      <c r="P163" s="225"/>
      <c r="AH163" s="224"/>
      <c r="AI163" s="224"/>
    </row>
    <row r="164" spans="2:35" x14ac:dyDescent="0.2">
      <c r="B164" s="238"/>
      <c r="C164" s="242"/>
      <c r="D164" s="223"/>
      <c r="E164" s="242"/>
      <c r="P164" s="225"/>
      <c r="AH164" s="224"/>
      <c r="AI164" s="224"/>
    </row>
    <row r="165" spans="2:35" x14ac:dyDescent="0.2">
      <c r="B165" s="238"/>
      <c r="C165" s="242"/>
      <c r="D165" s="223"/>
      <c r="E165" s="242"/>
      <c r="P165" s="225"/>
      <c r="AH165" s="224"/>
      <c r="AI165" s="224"/>
    </row>
    <row r="166" spans="2:35" x14ac:dyDescent="0.2">
      <c r="B166" s="238"/>
      <c r="C166" s="242"/>
      <c r="D166" s="223"/>
      <c r="E166" s="242"/>
      <c r="P166" s="225"/>
      <c r="AH166" s="224"/>
      <c r="AI166" s="224"/>
    </row>
    <row r="167" spans="2:35" x14ac:dyDescent="0.2">
      <c r="B167" s="238"/>
      <c r="C167" s="242"/>
      <c r="D167" s="223"/>
      <c r="E167" s="242"/>
      <c r="P167" s="225"/>
      <c r="AH167" s="224"/>
      <c r="AI167" s="224"/>
    </row>
    <row r="168" spans="2:35" x14ac:dyDescent="0.2">
      <c r="B168" s="238"/>
      <c r="C168" s="242"/>
      <c r="D168" s="223"/>
      <c r="E168" s="242"/>
      <c r="P168" s="225"/>
      <c r="AH168" s="224"/>
      <c r="AI168" s="224"/>
    </row>
    <row r="169" spans="2:35" x14ac:dyDescent="0.2">
      <c r="B169" s="238"/>
      <c r="C169" s="242"/>
      <c r="D169" s="223"/>
      <c r="E169" s="242"/>
      <c r="P169" s="225"/>
      <c r="AH169" s="224"/>
      <c r="AI169" s="224"/>
    </row>
    <row r="170" spans="2:35" x14ac:dyDescent="0.2">
      <c r="B170" s="238"/>
      <c r="C170" s="242"/>
      <c r="D170" s="223"/>
      <c r="E170" s="242"/>
      <c r="P170" s="225"/>
      <c r="AH170" s="224"/>
      <c r="AI170" s="224"/>
    </row>
    <row r="171" spans="2:35" x14ac:dyDescent="0.2">
      <c r="B171" s="238"/>
      <c r="C171" s="242"/>
      <c r="D171" s="223"/>
      <c r="E171" s="242"/>
      <c r="P171" s="225"/>
      <c r="AH171" s="224"/>
      <c r="AI171" s="224"/>
    </row>
    <row r="172" spans="2:35" x14ac:dyDescent="0.2">
      <c r="B172" s="238"/>
      <c r="C172" s="242"/>
      <c r="D172" s="223"/>
      <c r="E172" s="242"/>
      <c r="P172" s="225"/>
      <c r="AH172" s="224"/>
      <c r="AI172" s="224"/>
    </row>
    <row r="173" spans="2:35" x14ac:dyDescent="0.2">
      <c r="B173" s="238"/>
      <c r="C173" s="242"/>
      <c r="D173" s="223"/>
      <c r="E173" s="242"/>
      <c r="P173" s="225"/>
      <c r="AH173" s="224"/>
      <c r="AI173" s="224"/>
    </row>
    <row r="174" spans="2:35" x14ac:dyDescent="0.2">
      <c r="B174" s="238"/>
      <c r="C174" s="242"/>
      <c r="D174" s="223"/>
      <c r="E174" s="242"/>
      <c r="P174" s="225"/>
      <c r="AH174" s="224"/>
      <c r="AI174" s="224"/>
    </row>
    <row r="175" spans="2:35" x14ac:dyDescent="0.2">
      <c r="B175" s="238"/>
      <c r="C175" s="242"/>
      <c r="D175" s="223"/>
      <c r="E175" s="242"/>
      <c r="P175" s="225"/>
      <c r="AH175" s="224"/>
      <c r="AI175" s="224"/>
    </row>
    <row r="176" spans="2:35" x14ac:dyDescent="0.2">
      <c r="B176" s="238"/>
      <c r="C176" s="242"/>
      <c r="D176" s="223"/>
      <c r="E176" s="242"/>
      <c r="P176" s="225"/>
      <c r="AH176" s="224"/>
      <c r="AI176" s="224"/>
    </row>
    <row r="177" spans="2:35" x14ac:dyDescent="0.2">
      <c r="B177" s="238"/>
      <c r="C177" s="242"/>
      <c r="D177" s="223"/>
      <c r="E177" s="242"/>
      <c r="P177" s="225"/>
      <c r="AH177" s="224"/>
      <c r="AI177" s="224"/>
    </row>
    <row r="178" spans="2:35" x14ac:dyDescent="0.2">
      <c r="B178" s="238"/>
      <c r="C178" s="242"/>
      <c r="D178" s="223"/>
      <c r="E178" s="242"/>
      <c r="P178" s="225"/>
      <c r="AH178" s="224"/>
      <c r="AI178" s="224"/>
    </row>
    <row r="179" spans="2:35" x14ac:dyDescent="0.2">
      <c r="B179" s="238"/>
      <c r="C179" s="242"/>
      <c r="D179" s="223"/>
      <c r="E179" s="242"/>
      <c r="P179" s="225"/>
      <c r="AH179" s="224"/>
      <c r="AI179" s="224"/>
    </row>
    <row r="180" spans="2:35" x14ac:dyDescent="0.2">
      <c r="B180" s="238"/>
      <c r="C180" s="242"/>
      <c r="D180" s="223"/>
      <c r="E180" s="242"/>
      <c r="P180" s="225"/>
      <c r="AH180" s="224"/>
      <c r="AI180" s="224"/>
    </row>
    <row r="181" spans="2:35" x14ac:dyDescent="0.2">
      <c r="B181" s="238"/>
      <c r="C181" s="242"/>
      <c r="D181" s="223"/>
      <c r="E181" s="242"/>
      <c r="P181" s="225"/>
      <c r="AH181" s="224"/>
      <c r="AI181" s="224"/>
    </row>
    <row r="182" spans="2:35" x14ac:dyDescent="0.2">
      <c r="B182" s="238"/>
      <c r="C182" s="242"/>
      <c r="D182" s="223"/>
      <c r="E182" s="242"/>
      <c r="P182" s="225"/>
      <c r="AH182" s="224"/>
      <c r="AI182" s="224"/>
    </row>
    <row r="183" spans="2:35" x14ac:dyDescent="0.2">
      <c r="B183" s="238"/>
      <c r="C183" s="242"/>
      <c r="D183" s="223"/>
      <c r="E183" s="242"/>
      <c r="P183" s="225"/>
      <c r="AH183" s="224"/>
      <c r="AI183" s="224"/>
    </row>
    <row r="184" spans="2:35" x14ac:dyDescent="0.2">
      <c r="B184" s="238"/>
      <c r="C184" s="242"/>
      <c r="D184" s="223"/>
      <c r="E184" s="242"/>
      <c r="P184" s="225"/>
      <c r="AH184" s="224"/>
      <c r="AI184" s="224"/>
    </row>
    <row r="185" spans="2:35" x14ac:dyDescent="0.2">
      <c r="B185" s="238"/>
      <c r="C185" s="242"/>
      <c r="D185" s="223"/>
      <c r="E185" s="242"/>
      <c r="P185" s="225"/>
      <c r="AH185" s="224"/>
      <c r="AI185" s="224"/>
    </row>
    <row r="186" spans="2:35" x14ac:dyDescent="0.2">
      <c r="B186" s="238"/>
      <c r="C186" s="242"/>
      <c r="D186" s="223"/>
      <c r="E186" s="242"/>
      <c r="P186" s="225"/>
      <c r="AH186" s="224"/>
      <c r="AI186" s="224"/>
    </row>
    <row r="187" spans="2:35" x14ac:dyDescent="0.2">
      <c r="B187" s="238"/>
      <c r="C187" s="242"/>
      <c r="D187" s="223"/>
      <c r="E187" s="242"/>
      <c r="P187" s="225"/>
      <c r="AH187" s="224"/>
      <c r="AI187" s="224"/>
    </row>
    <row r="188" spans="2:35" x14ac:dyDescent="0.2">
      <c r="B188" s="238"/>
      <c r="C188" s="242"/>
      <c r="D188" s="223"/>
      <c r="E188" s="242"/>
      <c r="P188" s="225"/>
      <c r="AH188" s="224"/>
      <c r="AI188" s="224"/>
    </row>
    <row r="189" spans="2:35" x14ac:dyDescent="0.2">
      <c r="B189" s="238"/>
      <c r="C189" s="242"/>
      <c r="D189" s="223"/>
      <c r="E189" s="242"/>
      <c r="P189" s="225"/>
      <c r="AH189" s="224"/>
      <c r="AI189" s="224"/>
    </row>
    <row r="190" spans="2:35" x14ac:dyDescent="0.2">
      <c r="B190" s="238"/>
      <c r="C190" s="242"/>
      <c r="D190" s="223"/>
      <c r="E190" s="242"/>
      <c r="P190" s="225"/>
      <c r="AH190" s="224"/>
      <c r="AI190" s="224"/>
    </row>
    <row r="191" spans="2:35" x14ac:dyDescent="0.2">
      <c r="B191" s="238"/>
      <c r="C191" s="242"/>
      <c r="D191" s="223"/>
      <c r="E191" s="242"/>
      <c r="P191" s="225"/>
      <c r="AH191" s="224"/>
      <c r="AI191" s="224"/>
    </row>
    <row r="192" spans="2:35" x14ac:dyDescent="0.2">
      <c r="B192" s="238"/>
      <c r="C192" s="242"/>
      <c r="D192" s="223"/>
      <c r="E192" s="242"/>
      <c r="P192" s="225"/>
      <c r="AH192" s="224"/>
      <c r="AI192" s="224"/>
    </row>
    <row r="193" spans="2:35" x14ac:dyDescent="0.2">
      <c r="B193" s="238"/>
      <c r="C193" s="242"/>
      <c r="D193" s="223"/>
      <c r="E193" s="242"/>
      <c r="P193" s="225"/>
      <c r="AH193" s="224"/>
      <c r="AI193" s="224"/>
    </row>
    <row r="194" spans="2:35" x14ac:dyDescent="0.2">
      <c r="B194" s="238"/>
      <c r="C194" s="242"/>
      <c r="D194" s="223"/>
      <c r="E194" s="242"/>
      <c r="P194" s="225"/>
      <c r="AH194" s="224"/>
      <c r="AI194" s="224"/>
    </row>
    <row r="195" spans="2:35" x14ac:dyDescent="0.2">
      <c r="B195" s="238"/>
      <c r="C195" s="242"/>
      <c r="D195" s="223"/>
      <c r="E195" s="242"/>
      <c r="P195" s="225"/>
      <c r="AH195" s="224"/>
      <c r="AI195" s="224"/>
    </row>
    <row r="196" spans="2:35" x14ac:dyDescent="0.2">
      <c r="B196" s="238"/>
      <c r="C196" s="242"/>
      <c r="D196" s="223"/>
      <c r="E196" s="242"/>
      <c r="P196" s="225"/>
      <c r="AH196" s="224"/>
      <c r="AI196" s="224"/>
    </row>
    <row r="197" spans="2:35" x14ac:dyDescent="0.2">
      <c r="B197" s="238"/>
      <c r="C197" s="242"/>
      <c r="D197" s="223"/>
      <c r="E197" s="242"/>
      <c r="P197" s="225"/>
      <c r="AH197" s="224"/>
      <c r="AI197" s="224"/>
    </row>
    <row r="198" spans="2:35" x14ac:dyDescent="0.2">
      <c r="B198" s="238"/>
      <c r="C198" s="242"/>
      <c r="D198" s="223"/>
      <c r="E198" s="242"/>
      <c r="P198" s="225"/>
      <c r="AH198" s="224"/>
      <c r="AI198" s="224"/>
    </row>
    <row r="199" spans="2:35" x14ac:dyDescent="0.2">
      <c r="B199" s="238"/>
      <c r="C199" s="242"/>
      <c r="D199" s="223"/>
      <c r="E199" s="242"/>
      <c r="P199" s="225"/>
      <c r="AH199" s="224"/>
      <c r="AI199" s="224"/>
    </row>
    <row r="200" spans="2:35" x14ac:dyDescent="0.2">
      <c r="B200" s="238"/>
      <c r="C200" s="242"/>
      <c r="D200" s="223"/>
      <c r="E200" s="242"/>
      <c r="P200" s="225"/>
      <c r="AH200" s="224"/>
      <c r="AI200" s="224"/>
    </row>
    <row r="201" spans="2:35" x14ac:dyDescent="0.2">
      <c r="B201" s="238"/>
      <c r="C201" s="242"/>
      <c r="D201" s="223"/>
      <c r="E201" s="242"/>
      <c r="P201" s="225"/>
      <c r="AH201" s="224"/>
      <c r="AI201" s="224"/>
    </row>
    <row r="202" spans="2:35" x14ac:dyDescent="0.2">
      <c r="B202" s="238"/>
      <c r="C202" s="242"/>
      <c r="D202" s="223"/>
      <c r="E202" s="242"/>
      <c r="P202" s="225"/>
      <c r="AH202" s="224"/>
      <c r="AI202" s="224"/>
    </row>
    <row r="203" spans="2:35" x14ac:dyDescent="0.2">
      <c r="B203" s="238"/>
      <c r="C203" s="242"/>
      <c r="D203" s="223"/>
      <c r="E203" s="242"/>
      <c r="P203" s="225"/>
      <c r="AH203" s="224"/>
      <c r="AI203" s="224"/>
    </row>
    <row r="204" spans="2:35" x14ac:dyDescent="0.2">
      <c r="B204" s="238"/>
      <c r="C204" s="242"/>
      <c r="D204" s="223"/>
      <c r="E204" s="242"/>
      <c r="P204" s="225"/>
      <c r="AH204" s="224"/>
      <c r="AI204" s="224"/>
    </row>
    <row r="205" spans="2:35" x14ac:dyDescent="0.2">
      <c r="B205" s="238"/>
      <c r="C205" s="242"/>
      <c r="D205" s="223"/>
      <c r="E205" s="242"/>
      <c r="P205" s="225"/>
      <c r="AH205" s="224"/>
      <c r="AI205" s="224"/>
    </row>
    <row r="206" spans="2:35" x14ac:dyDescent="0.2">
      <c r="B206" s="238"/>
      <c r="C206" s="242"/>
      <c r="D206" s="223"/>
      <c r="E206" s="242"/>
      <c r="P206" s="225"/>
      <c r="AH206" s="224"/>
      <c r="AI206" s="224"/>
    </row>
    <row r="207" spans="2:35" x14ac:dyDescent="0.2">
      <c r="B207" s="238"/>
      <c r="C207" s="242"/>
      <c r="D207" s="223"/>
      <c r="E207" s="242"/>
      <c r="P207" s="225"/>
      <c r="AH207" s="224"/>
      <c r="AI207" s="224"/>
    </row>
    <row r="208" spans="2:35" x14ac:dyDescent="0.2">
      <c r="B208" s="238"/>
      <c r="C208" s="242"/>
      <c r="D208" s="223"/>
      <c r="E208" s="242"/>
      <c r="P208" s="225"/>
      <c r="AH208" s="224"/>
      <c r="AI208" s="224"/>
    </row>
    <row r="209" spans="2:35" x14ac:dyDescent="0.2">
      <c r="B209" s="238"/>
      <c r="C209" s="242"/>
      <c r="D209" s="223"/>
      <c r="E209" s="242"/>
      <c r="P209" s="225"/>
      <c r="AH209" s="224"/>
      <c r="AI209" s="224"/>
    </row>
    <row r="210" spans="2:35" x14ac:dyDescent="0.2">
      <c r="B210" s="238"/>
      <c r="C210" s="242"/>
      <c r="D210" s="223"/>
      <c r="E210" s="242"/>
      <c r="P210" s="225"/>
      <c r="AH210" s="224"/>
      <c r="AI210" s="224"/>
    </row>
    <row r="211" spans="2:35" x14ac:dyDescent="0.2">
      <c r="B211" s="238"/>
      <c r="C211" s="242"/>
      <c r="D211" s="223"/>
      <c r="E211" s="242"/>
      <c r="P211" s="225"/>
      <c r="AH211" s="224"/>
      <c r="AI211" s="224"/>
    </row>
    <row r="212" spans="2:35" x14ac:dyDescent="0.2">
      <c r="B212" s="238"/>
      <c r="C212" s="242"/>
      <c r="D212" s="223"/>
      <c r="E212" s="242"/>
      <c r="P212" s="225"/>
      <c r="AH212" s="224"/>
      <c r="AI212" s="224"/>
    </row>
    <row r="213" spans="2:35" x14ac:dyDescent="0.2">
      <c r="B213" s="238"/>
      <c r="C213" s="242"/>
      <c r="D213" s="223"/>
      <c r="E213" s="242"/>
      <c r="P213" s="225"/>
      <c r="AH213" s="224"/>
      <c r="AI213" s="224"/>
    </row>
    <row r="214" spans="2:35" x14ac:dyDescent="0.2">
      <c r="B214" s="238"/>
      <c r="C214" s="242"/>
      <c r="D214" s="223"/>
      <c r="E214" s="242"/>
      <c r="P214" s="225"/>
      <c r="AH214" s="224"/>
      <c r="AI214" s="224"/>
    </row>
    <row r="215" spans="2:35" x14ac:dyDescent="0.2">
      <c r="B215" s="238"/>
      <c r="C215" s="242"/>
      <c r="D215" s="223"/>
      <c r="E215" s="242"/>
      <c r="P215" s="225"/>
      <c r="AH215" s="224"/>
      <c r="AI215" s="224"/>
    </row>
    <row r="216" spans="2:35" x14ac:dyDescent="0.2">
      <c r="B216" s="238"/>
      <c r="C216" s="242"/>
      <c r="D216" s="223"/>
      <c r="E216" s="242"/>
      <c r="P216" s="225"/>
      <c r="AH216" s="224"/>
      <c r="AI216" s="224"/>
    </row>
    <row r="217" spans="2:35" x14ac:dyDescent="0.2">
      <c r="B217" s="238"/>
      <c r="C217" s="242"/>
      <c r="D217" s="223"/>
      <c r="E217" s="242"/>
      <c r="P217" s="225"/>
      <c r="AH217" s="224"/>
      <c r="AI217" s="224"/>
    </row>
    <row r="218" spans="2:35" x14ac:dyDescent="0.2">
      <c r="B218" s="238"/>
      <c r="C218" s="242"/>
      <c r="D218" s="223"/>
      <c r="E218" s="242"/>
      <c r="P218" s="225"/>
      <c r="AH218" s="224"/>
      <c r="AI218" s="224"/>
    </row>
    <row r="219" spans="2:35" x14ac:dyDescent="0.2">
      <c r="B219" s="238"/>
      <c r="C219" s="242"/>
      <c r="D219" s="223"/>
      <c r="E219" s="242"/>
      <c r="P219" s="225"/>
      <c r="AH219" s="224"/>
      <c r="AI219" s="224"/>
    </row>
    <row r="220" spans="2:35" x14ac:dyDescent="0.2">
      <c r="B220" s="238"/>
      <c r="C220" s="242"/>
      <c r="D220" s="223"/>
      <c r="E220" s="242"/>
      <c r="P220" s="225"/>
      <c r="AH220" s="224"/>
      <c r="AI220" s="224"/>
    </row>
    <row r="221" spans="2:35" x14ac:dyDescent="0.2">
      <c r="B221" s="238"/>
      <c r="C221" s="242"/>
      <c r="D221" s="223"/>
      <c r="E221" s="242"/>
      <c r="P221" s="225"/>
      <c r="AH221" s="224"/>
      <c r="AI221" s="224"/>
    </row>
    <row r="222" spans="2:35" x14ac:dyDescent="0.2">
      <c r="B222" s="238"/>
      <c r="C222" s="242"/>
      <c r="D222" s="223"/>
      <c r="E222" s="242"/>
      <c r="P222" s="225"/>
      <c r="AH222" s="224"/>
      <c r="AI222" s="224"/>
    </row>
    <row r="223" spans="2:35" x14ac:dyDescent="0.2">
      <c r="B223" s="238"/>
      <c r="C223" s="242"/>
      <c r="D223" s="223"/>
      <c r="E223" s="242"/>
      <c r="P223" s="225"/>
      <c r="AH223" s="224"/>
      <c r="AI223" s="224"/>
    </row>
    <row r="224" spans="2:35" x14ac:dyDescent="0.2">
      <c r="B224" s="238"/>
      <c r="C224" s="242"/>
      <c r="D224" s="223"/>
      <c r="E224" s="242"/>
      <c r="P224" s="225"/>
      <c r="AH224" s="224"/>
      <c r="AI224" s="224"/>
    </row>
    <row r="225" spans="2:35" x14ac:dyDescent="0.2">
      <c r="B225" s="238"/>
      <c r="C225" s="242"/>
      <c r="D225" s="223"/>
      <c r="E225" s="242"/>
      <c r="P225" s="225"/>
      <c r="AH225" s="224"/>
      <c r="AI225" s="224"/>
    </row>
    <row r="226" spans="2:35" x14ac:dyDescent="0.2">
      <c r="B226" s="238"/>
      <c r="C226" s="242"/>
      <c r="D226" s="223"/>
      <c r="E226" s="242"/>
      <c r="P226" s="225"/>
      <c r="AH226" s="224"/>
      <c r="AI226" s="224"/>
    </row>
    <row r="227" spans="2:35" x14ac:dyDescent="0.2">
      <c r="B227" s="238"/>
      <c r="C227" s="242"/>
      <c r="D227" s="223"/>
      <c r="E227" s="242"/>
      <c r="P227" s="225"/>
      <c r="AH227" s="224"/>
      <c r="AI227" s="224"/>
    </row>
    <row r="228" spans="2:35" x14ac:dyDescent="0.2">
      <c r="B228" s="238"/>
      <c r="C228" s="242"/>
      <c r="D228" s="223"/>
      <c r="E228" s="242"/>
      <c r="P228" s="225"/>
      <c r="AH228" s="224"/>
      <c r="AI228" s="224"/>
    </row>
    <row r="229" spans="2:35" x14ac:dyDescent="0.2">
      <c r="B229" s="238"/>
      <c r="C229" s="242"/>
      <c r="D229" s="223"/>
      <c r="E229" s="242"/>
      <c r="P229" s="225"/>
      <c r="AH229" s="224"/>
      <c r="AI229" s="224"/>
    </row>
    <row r="230" spans="2:35" x14ac:dyDescent="0.2">
      <c r="B230" s="238"/>
      <c r="C230" s="242"/>
      <c r="D230" s="223"/>
      <c r="E230" s="242"/>
      <c r="P230" s="225"/>
      <c r="AH230" s="224"/>
      <c r="AI230" s="224"/>
    </row>
    <row r="231" spans="2:35" x14ac:dyDescent="0.2">
      <c r="B231" s="238"/>
      <c r="C231" s="242"/>
      <c r="D231" s="223"/>
      <c r="E231" s="242"/>
      <c r="P231" s="225"/>
      <c r="AH231" s="224"/>
      <c r="AI231" s="224"/>
    </row>
    <row r="232" spans="2:35" x14ac:dyDescent="0.2">
      <c r="B232" s="238"/>
      <c r="C232" s="242"/>
      <c r="D232" s="223"/>
      <c r="E232" s="242"/>
      <c r="P232" s="225"/>
      <c r="AH232" s="224"/>
      <c r="AI232" s="224"/>
    </row>
    <row r="233" spans="2:35" x14ac:dyDescent="0.2">
      <c r="B233" s="238"/>
      <c r="C233" s="242"/>
      <c r="D233" s="223"/>
      <c r="E233" s="242"/>
      <c r="P233" s="225"/>
      <c r="AH233" s="224"/>
      <c r="AI233" s="224"/>
    </row>
    <row r="234" spans="2:35" x14ac:dyDescent="0.2">
      <c r="B234" s="238"/>
      <c r="C234" s="242"/>
      <c r="D234" s="223"/>
      <c r="E234" s="242"/>
      <c r="P234" s="225"/>
      <c r="AH234" s="224"/>
      <c r="AI234" s="224"/>
    </row>
    <row r="235" spans="2:35" x14ac:dyDescent="0.2">
      <c r="B235" s="238"/>
      <c r="C235" s="242"/>
      <c r="D235" s="223"/>
      <c r="E235" s="242"/>
      <c r="P235" s="225"/>
      <c r="AH235" s="224"/>
      <c r="AI235" s="224"/>
    </row>
    <row r="236" spans="2:35" x14ac:dyDescent="0.2">
      <c r="B236" s="238"/>
      <c r="C236" s="242"/>
      <c r="D236" s="223"/>
      <c r="E236" s="242"/>
      <c r="P236" s="225"/>
      <c r="AH236" s="224"/>
      <c r="AI236" s="224"/>
    </row>
    <row r="237" spans="2:35" x14ac:dyDescent="0.2">
      <c r="B237" s="238"/>
      <c r="C237" s="242"/>
      <c r="D237" s="223"/>
      <c r="E237" s="242"/>
      <c r="P237" s="225"/>
      <c r="AH237" s="224"/>
      <c r="AI237" s="224"/>
    </row>
    <row r="238" spans="2:35" x14ac:dyDescent="0.2">
      <c r="B238" s="238"/>
      <c r="C238" s="242"/>
      <c r="D238" s="223"/>
      <c r="E238" s="242"/>
      <c r="P238" s="225"/>
      <c r="AH238" s="224"/>
      <c r="AI238" s="224"/>
    </row>
    <row r="239" spans="2:35" x14ac:dyDescent="0.2">
      <c r="B239" s="238"/>
      <c r="C239" s="242"/>
      <c r="D239" s="223"/>
      <c r="E239" s="242"/>
      <c r="P239" s="225"/>
      <c r="AH239" s="224"/>
      <c r="AI239" s="224"/>
    </row>
    <row r="240" spans="2:35" x14ac:dyDescent="0.2">
      <c r="B240" s="238"/>
      <c r="C240" s="242"/>
      <c r="D240" s="223"/>
      <c r="E240" s="242"/>
      <c r="P240" s="225"/>
      <c r="AH240" s="224"/>
      <c r="AI240" s="224"/>
    </row>
    <row r="241" spans="2:35" x14ac:dyDescent="0.2">
      <c r="B241" s="238"/>
      <c r="C241" s="242"/>
      <c r="D241" s="223"/>
      <c r="E241" s="242"/>
      <c r="P241" s="225"/>
      <c r="AH241" s="224"/>
      <c r="AI241" s="224"/>
    </row>
    <row r="242" spans="2:35" x14ac:dyDescent="0.2">
      <c r="B242" s="238"/>
      <c r="C242" s="242"/>
      <c r="D242" s="223"/>
      <c r="E242" s="242"/>
      <c r="P242" s="225"/>
      <c r="AH242" s="224"/>
      <c r="AI242" s="224"/>
    </row>
    <row r="243" spans="2:35" x14ac:dyDescent="0.2">
      <c r="B243" s="238"/>
      <c r="C243" s="242"/>
      <c r="D243" s="223"/>
      <c r="E243" s="242"/>
      <c r="P243" s="225"/>
      <c r="AH243" s="224"/>
      <c r="AI243" s="224"/>
    </row>
    <row r="244" spans="2:35" x14ac:dyDescent="0.2">
      <c r="B244" s="238"/>
      <c r="C244" s="242"/>
      <c r="D244" s="223"/>
      <c r="E244" s="242"/>
      <c r="P244" s="225"/>
      <c r="AH244" s="224"/>
      <c r="AI244" s="224"/>
    </row>
    <row r="245" spans="2:35" x14ac:dyDescent="0.2">
      <c r="B245" s="238"/>
      <c r="C245" s="242"/>
      <c r="D245" s="223"/>
      <c r="E245" s="242"/>
      <c r="P245" s="225"/>
      <c r="AH245" s="224"/>
      <c r="AI245" s="224"/>
    </row>
    <row r="246" spans="2:35" x14ac:dyDescent="0.2">
      <c r="B246" s="238"/>
      <c r="C246" s="242"/>
      <c r="D246" s="223"/>
      <c r="E246" s="242"/>
      <c r="P246" s="225"/>
      <c r="AH246" s="224"/>
      <c r="AI246" s="224"/>
    </row>
    <row r="247" spans="2:35" x14ac:dyDescent="0.2">
      <c r="B247" s="238"/>
      <c r="C247" s="242"/>
      <c r="D247" s="223"/>
      <c r="E247" s="242"/>
      <c r="P247" s="225"/>
      <c r="AH247" s="224"/>
      <c r="AI247" s="224"/>
    </row>
    <row r="248" spans="2:35" x14ac:dyDescent="0.2">
      <c r="B248" s="238"/>
      <c r="C248" s="242"/>
      <c r="D248" s="223"/>
      <c r="E248" s="242"/>
      <c r="P248" s="225"/>
      <c r="AH248" s="224"/>
      <c r="AI248" s="224"/>
    </row>
    <row r="249" spans="2:35" x14ac:dyDescent="0.2">
      <c r="B249" s="238"/>
      <c r="C249" s="242"/>
      <c r="D249" s="223"/>
      <c r="E249" s="242"/>
      <c r="P249" s="225"/>
      <c r="AH249" s="224"/>
      <c r="AI249" s="224"/>
    </row>
    <row r="250" spans="2:35" x14ac:dyDescent="0.2">
      <c r="B250" s="238"/>
      <c r="C250" s="242"/>
      <c r="D250" s="223"/>
      <c r="E250" s="242"/>
      <c r="P250" s="225"/>
      <c r="AH250" s="224"/>
      <c r="AI250" s="224"/>
    </row>
    <row r="251" spans="2:35" x14ac:dyDescent="0.2">
      <c r="B251" s="238"/>
      <c r="C251" s="242"/>
      <c r="D251" s="223"/>
      <c r="E251" s="242"/>
      <c r="P251" s="225"/>
      <c r="AH251" s="224"/>
      <c r="AI251" s="224"/>
    </row>
    <row r="252" spans="2:35" x14ac:dyDescent="0.2">
      <c r="B252" s="238"/>
      <c r="C252" s="242"/>
      <c r="D252" s="223"/>
      <c r="E252" s="242"/>
      <c r="P252" s="225"/>
      <c r="AH252" s="224"/>
      <c r="AI252" s="224"/>
    </row>
    <row r="253" spans="2:35" x14ac:dyDescent="0.2">
      <c r="B253" s="238"/>
      <c r="C253" s="242"/>
      <c r="D253" s="223"/>
      <c r="E253" s="242"/>
      <c r="P253" s="225"/>
      <c r="AH253" s="224"/>
      <c r="AI253" s="224"/>
    </row>
    <row r="254" spans="2:35" x14ac:dyDescent="0.2">
      <c r="B254" s="238"/>
      <c r="C254" s="242"/>
      <c r="D254" s="223"/>
      <c r="E254" s="242"/>
      <c r="P254" s="225"/>
      <c r="AH254" s="224"/>
      <c r="AI254" s="224"/>
    </row>
    <row r="255" spans="2:35" x14ac:dyDescent="0.2">
      <c r="B255" s="238"/>
      <c r="C255" s="242"/>
      <c r="D255" s="223"/>
      <c r="E255" s="242"/>
      <c r="P255" s="225"/>
      <c r="AH255" s="224"/>
      <c r="AI255" s="224"/>
    </row>
    <row r="256" spans="2:35" x14ac:dyDescent="0.2">
      <c r="B256" s="238"/>
      <c r="C256" s="242"/>
      <c r="D256" s="223"/>
      <c r="E256" s="242"/>
      <c r="P256" s="225"/>
      <c r="AH256" s="224"/>
      <c r="AI256" s="224"/>
    </row>
    <row r="257" spans="2:35" x14ac:dyDescent="0.2">
      <c r="B257" s="238"/>
      <c r="C257" s="242"/>
      <c r="D257" s="223"/>
      <c r="E257" s="242"/>
      <c r="P257" s="225"/>
      <c r="AH257" s="224"/>
      <c r="AI257" s="224"/>
    </row>
    <row r="258" spans="2:35" x14ac:dyDescent="0.2">
      <c r="B258" s="238"/>
      <c r="C258" s="242"/>
      <c r="D258" s="223"/>
      <c r="E258" s="242"/>
      <c r="P258" s="225"/>
      <c r="AH258" s="224"/>
      <c r="AI258" s="224"/>
    </row>
    <row r="259" spans="2:35" x14ac:dyDescent="0.2">
      <c r="B259" s="238"/>
      <c r="C259" s="242"/>
      <c r="D259" s="223"/>
      <c r="E259" s="242"/>
      <c r="P259" s="225"/>
      <c r="AH259" s="224"/>
      <c r="AI259" s="224"/>
    </row>
    <row r="260" spans="2:35" x14ac:dyDescent="0.2">
      <c r="B260" s="238"/>
      <c r="C260" s="242"/>
      <c r="D260" s="223"/>
      <c r="E260" s="242"/>
      <c r="P260" s="225"/>
      <c r="AH260" s="224"/>
      <c r="AI260" s="224"/>
    </row>
    <row r="261" spans="2:35" x14ac:dyDescent="0.2">
      <c r="B261" s="238"/>
      <c r="C261" s="242"/>
      <c r="D261" s="223"/>
      <c r="E261" s="242"/>
      <c r="P261" s="225"/>
      <c r="AH261" s="224"/>
      <c r="AI261" s="224"/>
    </row>
    <row r="262" spans="2:35" x14ac:dyDescent="0.2">
      <c r="B262" s="238"/>
      <c r="C262" s="242"/>
      <c r="D262" s="223"/>
      <c r="E262" s="242"/>
      <c r="P262" s="225"/>
      <c r="AH262" s="224"/>
      <c r="AI262" s="224"/>
    </row>
    <row r="263" spans="2:35" x14ac:dyDescent="0.2">
      <c r="B263" s="238"/>
      <c r="C263" s="242"/>
      <c r="D263" s="223"/>
      <c r="E263" s="242"/>
      <c r="P263" s="225"/>
      <c r="AH263" s="224"/>
      <c r="AI263" s="224"/>
    </row>
    <row r="264" spans="2:35" x14ac:dyDescent="0.2">
      <c r="B264" s="238"/>
      <c r="C264" s="242"/>
      <c r="D264" s="223"/>
      <c r="E264" s="242"/>
      <c r="P264" s="225"/>
      <c r="AH264" s="224"/>
      <c r="AI264" s="224"/>
    </row>
    <row r="265" spans="2:35" x14ac:dyDescent="0.2">
      <c r="B265" s="238"/>
      <c r="C265" s="242"/>
      <c r="D265" s="223"/>
      <c r="E265" s="242"/>
      <c r="P265" s="225"/>
      <c r="AH265" s="224"/>
      <c r="AI265" s="224"/>
    </row>
    <row r="266" spans="2:35" x14ac:dyDescent="0.2">
      <c r="B266" s="238"/>
      <c r="C266" s="242"/>
      <c r="D266" s="223"/>
      <c r="E266" s="242"/>
      <c r="P266" s="225"/>
      <c r="AH266" s="224"/>
      <c r="AI266" s="224"/>
    </row>
    <row r="267" spans="2:35" x14ac:dyDescent="0.2">
      <c r="B267" s="238"/>
      <c r="C267" s="242"/>
      <c r="D267" s="223"/>
      <c r="E267" s="242"/>
      <c r="P267" s="225"/>
      <c r="AH267" s="224"/>
      <c r="AI267" s="224"/>
    </row>
    <row r="268" spans="2:35" x14ac:dyDescent="0.2">
      <c r="B268" s="238"/>
      <c r="C268" s="242"/>
      <c r="D268" s="223"/>
      <c r="E268" s="242"/>
      <c r="P268" s="225"/>
      <c r="AH268" s="224"/>
      <c r="AI268" s="224"/>
    </row>
    <row r="269" spans="2:35" x14ac:dyDescent="0.2">
      <c r="B269" s="238"/>
      <c r="C269" s="242"/>
      <c r="D269" s="223"/>
      <c r="E269" s="242"/>
      <c r="P269" s="225"/>
      <c r="AH269" s="224"/>
      <c r="AI269" s="224"/>
    </row>
    <row r="270" spans="2:35" x14ac:dyDescent="0.2">
      <c r="B270" s="238"/>
      <c r="C270" s="242"/>
      <c r="D270" s="223"/>
      <c r="E270" s="242"/>
      <c r="P270" s="225"/>
      <c r="AH270" s="224"/>
      <c r="AI270" s="224"/>
    </row>
    <row r="271" spans="2:35" x14ac:dyDescent="0.2">
      <c r="B271" s="238"/>
      <c r="C271" s="242"/>
      <c r="D271" s="223"/>
      <c r="E271" s="242"/>
      <c r="P271" s="225"/>
      <c r="AH271" s="224"/>
      <c r="AI271" s="224"/>
    </row>
    <row r="272" spans="2:35" x14ac:dyDescent="0.2">
      <c r="B272" s="238"/>
      <c r="C272" s="242"/>
      <c r="D272" s="223"/>
      <c r="E272" s="242"/>
      <c r="P272" s="225"/>
      <c r="AH272" s="224"/>
      <c r="AI272" s="224"/>
    </row>
    <row r="273" spans="2:35" x14ac:dyDescent="0.2">
      <c r="B273" s="238"/>
      <c r="C273" s="242"/>
      <c r="D273" s="223"/>
      <c r="E273" s="242"/>
      <c r="P273" s="225"/>
      <c r="AH273" s="224"/>
      <c r="AI273" s="224"/>
    </row>
    <row r="274" spans="2:35" x14ac:dyDescent="0.2">
      <c r="B274" s="238"/>
      <c r="C274" s="242"/>
      <c r="D274" s="223"/>
      <c r="E274" s="242"/>
      <c r="P274" s="225"/>
      <c r="AH274" s="224"/>
      <c r="AI274" s="224"/>
    </row>
    <row r="275" spans="2:35" x14ac:dyDescent="0.2">
      <c r="B275" s="238"/>
      <c r="C275" s="242"/>
      <c r="D275" s="223"/>
      <c r="E275" s="242"/>
      <c r="P275" s="225"/>
      <c r="AH275" s="224"/>
      <c r="AI275" s="224"/>
    </row>
    <row r="276" spans="2:35" x14ac:dyDescent="0.2">
      <c r="B276" s="238"/>
      <c r="C276" s="242"/>
      <c r="D276" s="223"/>
      <c r="E276" s="242"/>
      <c r="P276" s="225"/>
      <c r="AH276" s="224"/>
      <c r="AI276" s="224"/>
    </row>
    <row r="277" spans="2:35" x14ac:dyDescent="0.2">
      <c r="B277" s="238"/>
      <c r="C277" s="242"/>
      <c r="D277" s="223"/>
      <c r="E277" s="242"/>
      <c r="P277" s="225"/>
      <c r="AH277" s="224"/>
      <c r="AI277" s="224"/>
    </row>
    <row r="278" spans="2:35" x14ac:dyDescent="0.2">
      <c r="B278" s="238"/>
      <c r="C278" s="242"/>
      <c r="D278" s="223"/>
      <c r="E278" s="242"/>
      <c r="P278" s="225"/>
      <c r="AH278" s="224"/>
      <c r="AI278" s="224"/>
    </row>
    <row r="279" spans="2:35" x14ac:dyDescent="0.2">
      <c r="B279" s="238"/>
      <c r="C279" s="242"/>
      <c r="D279" s="223"/>
      <c r="E279" s="242"/>
      <c r="P279" s="225"/>
      <c r="AH279" s="224"/>
      <c r="AI279" s="224"/>
    </row>
    <row r="280" spans="2:35" x14ac:dyDescent="0.2">
      <c r="B280" s="238"/>
      <c r="C280" s="242"/>
      <c r="D280" s="223"/>
      <c r="E280" s="242"/>
      <c r="P280" s="225"/>
      <c r="AH280" s="224"/>
      <c r="AI280" s="224"/>
    </row>
    <row r="281" spans="2:35" x14ac:dyDescent="0.2">
      <c r="B281" s="238"/>
      <c r="C281" s="242"/>
      <c r="D281" s="223"/>
      <c r="E281" s="242"/>
      <c r="P281" s="225"/>
      <c r="AH281" s="224"/>
      <c r="AI281" s="224"/>
    </row>
    <row r="282" spans="2:35" x14ac:dyDescent="0.2">
      <c r="B282" s="238"/>
      <c r="C282" s="242"/>
      <c r="D282" s="223"/>
      <c r="E282" s="242"/>
      <c r="P282" s="225"/>
      <c r="AH282" s="224"/>
      <c r="AI282" s="224"/>
    </row>
    <row r="283" spans="2:35" x14ac:dyDescent="0.2">
      <c r="B283" s="238"/>
      <c r="C283" s="242"/>
      <c r="D283" s="223"/>
      <c r="E283" s="242"/>
      <c r="P283" s="225"/>
      <c r="AH283" s="224"/>
      <c r="AI283" s="224"/>
    </row>
    <row r="284" spans="2:35" x14ac:dyDescent="0.2">
      <c r="B284" s="238"/>
      <c r="C284" s="242"/>
      <c r="D284" s="223"/>
      <c r="E284" s="242"/>
      <c r="P284" s="225"/>
      <c r="AH284" s="224"/>
      <c r="AI284" s="224"/>
    </row>
    <row r="285" spans="2:35" x14ac:dyDescent="0.2">
      <c r="B285" s="238"/>
      <c r="C285" s="242"/>
      <c r="D285" s="223"/>
      <c r="E285" s="242"/>
      <c r="P285" s="225"/>
      <c r="AH285" s="224"/>
      <c r="AI285" s="224"/>
    </row>
    <row r="286" spans="2:35" x14ac:dyDescent="0.2">
      <c r="B286" s="238"/>
      <c r="C286" s="242"/>
      <c r="D286" s="223"/>
      <c r="E286" s="242"/>
      <c r="P286" s="225"/>
      <c r="AH286" s="224"/>
      <c r="AI286" s="224"/>
    </row>
    <row r="287" spans="2:35" x14ac:dyDescent="0.2">
      <c r="B287" s="238"/>
      <c r="C287" s="242"/>
      <c r="D287" s="223"/>
      <c r="E287" s="242"/>
      <c r="P287" s="225"/>
      <c r="AH287" s="224"/>
      <c r="AI287" s="224"/>
    </row>
    <row r="288" spans="2:35" x14ac:dyDescent="0.2">
      <c r="B288" s="238"/>
      <c r="C288" s="242"/>
      <c r="D288" s="223"/>
      <c r="E288" s="242"/>
      <c r="P288" s="225"/>
      <c r="AH288" s="224"/>
      <c r="AI288" s="224"/>
    </row>
    <row r="289" spans="2:35" x14ac:dyDescent="0.2">
      <c r="B289" s="238"/>
      <c r="C289" s="242"/>
      <c r="D289" s="223"/>
      <c r="E289" s="242"/>
      <c r="P289" s="225"/>
      <c r="AH289" s="224"/>
      <c r="AI289" s="224"/>
    </row>
    <row r="290" spans="2:35" x14ac:dyDescent="0.2">
      <c r="B290" s="238"/>
      <c r="C290" s="242"/>
      <c r="D290" s="223"/>
      <c r="E290" s="242"/>
      <c r="P290" s="225"/>
      <c r="AH290" s="224"/>
      <c r="AI290" s="224"/>
    </row>
    <row r="291" spans="2:35" x14ac:dyDescent="0.2">
      <c r="B291" s="238"/>
      <c r="C291" s="242"/>
      <c r="D291" s="223"/>
      <c r="E291" s="242"/>
      <c r="P291" s="225"/>
      <c r="AH291" s="224"/>
      <c r="AI291" s="224"/>
    </row>
    <row r="292" spans="2:35" x14ac:dyDescent="0.2">
      <c r="B292" s="238"/>
      <c r="C292" s="242"/>
      <c r="D292" s="223"/>
      <c r="E292" s="242"/>
      <c r="P292" s="225"/>
      <c r="AH292" s="224"/>
      <c r="AI292" s="224"/>
    </row>
    <row r="293" spans="2:35" x14ac:dyDescent="0.2">
      <c r="B293" s="238"/>
      <c r="C293" s="242"/>
      <c r="D293" s="223"/>
      <c r="E293" s="242"/>
      <c r="P293" s="225"/>
      <c r="AH293" s="224"/>
      <c r="AI293" s="224"/>
    </row>
    <row r="294" spans="2:35" x14ac:dyDescent="0.2">
      <c r="B294" s="238"/>
      <c r="C294" s="242"/>
      <c r="D294" s="223"/>
      <c r="E294" s="242"/>
      <c r="P294" s="225"/>
      <c r="AH294" s="224"/>
      <c r="AI294" s="224"/>
    </row>
    <row r="295" spans="2:35" x14ac:dyDescent="0.2">
      <c r="B295" s="238"/>
      <c r="C295" s="242"/>
      <c r="D295" s="223"/>
      <c r="E295" s="242"/>
      <c r="P295" s="225"/>
      <c r="AH295" s="224"/>
      <c r="AI295" s="224"/>
    </row>
    <row r="296" spans="2:35" x14ac:dyDescent="0.2">
      <c r="B296" s="238"/>
      <c r="C296" s="242"/>
      <c r="D296" s="223"/>
      <c r="E296" s="242"/>
      <c r="P296" s="225"/>
      <c r="AH296" s="224"/>
      <c r="AI296" s="224"/>
    </row>
    <row r="297" spans="2:35" x14ac:dyDescent="0.2">
      <c r="B297" s="238"/>
      <c r="C297" s="242"/>
      <c r="D297" s="223"/>
      <c r="E297" s="242"/>
      <c r="P297" s="225"/>
      <c r="AH297" s="224"/>
      <c r="AI297" s="224"/>
    </row>
    <row r="298" spans="2:35" x14ac:dyDescent="0.2">
      <c r="B298" s="238"/>
      <c r="C298" s="242"/>
      <c r="D298" s="223"/>
      <c r="E298" s="242"/>
      <c r="P298" s="225"/>
      <c r="AH298" s="224"/>
      <c r="AI298" s="224"/>
    </row>
    <row r="299" spans="2:35" x14ac:dyDescent="0.2">
      <c r="B299" s="238"/>
      <c r="C299" s="242"/>
      <c r="D299" s="223"/>
      <c r="E299" s="242"/>
      <c r="P299" s="225"/>
      <c r="AH299" s="224"/>
      <c r="AI299" s="224"/>
    </row>
    <row r="300" spans="2:35" x14ac:dyDescent="0.2">
      <c r="B300" s="238"/>
      <c r="C300" s="242"/>
      <c r="D300" s="223"/>
      <c r="E300" s="242"/>
      <c r="P300" s="225"/>
      <c r="AH300" s="224"/>
      <c r="AI300" s="224"/>
    </row>
    <row r="301" spans="2:35" x14ac:dyDescent="0.2">
      <c r="B301" s="238"/>
      <c r="C301" s="242"/>
      <c r="D301" s="223"/>
      <c r="E301" s="242"/>
      <c r="P301" s="225"/>
      <c r="AH301" s="224"/>
      <c r="AI301" s="224"/>
    </row>
    <row r="302" spans="2:35" x14ac:dyDescent="0.2">
      <c r="B302" s="238"/>
      <c r="C302" s="242"/>
      <c r="D302" s="223"/>
      <c r="E302" s="242"/>
      <c r="P302" s="225"/>
      <c r="AH302" s="224"/>
      <c r="AI302" s="224"/>
    </row>
    <row r="303" spans="2:35" x14ac:dyDescent="0.2">
      <c r="B303" s="238"/>
      <c r="C303" s="242"/>
      <c r="D303" s="223"/>
      <c r="E303" s="242"/>
      <c r="P303" s="225"/>
      <c r="AH303" s="224"/>
      <c r="AI303" s="224"/>
    </row>
    <row r="304" spans="2:35" x14ac:dyDescent="0.2">
      <c r="B304" s="238"/>
      <c r="C304" s="242"/>
      <c r="D304" s="223"/>
      <c r="E304" s="242"/>
      <c r="P304" s="225"/>
      <c r="AH304" s="224"/>
      <c r="AI304" s="224"/>
    </row>
    <row r="305" spans="2:35" x14ac:dyDescent="0.2">
      <c r="B305" s="238"/>
      <c r="C305" s="242"/>
      <c r="D305" s="223"/>
      <c r="E305" s="242"/>
      <c r="P305" s="225"/>
      <c r="AH305" s="224"/>
      <c r="AI305" s="224"/>
    </row>
    <row r="306" spans="2:35" x14ac:dyDescent="0.2">
      <c r="B306" s="238"/>
      <c r="C306" s="242"/>
      <c r="D306" s="223"/>
      <c r="E306" s="242"/>
      <c r="P306" s="225"/>
      <c r="AH306" s="224"/>
      <c r="AI306" s="224"/>
    </row>
    <row r="307" spans="2:35" x14ac:dyDescent="0.2">
      <c r="B307" s="238"/>
      <c r="C307" s="242"/>
      <c r="D307" s="223"/>
      <c r="E307" s="242"/>
      <c r="P307" s="225"/>
      <c r="AH307" s="224"/>
      <c r="AI307" s="224"/>
    </row>
    <row r="308" spans="2:35" x14ac:dyDescent="0.2">
      <c r="B308" s="238"/>
      <c r="C308" s="242"/>
      <c r="D308" s="223"/>
      <c r="E308" s="242"/>
      <c r="P308" s="225"/>
      <c r="AH308" s="224"/>
      <c r="AI308" s="224"/>
    </row>
    <row r="309" spans="2:35" x14ac:dyDescent="0.2">
      <c r="B309" s="238"/>
      <c r="C309" s="242"/>
      <c r="D309" s="223"/>
      <c r="E309" s="242"/>
      <c r="P309" s="225"/>
      <c r="AH309" s="224"/>
      <c r="AI309" s="224"/>
    </row>
    <row r="310" spans="2:35" x14ac:dyDescent="0.2">
      <c r="B310" s="238"/>
      <c r="C310" s="242"/>
      <c r="D310" s="223"/>
      <c r="E310" s="242"/>
      <c r="P310" s="225"/>
      <c r="AH310" s="224"/>
      <c r="AI310" s="224"/>
    </row>
    <row r="311" spans="2:35" x14ac:dyDescent="0.2">
      <c r="B311" s="238"/>
      <c r="C311" s="242"/>
      <c r="D311" s="223"/>
      <c r="E311" s="242"/>
      <c r="P311" s="225"/>
      <c r="AH311" s="224"/>
      <c r="AI311" s="224"/>
    </row>
    <row r="312" spans="2:35" x14ac:dyDescent="0.2">
      <c r="B312" s="238"/>
      <c r="C312" s="242"/>
      <c r="D312" s="223"/>
      <c r="E312" s="242"/>
      <c r="P312" s="225"/>
      <c r="AH312" s="224"/>
      <c r="AI312" s="224"/>
    </row>
    <row r="313" spans="2:35" x14ac:dyDescent="0.2">
      <c r="B313" s="238"/>
      <c r="C313" s="242"/>
      <c r="D313" s="223"/>
      <c r="E313" s="242"/>
      <c r="P313" s="225"/>
      <c r="AH313" s="224"/>
      <c r="AI313" s="224"/>
    </row>
    <row r="314" spans="2:35" x14ac:dyDescent="0.2">
      <c r="B314" s="238"/>
      <c r="C314" s="242"/>
      <c r="D314" s="223"/>
      <c r="E314" s="242"/>
      <c r="P314" s="225"/>
      <c r="AH314" s="224"/>
      <c r="AI314" s="224"/>
    </row>
    <row r="315" spans="2:35" x14ac:dyDescent="0.2">
      <c r="B315" s="238"/>
      <c r="C315" s="242"/>
      <c r="D315" s="223"/>
      <c r="E315" s="242"/>
      <c r="P315" s="225"/>
      <c r="AH315" s="224"/>
      <c r="AI315" s="224"/>
    </row>
    <row r="316" spans="2:35" x14ac:dyDescent="0.2">
      <c r="B316" s="238"/>
      <c r="C316" s="242"/>
      <c r="D316" s="223"/>
      <c r="E316" s="242"/>
      <c r="P316" s="225"/>
      <c r="AH316" s="224"/>
      <c r="AI316" s="224"/>
    </row>
    <row r="317" spans="2:35" x14ac:dyDescent="0.2">
      <c r="B317" s="238"/>
      <c r="C317" s="242"/>
      <c r="D317" s="223"/>
      <c r="E317" s="242"/>
      <c r="P317" s="225"/>
      <c r="AH317" s="224"/>
      <c r="AI317" s="224"/>
    </row>
    <row r="318" spans="2:35" x14ac:dyDescent="0.2">
      <c r="B318" s="238"/>
      <c r="C318" s="242"/>
      <c r="D318" s="223"/>
      <c r="E318" s="242"/>
      <c r="P318" s="225"/>
      <c r="AH318" s="224"/>
      <c r="AI318" s="224"/>
    </row>
    <row r="319" spans="2:35" x14ac:dyDescent="0.2">
      <c r="B319" s="238"/>
      <c r="C319" s="242"/>
      <c r="D319" s="223"/>
      <c r="E319" s="242"/>
      <c r="P319" s="225"/>
      <c r="AH319" s="224"/>
      <c r="AI319" s="224"/>
    </row>
    <row r="320" spans="2:35" x14ac:dyDescent="0.2">
      <c r="B320" s="238"/>
      <c r="C320" s="242"/>
      <c r="D320" s="223"/>
      <c r="E320" s="242"/>
      <c r="P320" s="225"/>
      <c r="AH320" s="224"/>
      <c r="AI320" s="224"/>
    </row>
    <row r="321" spans="2:35" x14ac:dyDescent="0.2">
      <c r="B321" s="238"/>
      <c r="C321" s="242"/>
      <c r="D321" s="223"/>
      <c r="E321" s="242"/>
      <c r="P321" s="225"/>
      <c r="AH321" s="224"/>
      <c r="AI321" s="224"/>
    </row>
    <row r="322" spans="2:35" x14ac:dyDescent="0.2">
      <c r="B322" s="238"/>
      <c r="C322" s="242"/>
      <c r="D322" s="223"/>
      <c r="E322" s="242"/>
      <c r="P322" s="225"/>
      <c r="AH322" s="224"/>
      <c r="AI322" s="224"/>
    </row>
    <row r="323" spans="2:35" x14ac:dyDescent="0.2">
      <c r="B323" s="238"/>
      <c r="C323" s="242"/>
      <c r="D323" s="223"/>
      <c r="E323" s="242"/>
      <c r="P323" s="225"/>
      <c r="AH323" s="224"/>
      <c r="AI323" s="224"/>
    </row>
    <row r="324" spans="2:35" x14ac:dyDescent="0.2">
      <c r="B324" s="238"/>
      <c r="C324" s="242"/>
      <c r="D324" s="223"/>
      <c r="E324" s="242"/>
      <c r="P324" s="225"/>
      <c r="AH324" s="224"/>
      <c r="AI324" s="224"/>
    </row>
    <row r="325" spans="2:35" x14ac:dyDescent="0.2">
      <c r="B325" s="238"/>
      <c r="C325" s="242"/>
      <c r="D325" s="223"/>
      <c r="E325" s="242"/>
      <c r="P325" s="225"/>
      <c r="AH325" s="224"/>
      <c r="AI325" s="224"/>
    </row>
    <row r="326" spans="2:35" x14ac:dyDescent="0.2">
      <c r="B326" s="238"/>
      <c r="C326" s="242"/>
      <c r="D326" s="223"/>
      <c r="E326" s="242"/>
      <c r="P326" s="225"/>
      <c r="AH326" s="224"/>
      <c r="AI326" s="224"/>
    </row>
    <row r="327" spans="2:35" x14ac:dyDescent="0.2">
      <c r="B327" s="238"/>
      <c r="C327" s="242"/>
      <c r="D327" s="223"/>
      <c r="E327" s="242"/>
      <c r="P327" s="225"/>
      <c r="AH327" s="224"/>
      <c r="AI327" s="224"/>
    </row>
    <row r="328" spans="2:35" x14ac:dyDescent="0.2">
      <c r="B328" s="238"/>
      <c r="C328" s="242"/>
      <c r="D328" s="223"/>
      <c r="E328" s="242"/>
      <c r="P328" s="225"/>
      <c r="AH328" s="224"/>
      <c r="AI328" s="224"/>
    </row>
    <row r="329" spans="2:35" x14ac:dyDescent="0.2">
      <c r="B329" s="238"/>
      <c r="C329" s="242"/>
      <c r="D329" s="223"/>
      <c r="E329" s="242"/>
      <c r="P329" s="225"/>
      <c r="AH329" s="224"/>
      <c r="AI329" s="224"/>
    </row>
    <row r="330" spans="2:35" x14ac:dyDescent="0.2">
      <c r="B330" s="238"/>
      <c r="C330" s="242"/>
      <c r="D330" s="223"/>
      <c r="E330" s="242"/>
      <c r="P330" s="225"/>
      <c r="AH330" s="224"/>
      <c r="AI330" s="224"/>
    </row>
    <row r="331" spans="2:35" x14ac:dyDescent="0.2">
      <c r="B331" s="238"/>
      <c r="C331" s="242"/>
      <c r="D331" s="223"/>
      <c r="E331" s="242"/>
      <c r="P331" s="225"/>
      <c r="AH331" s="224"/>
      <c r="AI331" s="224"/>
    </row>
    <row r="332" spans="2:35" x14ac:dyDescent="0.2">
      <c r="B332" s="238"/>
      <c r="C332" s="242"/>
      <c r="D332" s="223"/>
      <c r="E332" s="242"/>
      <c r="P332" s="225"/>
      <c r="AH332" s="224"/>
      <c r="AI332" s="224"/>
    </row>
    <row r="333" spans="2:35" x14ac:dyDescent="0.2">
      <c r="B333" s="238"/>
      <c r="C333" s="242"/>
      <c r="D333" s="223"/>
      <c r="E333" s="242"/>
      <c r="P333" s="225"/>
      <c r="AH333" s="224"/>
      <c r="AI333" s="224"/>
    </row>
    <row r="334" spans="2:35" x14ac:dyDescent="0.2">
      <c r="B334" s="238"/>
      <c r="C334" s="242"/>
      <c r="D334" s="223"/>
      <c r="E334" s="242"/>
      <c r="P334" s="225"/>
      <c r="AH334" s="224"/>
      <c r="AI334" s="224"/>
    </row>
    <row r="335" spans="2:35" x14ac:dyDescent="0.2">
      <c r="B335" s="238"/>
      <c r="C335" s="242"/>
      <c r="D335" s="223"/>
      <c r="E335" s="242"/>
      <c r="P335" s="225"/>
      <c r="AH335" s="224"/>
      <c r="AI335" s="224"/>
    </row>
    <row r="336" spans="2:35" x14ac:dyDescent="0.2">
      <c r="B336" s="238"/>
      <c r="C336" s="242"/>
      <c r="D336" s="223"/>
      <c r="E336" s="242"/>
      <c r="P336" s="225"/>
      <c r="AH336" s="224"/>
      <c r="AI336" s="224"/>
    </row>
    <row r="337" spans="2:35" x14ac:dyDescent="0.2">
      <c r="B337" s="238"/>
      <c r="C337" s="242"/>
      <c r="D337" s="223"/>
      <c r="E337" s="242"/>
      <c r="P337" s="225"/>
      <c r="AH337" s="224"/>
      <c r="AI337" s="224"/>
    </row>
    <row r="338" spans="2:35" x14ac:dyDescent="0.2">
      <c r="B338" s="238"/>
      <c r="C338" s="242"/>
      <c r="D338" s="223"/>
      <c r="E338" s="242"/>
      <c r="P338" s="225"/>
      <c r="AH338" s="224"/>
      <c r="AI338" s="224"/>
    </row>
    <row r="339" spans="2:35" x14ac:dyDescent="0.2">
      <c r="B339" s="238"/>
      <c r="C339" s="242"/>
      <c r="D339" s="223"/>
      <c r="E339" s="242"/>
      <c r="P339" s="225"/>
      <c r="AH339" s="224"/>
      <c r="AI339" s="224"/>
    </row>
    <row r="340" spans="2:35" x14ac:dyDescent="0.2">
      <c r="B340" s="238"/>
      <c r="C340" s="242"/>
      <c r="D340" s="223"/>
      <c r="E340" s="242"/>
      <c r="P340" s="225"/>
      <c r="AH340" s="224"/>
      <c r="AI340" s="224"/>
    </row>
    <row r="341" spans="2:35" x14ac:dyDescent="0.2">
      <c r="B341" s="238"/>
      <c r="C341" s="242"/>
      <c r="D341" s="223"/>
      <c r="E341" s="242"/>
      <c r="P341" s="225"/>
      <c r="AH341" s="224"/>
      <c r="AI341" s="224"/>
    </row>
    <row r="342" spans="2:35" x14ac:dyDescent="0.2">
      <c r="B342" s="238"/>
      <c r="C342" s="242"/>
      <c r="D342" s="223"/>
      <c r="E342" s="242"/>
      <c r="P342" s="225"/>
      <c r="AH342" s="224"/>
      <c r="AI342" s="224"/>
    </row>
    <row r="343" spans="2:35" x14ac:dyDescent="0.2">
      <c r="B343" s="238"/>
      <c r="C343" s="242"/>
      <c r="D343" s="223"/>
      <c r="E343" s="242"/>
      <c r="P343" s="225"/>
      <c r="AH343" s="224"/>
      <c r="AI343" s="224"/>
    </row>
    <row r="344" spans="2:35" x14ac:dyDescent="0.2">
      <c r="B344" s="238"/>
      <c r="C344" s="242"/>
      <c r="D344" s="223"/>
      <c r="E344" s="242"/>
      <c r="P344" s="225"/>
      <c r="AH344" s="224"/>
      <c r="AI344" s="224"/>
    </row>
    <row r="345" spans="2:35" x14ac:dyDescent="0.2">
      <c r="B345" s="238"/>
      <c r="C345" s="242"/>
      <c r="D345" s="223"/>
      <c r="E345" s="242"/>
      <c r="P345" s="225"/>
      <c r="AH345" s="224"/>
      <c r="AI345" s="224"/>
    </row>
    <row r="346" spans="2:35" x14ac:dyDescent="0.2">
      <c r="B346" s="238"/>
      <c r="C346" s="242"/>
      <c r="D346" s="223"/>
      <c r="E346" s="242"/>
      <c r="P346" s="225"/>
      <c r="AH346" s="224"/>
      <c r="AI346" s="224"/>
    </row>
    <row r="347" spans="2:35" x14ac:dyDescent="0.2">
      <c r="B347" s="238"/>
      <c r="C347" s="242"/>
      <c r="D347" s="223"/>
      <c r="E347" s="242"/>
      <c r="P347" s="225"/>
      <c r="AH347" s="224"/>
      <c r="AI347" s="224"/>
    </row>
    <row r="348" spans="2:35" x14ac:dyDescent="0.2">
      <c r="B348" s="238"/>
      <c r="C348" s="242"/>
      <c r="D348" s="223"/>
      <c r="E348" s="242"/>
      <c r="P348" s="225"/>
      <c r="AH348" s="224"/>
      <c r="AI348" s="224"/>
    </row>
    <row r="349" spans="2:35" x14ac:dyDescent="0.2">
      <c r="B349" s="238"/>
      <c r="C349" s="242"/>
      <c r="D349" s="223"/>
      <c r="E349" s="242"/>
      <c r="P349" s="225"/>
      <c r="AH349" s="224"/>
      <c r="AI349" s="224"/>
    </row>
    <row r="350" spans="2:35" x14ac:dyDescent="0.2">
      <c r="B350" s="238"/>
      <c r="C350" s="242"/>
      <c r="D350" s="223"/>
      <c r="E350" s="242"/>
      <c r="P350" s="225"/>
      <c r="AH350" s="224"/>
      <c r="AI350" s="224"/>
    </row>
    <row r="351" spans="2:35" x14ac:dyDescent="0.2">
      <c r="B351" s="238"/>
      <c r="C351" s="242"/>
      <c r="D351" s="223"/>
      <c r="E351" s="242"/>
      <c r="P351" s="225"/>
      <c r="AH351" s="224"/>
      <c r="AI351" s="224"/>
    </row>
    <row r="352" spans="2:35" x14ac:dyDescent="0.2">
      <c r="B352" s="238"/>
      <c r="C352" s="242"/>
      <c r="D352" s="223"/>
      <c r="E352" s="242"/>
      <c r="P352" s="225"/>
      <c r="AH352" s="224"/>
      <c r="AI352" s="224"/>
    </row>
    <row r="353" spans="2:35" x14ac:dyDescent="0.2">
      <c r="B353" s="238"/>
      <c r="C353" s="242"/>
      <c r="D353" s="223"/>
      <c r="E353" s="242"/>
      <c r="P353" s="225"/>
      <c r="AH353" s="224"/>
      <c r="AI353" s="224"/>
    </row>
    <row r="354" spans="2:35" x14ac:dyDescent="0.2">
      <c r="B354" s="238"/>
      <c r="C354" s="242"/>
      <c r="D354" s="223"/>
      <c r="E354" s="242"/>
      <c r="P354" s="225"/>
      <c r="AH354" s="224"/>
      <c r="AI354" s="224"/>
    </row>
    <row r="355" spans="2:35" x14ac:dyDescent="0.2">
      <c r="B355" s="238"/>
      <c r="C355" s="242"/>
      <c r="D355" s="223"/>
      <c r="E355" s="242"/>
      <c r="P355" s="225"/>
      <c r="AH355" s="224"/>
      <c r="AI355" s="224"/>
    </row>
    <row r="356" spans="2:35" x14ac:dyDescent="0.2">
      <c r="B356" s="238"/>
      <c r="C356" s="242"/>
      <c r="D356" s="223"/>
      <c r="E356" s="242"/>
      <c r="P356" s="225"/>
      <c r="AH356" s="224"/>
      <c r="AI356" s="224"/>
    </row>
    <row r="357" spans="2:35" x14ac:dyDescent="0.2">
      <c r="B357" s="238"/>
      <c r="C357" s="242"/>
      <c r="D357" s="223"/>
      <c r="E357" s="242"/>
      <c r="P357" s="225"/>
      <c r="AH357" s="224"/>
      <c r="AI357" s="224"/>
    </row>
    <row r="358" spans="2:35" x14ac:dyDescent="0.2">
      <c r="B358" s="238"/>
      <c r="C358" s="242"/>
      <c r="D358" s="223"/>
      <c r="E358" s="242"/>
      <c r="P358" s="225"/>
      <c r="AH358" s="224"/>
      <c r="AI358" s="224"/>
    </row>
    <row r="359" spans="2:35" x14ac:dyDescent="0.2">
      <c r="B359" s="238"/>
      <c r="C359" s="242"/>
      <c r="D359" s="223"/>
      <c r="E359" s="242"/>
      <c r="P359" s="225"/>
      <c r="AH359" s="224"/>
      <c r="AI359" s="224"/>
    </row>
    <row r="360" spans="2:35" x14ac:dyDescent="0.2">
      <c r="B360" s="238"/>
      <c r="C360" s="242"/>
      <c r="D360" s="223"/>
      <c r="E360" s="242"/>
      <c r="P360" s="225"/>
      <c r="AH360" s="224"/>
      <c r="AI360" s="224"/>
    </row>
    <row r="361" spans="2:35" x14ac:dyDescent="0.2">
      <c r="B361" s="238"/>
      <c r="C361" s="242"/>
      <c r="D361" s="223"/>
      <c r="E361" s="242"/>
      <c r="P361" s="225"/>
      <c r="AH361" s="224"/>
      <c r="AI361" s="224"/>
    </row>
    <row r="362" spans="2:35" x14ac:dyDescent="0.2">
      <c r="B362" s="238"/>
      <c r="C362" s="242"/>
      <c r="D362" s="223"/>
      <c r="E362" s="242"/>
      <c r="P362" s="225"/>
      <c r="AH362" s="224"/>
      <c r="AI362" s="224"/>
    </row>
    <row r="363" spans="2:35" x14ac:dyDescent="0.2">
      <c r="B363" s="238"/>
      <c r="C363" s="242"/>
      <c r="D363" s="223"/>
      <c r="E363" s="242"/>
      <c r="P363" s="225"/>
      <c r="AH363" s="224"/>
      <c r="AI363" s="224"/>
    </row>
    <row r="364" spans="2:35" x14ac:dyDescent="0.2">
      <c r="B364" s="238"/>
      <c r="C364" s="242"/>
      <c r="D364" s="223"/>
      <c r="E364" s="242"/>
      <c r="P364" s="225"/>
      <c r="AH364" s="224"/>
      <c r="AI364" s="224"/>
    </row>
    <row r="365" spans="2:35" x14ac:dyDescent="0.2">
      <c r="B365" s="238"/>
      <c r="C365" s="242"/>
      <c r="D365" s="223"/>
      <c r="E365" s="242"/>
      <c r="P365" s="225"/>
      <c r="AH365" s="224"/>
      <c r="AI365" s="224"/>
    </row>
    <row r="366" spans="2:35" x14ac:dyDescent="0.2">
      <c r="B366" s="238"/>
      <c r="C366" s="242"/>
      <c r="D366" s="223"/>
      <c r="E366" s="242"/>
      <c r="P366" s="225"/>
      <c r="AH366" s="224"/>
      <c r="AI366" s="224"/>
    </row>
    <row r="367" spans="2:35" x14ac:dyDescent="0.2">
      <c r="B367" s="238"/>
      <c r="C367" s="242"/>
      <c r="D367" s="223"/>
      <c r="E367" s="242"/>
      <c r="P367" s="225"/>
      <c r="AH367" s="224"/>
      <c r="AI367" s="224"/>
    </row>
    <row r="368" spans="2:35" x14ac:dyDescent="0.2">
      <c r="B368" s="238"/>
      <c r="C368" s="242"/>
      <c r="D368" s="223"/>
      <c r="E368" s="242"/>
      <c r="P368" s="225"/>
      <c r="AH368" s="224"/>
      <c r="AI368" s="224"/>
    </row>
    <row r="369" spans="2:35" x14ac:dyDescent="0.2">
      <c r="B369" s="238"/>
      <c r="C369" s="242"/>
      <c r="D369" s="223"/>
      <c r="E369" s="242"/>
      <c r="P369" s="225"/>
      <c r="AH369" s="224"/>
      <c r="AI369" s="224"/>
    </row>
    <row r="370" spans="2:35" x14ac:dyDescent="0.2">
      <c r="B370" s="238"/>
      <c r="C370" s="242"/>
      <c r="D370" s="223"/>
      <c r="E370" s="242"/>
      <c r="P370" s="225"/>
      <c r="AH370" s="224"/>
      <c r="AI370" s="224"/>
    </row>
    <row r="371" spans="2:35" x14ac:dyDescent="0.2">
      <c r="B371" s="238"/>
      <c r="C371" s="242"/>
      <c r="D371" s="223"/>
      <c r="E371" s="242"/>
      <c r="P371" s="225"/>
      <c r="AH371" s="224"/>
      <c r="AI371" s="224"/>
    </row>
    <row r="372" spans="2:35" x14ac:dyDescent="0.2">
      <c r="B372" s="238"/>
      <c r="C372" s="242"/>
      <c r="D372" s="223"/>
      <c r="E372" s="242"/>
      <c r="P372" s="225"/>
      <c r="AH372" s="224"/>
      <c r="AI372" s="224"/>
    </row>
    <row r="373" spans="2:35" x14ac:dyDescent="0.2">
      <c r="B373" s="238"/>
      <c r="C373" s="242"/>
      <c r="D373" s="223"/>
      <c r="E373" s="242"/>
      <c r="P373" s="225"/>
      <c r="AH373" s="224"/>
      <c r="AI373" s="224"/>
    </row>
    <row r="374" spans="2:35" x14ac:dyDescent="0.2">
      <c r="B374" s="238"/>
      <c r="C374" s="242"/>
      <c r="D374" s="223"/>
      <c r="E374" s="242"/>
      <c r="P374" s="225"/>
      <c r="AH374" s="224"/>
      <c r="AI374" s="224"/>
    </row>
    <row r="375" spans="2:35" x14ac:dyDescent="0.2">
      <c r="B375" s="238"/>
      <c r="C375" s="242"/>
      <c r="D375" s="223"/>
      <c r="E375" s="242"/>
      <c r="P375" s="225"/>
      <c r="AH375" s="224"/>
      <c r="AI375" s="224"/>
    </row>
    <row r="376" spans="2:35" x14ac:dyDescent="0.2">
      <c r="B376" s="238"/>
      <c r="C376" s="242"/>
      <c r="D376" s="223"/>
      <c r="E376" s="242"/>
      <c r="P376" s="225"/>
      <c r="AH376" s="224"/>
      <c r="AI376" s="224"/>
    </row>
    <row r="377" spans="2:35" x14ac:dyDescent="0.2">
      <c r="B377" s="238"/>
      <c r="C377" s="242"/>
      <c r="D377" s="223"/>
      <c r="E377" s="242"/>
      <c r="P377" s="225"/>
      <c r="AH377" s="224"/>
      <c r="AI377" s="224"/>
    </row>
    <row r="378" spans="2:35" x14ac:dyDescent="0.2">
      <c r="B378" s="238"/>
      <c r="C378" s="242"/>
      <c r="D378" s="223"/>
      <c r="E378" s="242"/>
      <c r="P378" s="225"/>
      <c r="AH378" s="224"/>
      <c r="AI378" s="224"/>
    </row>
    <row r="379" spans="2:35" x14ac:dyDescent="0.2">
      <c r="B379" s="238"/>
      <c r="C379" s="242"/>
      <c r="D379" s="223"/>
      <c r="E379" s="242"/>
      <c r="P379" s="225"/>
      <c r="AH379" s="224"/>
      <c r="AI379" s="224"/>
    </row>
    <row r="380" spans="2:35" x14ac:dyDescent="0.2">
      <c r="B380" s="238"/>
      <c r="C380" s="242"/>
      <c r="D380" s="223"/>
      <c r="E380" s="242"/>
      <c r="P380" s="225"/>
      <c r="AH380" s="224"/>
      <c r="AI380" s="224"/>
    </row>
    <row r="381" spans="2:35" x14ac:dyDescent="0.2">
      <c r="B381" s="238"/>
      <c r="C381" s="242"/>
      <c r="D381" s="223"/>
      <c r="E381" s="242"/>
      <c r="P381" s="225"/>
      <c r="AH381" s="224"/>
      <c r="AI381" s="224"/>
    </row>
    <row r="382" spans="2:35" x14ac:dyDescent="0.2">
      <c r="B382" s="238"/>
      <c r="C382" s="242"/>
      <c r="D382" s="223"/>
      <c r="E382" s="242"/>
      <c r="P382" s="225"/>
      <c r="AH382" s="224"/>
      <c r="AI382" s="224"/>
    </row>
    <row r="383" spans="2:35" x14ac:dyDescent="0.2">
      <c r="B383" s="238"/>
      <c r="C383" s="242"/>
      <c r="D383" s="223"/>
      <c r="E383" s="242"/>
      <c r="P383" s="225"/>
      <c r="AH383" s="224"/>
      <c r="AI383" s="224"/>
    </row>
    <row r="384" spans="2:35" x14ac:dyDescent="0.2">
      <c r="B384" s="238"/>
      <c r="C384" s="242"/>
      <c r="D384" s="223"/>
      <c r="E384" s="242"/>
      <c r="P384" s="225"/>
      <c r="AH384" s="224"/>
      <c r="AI384" s="224"/>
    </row>
    <row r="385" spans="2:35" x14ac:dyDescent="0.2">
      <c r="B385" s="238"/>
      <c r="C385" s="242"/>
      <c r="D385" s="223"/>
      <c r="E385" s="242"/>
      <c r="P385" s="225"/>
      <c r="AH385" s="224"/>
      <c r="AI385" s="224"/>
    </row>
    <row r="386" spans="2:35" x14ac:dyDescent="0.2">
      <c r="B386" s="238"/>
      <c r="C386" s="242"/>
      <c r="D386" s="223"/>
      <c r="E386" s="242"/>
      <c r="P386" s="225"/>
      <c r="AH386" s="224"/>
      <c r="AI386" s="224"/>
    </row>
    <row r="387" spans="2:35" x14ac:dyDescent="0.2">
      <c r="B387" s="238"/>
      <c r="C387" s="242"/>
      <c r="D387" s="223"/>
      <c r="E387" s="242"/>
      <c r="P387" s="225"/>
      <c r="AH387" s="224"/>
      <c r="AI387" s="224"/>
    </row>
    <row r="388" spans="2:35" x14ac:dyDescent="0.2">
      <c r="B388" s="238"/>
      <c r="C388" s="242"/>
      <c r="D388" s="223"/>
      <c r="E388" s="242"/>
      <c r="P388" s="225"/>
      <c r="AH388" s="224"/>
      <c r="AI388" s="224"/>
    </row>
    <row r="389" spans="2:35" x14ac:dyDescent="0.2">
      <c r="B389" s="238"/>
      <c r="C389" s="242"/>
      <c r="D389" s="223"/>
      <c r="E389" s="242"/>
      <c r="P389" s="225"/>
      <c r="AH389" s="224"/>
      <c r="AI389" s="224"/>
    </row>
    <row r="390" spans="2:35" x14ac:dyDescent="0.2">
      <c r="B390" s="238"/>
      <c r="C390" s="242"/>
      <c r="D390" s="223"/>
      <c r="E390" s="242"/>
      <c r="P390" s="225"/>
      <c r="AH390" s="224"/>
      <c r="AI390" s="224"/>
    </row>
    <row r="391" spans="2:35" x14ac:dyDescent="0.2">
      <c r="B391" s="238"/>
      <c r="C391" s="242"/>
      <c r="D391" s="223"/>
      <c r="E391" s="242"/>
      <c r="P391" s="225"/>
      <c r="AH391" s="224"/>
      <c r="AI391" s="224"/>
    </row>
    <row r="392" spans="2:35" x14ac:dyDescent="0.2">
      <c r="B392" s="238"/>
      <c r="C392" s="242"/>
      <c r="D392" s="223"/>
      <c r="E392" s="242"/>
      <c r="P392" s="225"/>
      <c r="AH392" s="224"/>
      <c r="AI392" s="224"/>
    </row>
    <row r="393" spans="2:35" x14ac:dyDescent="0.2">
      <c r="B393" s="238"/>
      <c r="C393" s="242"/>
      <c r="D393" s="223"/>
      <c r="E393" s="242"/>
      <c r="P393" s="225"/>
      <c r="AH393" s="224"/>
      <c r="AI393" s="224"/>
    </row>
    <row r="394" spans="2:35" x14ac:dyDescent="0.2">
      <c r="B394" s="238"/>
      <c r="C394" s="242"/>
      <c r="D394" s="223"/>
      <c r="E394" s="242"/>
      <c r="P394" s="225"/>
      <c r="AH394" s="224"/>
      <c r="AI394" s="224"/>
    </row>
    <row r="395" spans="2:35" x14ac:dyDescent="0.2">
      <c r="B395" s="238"/>
      <c r="C395" s="242"/>
      <c r="D395" s="223"/>
      <c r="E395" s="242"/>
      <c r="P395" s="225"/>
      <c r="AH395" s="224"/>
      <c r="AI395" s="224"/>
    </row>
    <row r="396" spans="2:35" x14ac:dyDescent="0.2">
      <c r="B396" s="238"/>
      <c r="C396" s="242"/>
      <c r="D396" s="223"/>
      <c r="E396" s="242"/>
      <c r="P396" s="225"/>
      <c r="AH396" s="224"/>
      <c r="AI396" s="224"/>
    </row>
    <row r="397" spans="2:35" x14ac:dyDescent="0.2">
      <c r="B397" s="238"/>
      <c r="C397" s="242"/>
      <c r="D397" s="223"/>
      <c r="E397" s="242"/>
      <c r="P397" s="225"/>
      <c r="AH397" s="224"/>
      <c r="AI397" s="224"/>
    </row>
    <row r="398" spans="2:35" x14ac:dyDescent="0.2">
      <c r="B398" s="238"/>
      <c r="C398" s="242"/>
      <c r="D398" s="223"/>
      <c r="E398" s="242"/>
      <c r="P398" s="225"/>
      <c r="AH398" s="224"/>
      <c r="AI398" s="224"/>
    </row>
    <row r="399" spans="2:35" x14ac:dyDescent="0.2">
      <c r="B399" s="238"/>
      <c r="C399" s="242"/>
      <c r="D399" s="223"/>
      <c r="E399" s="242"/>
      <c r="P399" s="225"/>
      <c r="AH399" s="224"/>
      <c r="AI399" s="224"/>
    </row>
    <row r="400" spans="2:35" x14ac:dyDescent="0.2">
      <c r="B400" s="238"/>
      <c r="C400" s="242"/>
      <c r="D400" s="223"/>
      <c r="E400" s="242"/>
      <c r="P400" s="225"/>
      <c r="AH400" s="224"/>
      <c r="AI400" s="224"/>
    </row>
    <row r="401" spans="2:35" x14ac:dyDescent="0.2">
      <c r="B401" s="238"/>
      <c r="C401" s="242"/>
      <c r="D401" s="223"/>
      <c r="E401" s="242"/>
      <c r="P401" s="225"/>
      <c r="AH401" s="224"/>
      <c r="AI401" s="224"/>
    </row>
    <row r="402" spans="2:35" x14ac:dyDescent="0.2">
      <c r="B402" s="238"/>
      <c r="C402" s="242"/>
      <c r="D402" s="223"/>
      <c r="E402" s="242"/>
      <c r="P402" s="225"/>
      <c r="AH402" s="224"/>
      <c r="AI402" s="224"/>
    </row>
    <row r="403" spans="2:35" x14ac:dyDescent="0.2">
      <c r="B403" s="238"/>
      <c r="C403" s="242"/>
      <c r="D403" s="223"/>
      <c r="E403" s="242"/>
      <c r="P403" s="225"/>
      <c r="AH403" s="224"/>
      <c r="AI403" s="224"/>
    </row>
    <row r="404" spans="2:35" x14ac:dyDescent="0.2">
      <c r="B404" s="238"/>
      <c r="C404" s="242"/>
      <c r="D404" s="223"/>
      <c r="E404" s="242"/>
      <c r="P404" s="225"/>
      <c r="AH404" s="224"/>
      <c r="AI404" s="224"/>
    </row>
    <row r="405" spans="2:35" x14ac:dyDescent="0.2">
      <c r="B405" s="238"/>
      <c r="C405" s="242"/>
      <c r="D405" s="223"/>
      <c r="E405" s="242"/>
      <c r="P405" s="225"/>
      <c r="AH405" s="224"/>
      <c r="AI405" s="224"/>
    </row>
    <row r="406" spans="2:35" x14ac:dyDescent="0.2">
      <c r="B406" s="238"/>
      <c r="C406" s="242"/>
      <c r="D406" s="223"/>
      <c r="E406" s="242"/>
      <c r="P406" s="225"/>
      <c r="AH406" s="224"/>
      <c r="AI406" s="224"/>
    </row>
    <row r="407" spans="2:35" x14ac:dyDescent="0.2">
      <c r="B407" s="238"/>
      <c r="C407" s="242"/>
      <c r="D407" s="223"/>
      <c r="E407" s="242"/>
      <c r="P407" s="225"/>
      <c r="AH407" s="224"/>
      <c r="AI407" s="224"/>
    </row>
    <row r="408" spans="2:35" x14ac:dyDescent="0.2">
      <c r="B408" s="238"/>
      <c r="C408" s="242"/>
      <c r="D408" s="223"/>
      <c r="E408" s="242"/>
      <c r="P408" s="225"/>
      <c r="AH408" s="224"/>
      <c r="AI408" s="224"/>
    </row>
    <row r="409" spans="2:35" x14ac:dyDescent="0.2">
      <c r="B409" s="238"/>
      <c r="C409" s="242"/>
      <c r="D409" s="223"/>
      <c r="E409" s="242"/>
      <c r="P409" s="225"/>
      <c r="AH409" s="224"/>
      <c r="AI409" s="224"/>
    </row>
    <row r="410" spans="2:35" x14ac:dyDescent="0.2">
      <c r="B410" s="238"/>
      <c r="C410" s="242"/>
      <c r="D410" s="223"/>
      <c r="E410" s="242"/>
      <c r="P410" s="225"/>
      <c r="AH410" s="224"/>
      <c r="AI410" s="224"/>
    </row>
    <row r="411" spans="2:35" x14ac:dyDescent="0.2">
      <c r="B411" s="238"/>
      <c r="C411" s="242"/>
      <c r="D411" s="223"/>
      <c r="E411" s="242"/>
      <c r="P411" s="225"/>
      <c r="AH411" s="224"/>
      <c r="AI411" s="224"/>
    </row>
    <row r="412" spans="2:35" x14ac:dyDescent="0.2">
      <c r="B412" s="238"/>
      <c r="C412" s="242"/>
      <c r="D412" s="223"/>
      <c r="E412" s="242"/>
      <c r="P412" s="225"/>
      <c r="AH412" s="224"/>
      <c r="AI412" s="224"/>
    </row>
    <row r="413" spans="2:35" x14ac:dyDescent="0.2">
      <c r="B413" s="238"/>
      <c r="C413" s="242"/>
      <c r="D413" s="223"/>
      <c r="E413" s="242"/>
      <c r="P413" s="225"/>
      <c r="AH413" s="224"/>
      <c r="AI413" s="224"/>
    </row>
    <row r="414" spans="2:35" x14ac:dyDescent="0.2">
      <c r="B414" s="238"/>
      <c r="C414" s="242"/>
      <c r="D414" s="223"/>
      <c r="E414" s="242"/>
      <c r="P414" s="225"/>
      <c r="AH414" s="224"/>
      <c r="AI414" s="224"/>
    </row>
    <row r="415" spans="2:35" x14ac:dyDescent="0.2">
      <c r="B415" s="238"/>
      <c r="C415" s="242"/>
      <c r="D415" s="223"/>
      <c r="E415" s="242"/>
      <c r="P415" s="225"/>
      <c r="AH415" s="224"/>
      <c r="AI415" s="224"/>
    </row>
    <row r="416" spans="2:35" x14ac:dyDescent="0.2">
      <c r="B416" s="238"/>
      <c r="C416" s="242"/>
      <c r="D416" s="223"/>
      <c r="E416" s="242"/>
      <c r="P416" s="225"/>
      <c r="AH416" s="224"/>
      <c r="AI416" s="224"/>
    </row>
    <row r="417" spans="2:35" x14ac:dyDescent="0.2">
      <c r="B417" s="238"/>
      <c r="C417" s="242"/>
      <c r="D417" s="223"/>
      <c r="E417" s="242"/>
      <c r="P417" s="225"/>
      <c r="AH417" s="224"/>
      <c r="AI417" s="224"/>
    </row>
    <row r="418" spans="2:35" x14ac:dyDescent="0.2">
      <c r="B418" s="238"/>
      <c r="C418" s="242"/>
      <c r="D418" s="223"/>
      <c r="E418" s="242"/>
      <c r="P418" s="225"/>
      <c r="AH418" s="224"/>
      <c r="AI418" s="224"/>
    </row>
    <row r="419" spans="2:35" x14ac:dyDescent="0.2">
      <c r="B419" s="238"/>
      <c r="C419" s="242"/>
      <c r="D419" s="223"/>
      <c r="E419" s="242"/>
      <c r="P419" s="225"/>
      <c r="AH419" s="224"/>
      <c r="AI419" s="224"/>
    </row>
    <row r="420" spans="2:35" x14ac:dyDescent="0.2">
      <c r="B420" s="238"/>
      <c r="C420" s="242"/>
      <c r="D420" s="223"/>
      <c r="E420" s="242"/>
      <c r="P420" s="225"/>
      <c r="AH420" s="224"/>
      <c r="AI420" s="224"/>
    </row>
    <row r="421" spans="2:35" x14ac:dyDescent="0.2">
      <c r="B421" s="238"/>
      <c r="C421" s="242"/>
      <c r="D421" s="223"/>
      <c r="E421" s="242"/>
      <c r="P421" s="225"/>
      <c r="AH421" s="224"/>
      <c r="AI421" s="224"/>
    </row>
    <row r="422" spans="2:35" x14ac:dyDescent="0.2">
      <c r="B422" s="238"/>
      <c r="C422" s="242"/>
      <c r="D422" s="223"/>
      <c r="E422" s="242"/>
      <c r="P422" s="225"/>
      <c r="AH422" s="224"/>
      <c r="AI422" s="224"/>
    </row>
    <row r="423" spans="2:35" x14ac:dyDescent="0.2">
      <c r="B423" s="238"/>
      <c r="C423" s="242"/>
      <c r="D423" s="223"/>
      <c r="E423" s="242"/>
      <c r="P423" s="225"/>
      <c r="AH423" s="224"/>
      <c r="AI423" s="224"/>
    </row>
    <row r="424" spans="2:35" x14ac:dyDescent="0.2">
      <c r="B424" s="238"/>
      <c r="C424" s="242"/>
      <c r="D424" s="223"/>
      <c r="E424" s="242"/>
      <c r="P424" s="225"/>
      <c r="AH424" s="224"/>
      <c r="AI424" s="224"/>
    </row>
    <row r="425" spans="2:35" x14ac:dyDescent="0.2">
      <c r="B425" s="238"/>
      <c r="C425" s="242"/>
      <c r="D425" s="223"/>
      <c r="E425" s="242"/>
      <c r="P425" s="225"/>
      <c r="AH425" s="224"/>
      <c r="AI425" s="224"/>
    </row>
    <row r="426" spans="2:35" x14ac:dyDescent="0.2">
      <c r="B426" s="238"/>
      <c r="C426" s="242"/>
      <c r="D426" s="223"/>
      <c r="E426" s="242"/>
      <c r="P426" s="225"/>
      <c r="AH426" s="224"/>
      <c r="AI426" s="224"/>
    </row>
    <row r="427" spans="2:35" x14ac:dyDescent="0.2">
      <c r="B427" s="238"/>
      <c r="C427" s="242"/>
      <c r="D427" s="223"/>
      <c r="E427" s="242"/>
      <c r="P427" s="225"/>
      <c r="AH427" s="224"/>
      <c r="AI427" s="224"/>
    </row>
    <row r="428" spans="2:35" x14ac:dyDescent="0.2">
      <c r="B428" s="238"/>
      <c r="C428" s="242"/>
      <c r="D428" s="223"/>
      <c r="E428" s="242"/>
      <c r="P428" s="225"/>
      <c r="AH428" s="224"/>
      <c r="AI428" s="224"/>
    </row>
    <row r="429" spans="2:35" x14ac:dyDescent="0.2">
      <c r="B429" s="238"/>
      <c r="C429" s="242"/>
      <c r="D429" s="223"/>
      <c r="E429" s="242"/>
      <c r="P429" s="225"/>
      <c r="AH429" s="224"/>
      <c r="AI429" s="224"/>
    </row>
    <row r="430" spans="2:35" x14ac:dyDescent="0.2">
      <c r="B430" s="238"/>
      <c r="C430" s="242"/>
      <c r="D430" s="223"/>
      <c r="E430" s="242"/>
      <c r="P430" s="225"/>
      <c r="AH430" s="224"/>
      <c r="AI430" s="224"/>
    </row>
    <row r="431" spans="2:35" x14ac:dyDescent="0.2">
      <c r="B431" s="238"/>
      <c r="C431" s="242"/>
      <c r="D431" s="223"/>
      <c r="E431" s="242"/>
      <c r="P431" s="225"/>
      <c r="AH431" s="224"/>
      <c r="AI431" s="224"/>
    </row>
    <row r="432" spans="2:35" x14ac:dyDescent="0.2">
      <c r="B432" s="238"/>
      <c r="C432" s="242"/>
      <c r="D432" s="223"/>
      <c r="E432" s="242"/>
      <c r="P432" s="225"/>
      <c r="AH432" s="224"/>
      <c r="AI432" s="224"/>
    </row>
    <row r="433" spans="2:35" x14ac:dyDescent="0.2">
      <c r="B433" s="238"/>
      <c r="C433" s="242"/>
      <c r="D433" s="223"/>
      <c r="E433" s="242"/>
      <c r="P433" s="225"/>
      <c r="AH433" s="224"/>
      <c r="AI433" s="224"/>
    </row>
    <row r="434" spans="2:35" x14ac:dyDescent="0.2">
      <c r="B434" s="238"/>
      <c r="C434" s="242"/>
      <c r="D434" s="223"/>
      <c r="E434" s="242"/>
      <c r="P434" s="225"/>
      <c r="AH434" s="224"/>
      <c r="AI434" s="224"/>
    </row>
    <row r="435" spans="2:35" x14ac:dyDescent="0.2">
      <c r="B435" s="238"/>
      <c r="C435" s="242"/>
      <c r="D435" s="223"/>
      <c r="E435" s="242"/>
      <c r="P435" s="225"/>
      <c r="AH435" s="224"/>
      <c r="AI435" s="224"/>
    </row>
    <row r="436" spans="2:35" x14ac:dyDescent="0.2">
      <c r="B436" s="238"/>
      <c r="C436" s="242"/>
      <c r="D436" s="223"/>
      <c r="E436" s="242"/>
      <c r="P436" s="225"/>
      <c r="AH436" s="224"/>
      <c r="AI436" s="224"/>
    </row>
    <row r="437" spans="2:35" x14ac:dyDescent="0.2">
      <c r="B437" s="238"/>
      <c r="C437" s="242"/>
      <c r="D437" s="223"/>
      <c r="E437" s="242"/>
      <c r="P437" s="225"/>
      <c r="AH437" s="224"/>
      <c r="AI437" s="224"/>
    </row>
    <row r="438" spans="2:35" x14ac:dyDescent="0.2">
      <c r="B438" s="238"/>
      <c r="C438" s="242"/>
      <c r="D438" s="223"/>
      <c r="E438" s="242"/>
      <c r="P438" s="225"/>
      <c r="AH438" s="224"/>
      <c r="AI438" s="224"/>
    </row>
    <row r="439" spans="2:35" x14ac:dyDescent="0.2">
      <c r="B439" s="238"/>
      <c r="C439" s="242"/>
      <c r="D439" s="223"/>
      <c r="E439" s="242"/>
      <c r="P439" s="225"/>
      <c r="AH439" s="224"/>
      <c r="AI439" s="224"/>
    </row>
    <row r="440" spans="2:35" x14ac:dyDescent="0.2">
      <c r="B440" s="238"/>
      <c r="C440" s="242"/>
      <c r="D440" s="223"/>
      <c r="E440" s="242"/>
      <c r="P440" s="225"/>
      <c r="AH440" s="224"/>
      <c r="AI440" s="224"/>
    </row>
    <row r="441" spans="2:35" x14ac:dyDescent="0.2">
      <c r="B441" s="238"/>
      <c r="C441" s="242"/>
      <c r="D441" s="223"/>
      <c r="E441" s="242"/>
      <c r="P441" s="225"/>
      <c r="AH441" s="224"/>
      <c r="AI441" s="224"/>
    </row>
    <row r="442" spans="2:35" x14ac:dyDescent="0.2">
      <c r="B442" s="238"/>
      <c r="C442" s="242"/>
      <c r="D442" s="223"/>
      <c r="E442" s="242"/>
      <c r="P442" s="225"/>
      <c r="AH442" s="224"/>
      <c r="AI442" s="224"/>
    </row>
    <row r="443" spans="2:35" x14ac:dyDescent="0.2">
      <c r="B443" s="238"/>
      <c r="C443" s="242"/>
      <c r="D443" s="223"/>
      <c r="E443" s="242"/>
      <c r="P443" s="225"/>
      <c r="AH443" s="224"/>
      <c r="AI443" s="224"/>
    </row>
    <row r="444" spans="2:35" x14ac:dyDescent="0.2">
      <c r="B444" s="238"/>
      <c r="C444" s="242"/>
      <c r="D444" s="223"/>
      <c r="E444" s="242"/>
      <c r="P444" s="225"/>
      <c r="AH444" s="224"/>
      <c r="AI444" s="224"/>
    </row>
    <row r="445" spans="2:35" x14ac:dyDescent="0.2">
      <c r="B445" s="238"/>
      <c r="C445" s="242"/>
      <c r="D445" s="223"/>
      <c r="E445" s="242"/>
      <c r="P445" s="225"/>
      <c r="AH445" s="224"/>
      <c r="AI445" s="224"/>
    </row>
    <row r="446" spans="2:35" x14ac:dyDescent="0.2">
      <c r="B446" s="238"/>
      <c r="C446" s="242"/>
      <c r="D446" s="223"/>
      <c r="E446" s="242"/>
      <c r="P446" s="225"/>
      <c r="AH446" s="224"/>
      <c r="AI446" s="224"/>
    </row>
    <row r="447" spans="2:35" x14ac:dyDescent="0.2">
      <c r="B447" s="238"/>
      <c r="C447" s="242"/>
      <c r="D447" s="223"/>
      <c r="E447" s="242"/>
      <c r="P447" s="225"/>
      <c r="AH447" s="224"/>
      <c r="AI447" s="224"/>
    </row>
    <row r="448" spans="2:35" x14ac:dyDescent="0.2">
      <c r="B448" s="238"/>
      <c r="C448" s="242"/>
      <c r="D448" s="223"/>
      <c r="E448" s="242"/>
      <c r="P448" s="225"/>
      <c r="AH448" s="224"/>
      <c r="AI448" s="224"/>
    </row>
    <row r="449" spans="2:35" x14ac:dyDescent="0.2">
      <c r="B449" s="238"/>
      <c r="C449" s="242"/>
      <c r="D449" s="223"/>
      <c r="E449" s="242"/>
      <c r="P449" s="225"/>
      <c r="AH449" s="224"/>
      <c r="AI449" s="224"/>
    </row>
    <row r="450" spans="2:35" x14ac:dyDescent="0.2">
      <c r="B450" s="238"/>
      <c r="C450" s="242"/>
      <c r="D450" s="223"/>
      <c r="E450" s="242"/>
      <c r="P450" s="225"/>
      <c r="AH450" s="224"/>
      <c r="AI450" s="224"/>
    </row>
    <row r="451" spans="2:35" x14ac:dyDescent="0.2">
      <c r="B451" s="238"/>
      <c r="C451" s="242"/>
      <c r="D451" s="223"/>
      <c r="E451" s="242"/>
      <c r="P451" s="225"/>
      <c r="AH451" s="224"/>
      <c r="AI451" s="224"/>
    </row>
    <row r="452" spans="2:35" x14ac:dyDescent="0.2">
      <c r="B452" s="238"/>
      <c r="C452" s="242"/>
      <c r="D452" s="223"/>
      <c r="E452" s="242"/>
      <c r="P452" s="225"/>
      <c r="AH452" s="224"/>
      <c r="AI452" s="224"/>
    </row>
    <row r="453" spans="2:35" x14ac:dyDescent="0.2">
      <c r="B453" s="238"/>
      <c r="C453" s="242"/>
      <c r="D453" s="223"/>
      <c r="E453" s="242"/>
      <c r="P453" s="225"/>
      <c r="AH453" s="224"/>
      <c r="AI453" s="224"/>
    </row>
    <row r="454" spans="2:35" x14ac:dyDescent="0.2">
      <c r="B454" s="238"/>
      <c r="C454" s="242"/>
      <c r="D454" s="223"/>
      <c r="E454" s="242"/>
      <c r="P454" s="225"/>
      <c r="AH454" s="224"/>
      <c r="AI454" s="224"/>
    </row>
    <row r="455" spans="2:35" x14ac:dyDescent="0.2">
      <c r="B455" s="238"/>
      <c r="C455" s="242"/>
      <c r="D455" s="223"/>
      <c r="E455" s="242"/>
      <c r="P455" s="225"/>
      <c r="AH455" s="224"/>
      <c r="AI455" s="224"/>
    </row>
    <row r="456" spans="2:35" x14ac:dyDescent="0.2">
      <c r="B456" s="238"/>
      <c r="C456" s="242"/>
      <c r="D456" s="223"/>
      <c r="E456" s="242"/>
      <c r="P456" s="225"/>
      <c r="AH456" s="224"/>
      <c r="AI456" s="224"/>
    </row>
    <row r="457" spans="2:35" x14ac:dyDescent="0.2">
      <c r="B457" s="238"/>
      <c r="C457" s="242"/>
      <c r="D457" s="223"/>
      <c r="E457" s="242"/>
      <c r="P457" s="225"/>
      <c r="AH457" s="224"/>
      <c r="AI457" s="224"/>
    </row>
    <row r="458" spans="2:35" x14ac:dyDescent="0.2">
      <c r="B458" s="238"/>
      <c r="C458" s="242"/>
      <c r="D458" s="223"/>
      <c r="E458" s="242"/>
      <c r="P458" s="225"/>
      <c r="AH458" s="224"/>
      <c r="AI458" s="224"/>
    </row>
    <row r="459" spans="2:35" x14ac:dyDescent="0.2">
      <c r="B459" s="238"/>
      <c r="C459" s="242"/>
      <c r="D459" s="223"/>
      <c r="E459" s="242"/>
      <c r="P459" s="225"/>
      <c r="AH459" s="224"/>
      <c r="AI459" s="224"/>
    </row>
    <row r="460" spans="2:35" x14ac:dyDescent="0.2">
      <c r="B460" s="238"/>
      <c r="C460" s="242"/>
      <c r="D460" s="223"/>
      <c r="E460" s="242"/>
      <c r="P460" s="225"/>
      <c r="AH460" s="224"/>
      <c r="AI460" s="224"/>
    </row>
    <row r="461" spans="2:35" x14ac:dyDescent="0.2">
      <c r="B461" s="238"/>
      <c r="C461" s="242"/>
      <c r="D461" s="223"/>
      <c r="E461" s="242"/>
      <c r="P461" s="225"/>
      <c r="AH461" s="224"/>
      <c r="AI461" s="224"/>
    </row>
    <row r="462" spans="2:35" x14ac:dyDescent="0.2">
      <c r="B462" s="238"/>
      <c r="C462" s="242"/>
      <c r="D462" s="223"/>
      <c r="E462" s="242"/>
      <c r="P462" s="225"/>
      <c r="AH462" s="224"/>
      <c r="AI462" s="224"/>
    </row>
    <row r="463" spans="2:35" x14ac:dyDescent="0.2">
      <c r="B463" s="238"/>
      <c r="C463" s="242"/>
      <c r="D463" s="223"/>
      <c r="E463" s="242"/>
      <c r="P463" s="225"/>
      <c r="AH463" s="224"/>
      <c r="AI463" s="224"/>
    </row>
    <row r="464" spans="2:35" x14ac:dyDescent="0.2">
      <c r="B464" s="238"/>
      <c r="C464" s="242"/>
      <c r="D464" s="223"/>
      <c r="E464" s="242"/>
      <c r="P464" s="225"/>
      <c r="AH464" s="224"/>
      <c r="AI464" s="224"/>
    </row>
    <row r="465" spans="2:35" x14ac:dyDescent="0.2">
      <c r="B465" s="238"/>
      <c r="C465" s="242"/>
      <c r="D465" s="223"/>
      <c r="E465" s="242"/>
      <c r="P465" s="225"/>
      <c r="AH465" s="224"/>
      <c r="AI465" s="224"/>
    </row>
    <row r="466" spans="2:35" x14ac:dyDescent="0.2">
      <c r="B466" s="238"/>
      <c r="C466" s="242"/>
      <c r="D466" s="223"/>
      <c r="E466" s="242"/>
      <c r="P466" s="225"/>
      <c r="AH466" s="224"/>
      <c r="AI466" s="224"/>
    </row>
    <row r="467" spans="2:35" x14ac:dyDescent="0.2">
      <c r="B467" s="238"/>
      <c r="C467" s="242"/>
      <c r="D467" s="223"/>
      <c r="E467" s="242"/>
      <c r="P467" s="225"/>
      <c r="AH467" s="224"/>
      <c r="AI467" s="224"/>
    </row>
    <row r="468" spans="2:35" x14ac:dyDescent="0.2">
      <c r="B468" s="238"/>
      <c r="C468" s="242"/>
      <c r="D468" s="223"/>
      <c r="E468" s="242"/>
      <c r="P468" s="225"/>
      <c r="AH468" s="224"/>
      <c r="AI468" s="224"/>
    </row>
    <row r="469" spans="2:35" x14ac:dyDescent="0.2">
      <c r="B469" s="238"/>
      <c r="C469" s="242"/>
      <c r="D469" s="223"/>
      <c r="E469" s="242"/>
      <c r="P469" s="225"/>
      <c r="AH469" s="224"/>
      <c r="AI469" s="224"/>
    </row>
    <row r="470" spans="2:35" x14ac:dyDescent="0.2">
      <c r="B470" s="238"/>
      <c r="C470" s="242"/>
      <c r="D470" s="223"/>
      <c r="E470" s="242"/>
      <c r="P470" s="225"/>
      <c r="AH470" s="224"/>
      <c r="AI470" s="224"/>
    </row>
    <row r="471" spans="2:35" x14ac:dyDescent="0.2">
      <c r="B471" s="238"/>
      <c r="C471" s="242"/>
      <c r="D471" s="223"/>
      <c r="E471" s="242"/>
      <c r="P471" s="225"/>
      <c r="AH471" s="224"/>
      <c r="AI471" s="224"/>
    </row>
    <row r="472" spans="2:35" x14ac:dyDescent="0.2">
      <c r="B472" s="238"/>
      <c r="C472" s="242"/>
      <c r="D472" s="223"/>
      <c r="E472" s="242"/>
      <c r="P472" s="225"/>
      <c r="AH472" s="224"/>
      <c r="AI472" s="224"/>
    </row>
    <row r="473" spans="2:35" x14ac:dyDescent="0.2">
      <c r="B473" s="238"/>
      <c r="C473" s="242"/>
      <c r="D473" s="223"/>
      <c r="E473" s="242"/>
      <c r="P473" s="225"/>
      <c r="AH473" s="224"/>
      <c r="AI473" s="224"/>
    </row>
    <row r="474" spans="2:35" x14ac:dyDescent="0.2">
      <c r="B474" s="238"/>
      <c r="C474" s="242"/>
      <c r="D474" s="223"/>
      <c r="E474" s="242"/>
      <c r="P474" s="225"/>
      <c r="AH474" s="224"/>
      <c r="AI474" s="224"/>
    </row>
    <row r="475" spans="2:35" x14ac:dyDescent="0.2">
      <c r="B475" s="238"/>
      <c r="C475" s="242"/>
      <c r="D475" s="223"/>
      <c r="E475" s="242"/>
      <c r="P475" s="225"/>
      <c r="AH475" s="224"/>
      <c r="AI475" s="224"/>
    </row>
    <row r="476" spans="2:35" x14ac:dyDescent="0.2">
      <c r="B476" s="238"/>
      <c r="C476" s="242"/>
      <c r="D476" s="223"/>
      <c r="E476" s="242"/>
      <c r="P476" s="225"/>
      <c r="AH476" s="224"/>
      <c r="AI476" s="224"/>
    </row>
    <row r="477" spans="2:35" x14ac:dyDescent="0.2">
      <c r="B477" s="238"/>
      <c r="C477" s="242"/>
      <c r="D477" s="223"/>
      <c r="E477" s="242"/>
      <c r="P477" s="225"/>
      <c r="AH477" s="224"/>
      <c r="AI477" s="224"/>
    </row>
    <row r="478" spans="2:35" x14ac:dyDescent="0.2">
      <c r="B478" s="238"/>
      <c r="C478" s="242"/>
      <c r="D478" s="223"/>
      <c r="E478" s="242"/>
      <c r="P478" s="225"/>
      <c r="AH478" s="224"/>
      <c r="AI478" s="224"/>
    </row>
    <row r="479" spans="2:35" x14ac:dyDescent="0.2">
      <c r="B479" s="238"/>
      <c r="C479" s="242"/>
      <c r="D479" s="223"/>
      <c r="E479" s="242"/>
      <c r="P479" s="225"/>
      <c r="AH479" s="224"/>
      <c r="AI479" s="224"/>
    </row>
    <row r="480" spans="2:35" x14ac:dyDescent="0.2">
      <c r="B480" s="238"/>
      <c r="C480" s="242"/>
      <c r="D480" s="223"/>
      <c r="E480" s="242"/>
      <c r="P480" s="225"/>
      <c r="AH480" s="224"/>
      <c r="AI480" s="224"/>
    </row>
    <row r="481" spans="2:35" x14ac:dyDescent="0.2">
      <c r="B481" s="238"/>
      <c r="C481" s="242"/>
      <c r="D481" s="223"/>
      <c r="E481" s="242"/>
      <c r="P481" s="225"/>
      <c r="AH481" s="224"/>
      <c r="AI481" s="224"/>
    </row>
    <row r="482" spans="2:35" x14ac:dyDescent="0.2">
      <c r="B482" s="238"/>
      <c r="C482" s="242"/>
      <c r="D482" s="223"/>
      <c r="E482" s="242"/>
      <c r="P482" s="225"/>
      <c r="AH482" s="224"/>
      <c r="AI482" s="224"/>
    </row>
    <row r="483" spans="2:35" x14ac:dyDescent="0.2">
      <c r="B483" s="238"/>
      <c r="C483" s="242"/>
      <c r="D483" s="223"/>
      <c r="E483" s="242"/>
      <c r="P483" s="225"/>
      <c r="AH483" s="224"/>
      <c r="AI483" s="224"/>
    </row>
    <row r="484" spans="2:35" x14ac:dyDescent="0.2">
      <c r="B484" s="238"/>
      <c r="C484" s="242"/>
      <c r="D484" s="223"/>
      <c r="E484" s="242"/>
      <c r="P484" s="225"/>
      <c r="AH484" s="224"/>
      <c r="AI484" s="224"/>
    </row>
    <row r="485" spans="2:35" x14ac:dyDescent="0.2">
      <c r="B485" s="238"/>
      <c r="C485" s="242"/>
      <c r="D485" s="223"/>
      <c r="E485" s="242"/>
      <c r="P485" s="225"/>
      <c r="AH485" s="224"/>
      <c r="AI485" s="224"/>
    </row>
    <row r="486" spans="2:35" x14ac:dyDescent="0.2">
      <c r="B486" s="238"/>
      <c r="C486" s="242"/>
      <c r="D486" s="223"/>
      <c r="E486" s="242"/>
      <c r="P486" s="225"/>
      <c r="AH486" s="224"/>
      <c r="AI486" s="224"/>
    </row>
    <row r="487" spans="2:35" x14ac:dyDescent="0.2">
      <c r="B487" s="238"/>
      <c r="C487" s="242"/>
      <c r="D487" s="223"/>
      <c r="E487" s="242"/>
      <c r="P487" s="225"/>
      <c r="AH487" s="224"/>
      <c r="AI487" s="224"/>
    </row>
    <row r="488" spans="2:35" x14ac:dyDescent="0.2">
      <c r="B488" s="238"/>
      <c r="C488" s="242"/>
      <c r="D488" s="223"/>
      <c r="E488" s="242"/>
      <c r="P488" s="225"/>
      <c r="AH488" s="224"/>
      <c r="AI488" s="224"/>
    </row>
    <row r="489" spans="2:35" x14ac:dyDescent="0.2">
      <c r="B489" s="238"/>
      <c r="C489" s="242"/>
      <c r="D489" s="223"/>
      <c r="E489" s="242"/>
      <c r="P489" s="225"/>
      <c r="AH489" s="224"/>
      <c r="AI489" s="224"/>
    </row>
    <row r="490" spans="2:35" x14ac:dyDescent="0.2">
      <c r="B490" s="238"/>
      <c r="C490" s="242"/>
      <c r="D490" s="223"/>
      <c r="E490" s="242"/>
      <c r="P490" s="225"/>
      <c r="AH490" s="224"/>
      <c r="AI490" s="224"/>
    </row>
    <row r="491" spans="2:35" x14ac:dyDescent="0.2">
      <c r="B491" s="238"/>
      <c r="C491" s="242"/>
      <c r="D491" s="223"/>
      <c r="E491" s="242"/>
      <c r="P491" s="225"/>
      <c r="AH491" s="224"/>
      <c r="AI491" s="224"/>
    </row>
    <row r="492" spans="2:35" x14ac:dyDescent="0.2">
      <c r="B492" s="238"/>
      <c r="C492" s="242"/>
      <c r="D492" s="223"/>
      <c r="E492" s="242"/>
      <c r="P492" s="225"/>
      <c r="AH492" s="224"/>
      <c r="AI492" s="224"/>
    </row>
    <row r="493" spans="2:35" x14ac:dyDescent="0.2">
      <c r="B493" s="238"/>
      <c r="C493" s="242"/>
      <c r="D493" s="223"/>
      <c r="E493" s="242"/>
      <c r="P493" s="225"/>
      <c r="AH493" s="224"/>
      <c r="AI493" s="224"/>
    </row>
    <row r="494" spans="2:35" x14ac:dyDescent="0.2">
      <c r="B494" s="238"/>
      <c r="C494" s="242"/>
      <c r="D494" s="223"/>
      <c r="E494" s="242"/>
      <c r="P494" s="225"/>
      <c r="AH494" s="224"/>
      <c r="AI494" s="224"/>
    </row>
    <row r="495" spans="2:35" x14ac:dyDescent="0.2">
      <c r="B495" s="238"/>
      <c r="C495" s="242"/>
      <c r="D495" s="223"/>
      <c r="E495" s="242"/>
      <c r="P495" s="225"/>
      <c r="AH495" s="224"/>
      <c r="AI495" s="224"/>
    </row>
    <row r="496" spans="2:35" x14ac:dyDescent="0.2">
      <c r="B496" s="238"/>
      <c r="C496" s="242"/>
      <c r="D496" s="223"/>
      <c r="E496" s="242"/>
      <c r="P496" s="225"/>
      <c r="AH496" s="224"/>
      <c r="AI496" s="224"/>
    </row>
    <row r="497" spans="2:35" x14ac:dyDescent="0.2">
      <c r="B497" s="238"/>
      <c r="C497" s="242"/>
      <c r="D497" s="223"/>
      <c r="E497" s="242"/>
      <c r="P497" s="225"/>
      <c r="AH497" s="224"/>
      <c r="AI497" s="224"/>
    </row>
    <row r="498" spans="2:35" x14ac:dyDescent="0.2">
      <c r="B498" s="238"/>
      <c r="C498" s="242"/>
      <c r="D498" s="223"/>
      <c r="E498" s="242"/>
      <c r="P498" s="225"/>
      <c r="AH498" s="224"/>
      <c r="AI498" s="224"/>
    </row>
    <row r="499" spans="2:35" x14ac:dyDescent="0.2">
      <c r="B499" s="238"/>
      <c r="C499" s="242"/>
      <c r="D499" s="223"/>
      <c r="E499" s="242"/>
      <c r="P499" s="225"/>
      <c r="AH499" s="224"/>
      <c r="AI499" s="224"/>
    </row>
    <row r="500" spans="2:35" x14ac:dyDescent="0.2">
      <c r="B500" s="238"/>
      <c r="C500" s="242"/>
      <c r="D500" s="223"/>
      <c r="E500" s="242"/>
      <c r="P500" s="225"/>
      <c r="AH500" s="224"/>
      <c r="AI500" s="224"/>
    </row>
    <row r="501" spans="2:35" x14ac:dyDescent="0.2">
      <c r="B501" s="238"/>
      <c r="C501" s="242"/>
      <c r="D501" s="223"/>
      <c r="E501" s="242"/>
      <c r="P501" s="225"/>
      <c r="AH501" s="224"/>
      <c r="AI501" s="224"/>
    </row>
    <row r="502" spans="2:35" x14ac:dyDescent="0.2">
      <c r="B502" s="238"/>
      <c r="C502" s="242"/>
      <c r="D502" s="223"/>
      <c r="E502" s="242"/>
      <c r="P502" s="225"/>
      <c r="AH502" s="224"/>
      <c r="AI502" s="224"/>
    </row>
    <row r="503" spans="2:35" x14ac:dyDescent="0.2">
      <c r="B503" s="238"/>
      <c r="C503" s="242"/>
      <c r="D503" s="223"/>
      <c r="E503" s="242"/>
      <c r="P503" s="225"/>
      <c r="AH503" s="224"/>
      <c r="AI503" s="224"/>
    </row>
    <row r="504" spans="2:35" x14ac:dyDescent="0.2">
      <c r="B504" s="238"/>
      <c r="C504" s="242"/>
      <c r="D504" s="223"/>
      <c r="E504" s="242"/>
      <c r="P504" s="225"/>
      <c r="AH504" s="224"/>
      <c r="AI504" s="224"/>
    </row>
    <row r="505" spans="2:35" x14ac:dyDescent="0.2">
      <c r="B505" s="238"/>
      <c r="C505" s="242"/>
      <c r="D505" s="223"/>
      <c r="E505" s="242"/>
      <c r="P505" s="225"/>
      <c r="AH505" s="224"/>
      <c r="AI505" s="224"/>
    </row>
    <row r="506" spans="2:35" x14ac:dyDescent="0.2">
      <c r="B506" s="238"/>
      <c r="C506" s="242"/>
      <c r="D506" s="223"/>
      <c r="E506" s="242"/>
      <c r="P506" s="225"/>
      <c r="AH506" s="224"/>
      <c r="AI506" s="224"/>
    </row>
    <row r="507" spans="2:35" x14ac:dyDescent="0.2">
      <c r="B507" s="238"/>
      <c r="C507" s="242"/>
      <c r="D507" s="223"/>
      <c r="E507" s="242"/>
      <c r="P507" s="225"/>
      <c r="AH507" s="224"/>
      <c r="AI507" s="224"/>
    </row>
    <row r="508" spans="2:35" x14ac:dyDescent="0.2">
      <c r="B508" s="238"/>
      <c r="C508" s="242"/>
      <c r="D508" s="223"/>
      <c r="E508" s="242"/>
      <c r="P508" s="225"/>
      <c r="AH508" s="224"/>
      <c r="AI508" s="224"/>
    </row>
    <row r="509" spans="2:35" x14ac:dyDescent="0.2">
      <c r="B509" s="238"/>
      <c r="C509" s="242"/>
      <c r="D509" s="223"/>
      <c r="E509" s="242"/>
      <c r="P509" s="225"/>
      <c r="AH509" s="224"/>
      <c r="AI509" s="224"/>
    </row>
    <row r="510" spans="2:35" x14ac:dyDescent="0.2">
      <c r="B510" s="238"/>
      <c r="C510" s="242"/>
      <c r="D510" s="223"/>
      <c r="E510" s="242"/>
      <c r="P510" s="225"/>
      <c r="AH510" s="224"/>
      <c r="AI510" s="224"/>
    </row>
    <row r="511" spans="2:35" x14ac:dyDescent="0.2">
      <c r="B511" s="238"/>
      <c r="C511" s="242"/>
      <c r="D511" s="223"/>
      <c r="E511" s="242"/>
      <c r="P511" s="225"/>
      <c r="AH511" s="224"/>
      <c r="AI511" s="224"/>
    </row>
    <row r="512" spans="2:35" x14ac:dyDescent="0.2">
      <c r="B512" s="238"/>
      <c r="C512" s="242"/>
      <c r="D512" s="223"/>
      <c r="E512" s="242"/>
      <c r="P512" s="225"/>
      <c r="AH512" s="224"/>
      <c r="AI512" s="224"/>
    </row>
    <row r="513" spans="2:35" x14ac:dyDescent="0.2">
      <c r="B513" s="238"/>
      <c r="C513" s="242"/>
      <c r="D513" s="223"/>
      <c r="E513" s="242"/>
      <c r="P513" s="225"/>
      <c r="AH513" s="224"/>
      <c r="AI513" s="224"/>
    </row>
    <row r="514" spans="2:35" x14ac:dyDescent="0.2">
      <c r="B514" s="238"/>
      <c r="C514" s="242"/>
      <c r="D514" s="223"/>
      <c r="E514" s="242"/>
      <c r="P514" s="225"/>
      <c r="AH514" s="224"/>
      <c r="AI514" s="224"/>
    </row>
    <row r="515" spans="2:35" x14ac:dyDescent="0.2">
      <c r="B515" s="238"/>
      <c r="C515" s="242"/>
      <c r="D515" s="223"/>
      <c r="E515" s="242"/>
      <c r="P515" s="225"/>
      <c r="AH515" s="224"/>
      <c r="AI515" s="224"/>
    </row>
    <row r="516" spans="2:35" x14ac:dyDescent="0.2">
      <c r="B516" s="238"/>
      <c r="C516" s="242"/>
      <c r="D516" s="223"/>
      <c r="E516" s="242"/>
      <c r="P516" s="225"/>
      <c r="AH516" s="224"/>
      <c r="AI516" s="224"/>
    </row>
    <row r="517" spans="2:35" x14ac:dyDescent="0.2">
      <c r="B517" s="238"/>
      <c r="C517" s="242"/>
      <c r="D517" s="223"/>
      <c r="E517" s="242"/>
      <c r="P517" s="225"/>
      <c r="AH517" s="224"/>
      <c r="AI517" s="224"/>
    </row>
    <row r="518" spans="2:35" x14ac:dyDescent="0.2">
      <c r="B518" s="238"/>
      <c r="C518" s="242"/>
      <c r="D518" s="223"/>
      <c r="E518" s="242"/>
      <c r="P518" s="225"/>
      <c r="AH518" s="224"/>
      <c r="AI518" s="224"/>
    </row>
    <row r="519" spans="2:35" x14ac:dyDescent="0.2">
      <c r="B519" s="238"/>
      <c r="C519" s="242"/>
      <c r="D519" s="223"/>
      <c r="E519" s="242"/>
      <c r="P519" s="225"/>
      <c r="AH519" s="224"/>
      <c r="AI519" s="224"/>
    </row>
    <row r="520" spans="2:35" x14ac:dyDescent="0.2">
      <c r="B520" s="238"/>
      <c r="C520" s="242"/>
      <c r="D520" s="223"/>
      <c r="E520" s="242"/>
      <c r="P520" s="225"/>
      <c r="AH520" s="224"/>
      <c r="AI520" s="224"/>
    </row>
    <row r="521" spans="2:35" x14ac:dyDescent="0.2">
      <c r="B521" s="238"/>
      <c r="C521" s="242"/>
      <c r="D521" s="223"/>
      <c r="E521" s="242"/>
      <c r="P521" s="225"/>
      <c r="AH521" s="224"/>
      <c r="AI521" s="224"/>
    </row>
    <row r="522" spans="2:35" x14ac:dyDescent="0.2">
      <c r="B522" s="238"/>
      <c r="C522" s="242"/>
      <c r="D522" s="223"/>
      <c r="E522" s="242"/>
      <c r="P522" s="225"/>
      <c r="AH522" s="224"/>
      <c r="AI522" s="224"/>
    </row>
    <row r="523" spans="2:35" x14ac:dyDescent="0.2">
      <c r="B523" s="238"/>
      <c r="C523" s="242"/>
      <c r="D523" s="223"/>
      <c r="E523" s="242"/>
      <c r="P523" s="225"/>
      <c r="AH523" s="224"/>
      <c r="AI523" s="224"/>
    </row>
    <row r="524" spans="2:35" x14ac:dyDescent="0.2">
      <c r="B524" s="238"/>
      <c r="C524" s="242"/>
      <c r="D524" s="223"/>
      <c r="E524" s="242"/>
      <c r="P524" s="225"/>
      <c r="AH524" s="224"/>
      <c r="AI524" s="224"/>
    </row>
    <row r="525" spans="2:35" x14ac:dyDescent="0.2">
      <c r="B525" s="238"/>
      <c r="C525" s="242"/>
      <c r="D525" s="223"/>
      <c r="E525" s="242"/>
      <c r="P525" s="225"/>
      <c r="AH525" s="224"/>
      <c r="AI525" s="224"/>
    </row>
    <row r="526" spans="2:35" x14ac:dyDescent="0.2">
      <c r="B526" s="238"/>
      <c r="C526" s="242"/>
      <c r="D526" s="223"/>
      <c r="E526" s="242"/>
      <c r="P526" s="225"/>
      <c r="AH526" s="224"/>
      <c r="AI526" s="224"/>
    </row>
    <row r="527" spans="2:35" x14ac:dyDescent="0.2">
      <c r="B527" s="238"/>
      <c r="C527" s="242"/>
      <c r="D527" s="223"/>
      <c r="E527" s="242"/>
      <c r="P527" s="225"/>
      <c r="AH527" s="224"/>
      <c r="AI527" s="224"/>
    </row>
    <row r="528" spans="2:35" x14ac:dyDescent="0.2">
      <c r="B528" s="238"/>
      <c r="C528" s="242"/>
      <c r="D528" s="223"/>
      <c r="E528" s="242"/>
      <c r="P528" s="225"/>
      <c r="AH528" s="224"/>
      <c r="AI528" s="224"/>
    </row>
    <row r="529" spans="2:35" x14ac:dyDescent="0.2">
      <c r="B529" s="238"/>
      <c r="C529" s="242"/>
      <c r="D529" s="223"/>
      <c r="E529" s="242"/>
      <c r="P529" s="225"/>
      <c r="AH529" s="224"/>
      <c r="AI529" s="224"/>
    </row>
    <row r="530" spans="2:35" x14ac:dyDescent="0.2">
      <c r="B530" s="238"/>
      <c r="C530" s="242"/>
      <c r="D530" s="223"/>
      <c r="E530" s="242"/>
      <c r="P530" s="225"/>
      <c r="AH530" s="224"/>
      <c r="AI530" s="224"/>
    </row>
    <row r="531" spans="2:35" x14ac:dyDescent="0.2">
      <c r="B531" s="238"/>
      <c r="C531" s="242"/>
      <c r="D531" s="223"/>
      <c r="E531" s="242"/>
      <c r="P531" s="225"/>
      <c r="AH531" s="224"/>
      <c r="AI531" s="224"/>
    </row>
    <row r="532" spans="2:35" x14ac:dyDescent="0.2">
      <c r="B532" s="238"/>
      <c r="C532" s="242"/>
      <c r="D532" s="223"/>
      <c r="E532" s="242"/>
      <c r="P532" s="225"/>
      <c r="AH532" s="224"/>
      <c r="AI532" s="224"/>
    </row>
    <row r="533" spans="2:35" x14ac:dyDescent="0.2">
      <c r="B533" s="238"/>
      <c r="C533" s="242"/>
      <c r="D533" s="223"/>
      <c r="E533" s="242"/>
      <c r="P533" s="225"/>
      <c r="AH533" s="224"/>
      <c r="AI533" s="224"/>
    </row>
    <row r="534" spans="2:35" x14ac:dyDescent="0.2">
      <c r="B534" s="238"/>
      <c r="C534" s="242"/>
      <c r="D534" s="223"/>
      <c r="E534" s="242"/>
      <c r="P534" s="225"/>
      <c r="AH534" s="224"/>
      <c r="AI534" s="224"/>
    </row>
    <row r="535" spans="2:35" x14ac:dyDescent="0.2">
      <c r="B535" s="238"/>
      <c r="C535" s="242"/>
      <c r="D535" s="223"/>
      <c r="E535" s="242"/>
      <c r="P535" s="225"/>
      <c r="AH535" s="224"/>
      <c r="AI535" s="224"/>
    </row>
    <row r="536" spans="2:35" x14ac:dyDescent="0.2">
      <c r="B536" s="238"/>
      <c r="C536" s="242"/>
      <c r="D536" s="223"/>
      <c r="E536" s="242"/>
      <c r="P536" s="225"/>
      <c r="AH536" s="224"/>
      <c r="AI536" s="224"/>
    </row>
    <row r="537" spans="2:35" x14ac:dyDescent="0.2">
      <c r="B537" s="238"/>
      <c r="C537" s="242"/>
      <c r="D537" s="223"/>
      <c r="E537" s="242"/>
      <c r="P537" s="225"/>
      <c r="AH537" s="224"/>
      <c r="AI537" s="224"/>
    </row>
    <row r="538" spans="2:35" x14ac:dyDescent="0.2">
      <c r="B538" s="238"/>
      <c r="C538" s="242"/>
      <c r="D538" s="223"/>
      <c r="E538" s="242"/>
      <c r="P538" s="225"/>
      <c r="AH538" s="224"/>
      <c r="AI538" s="224"/>
    </row>
    <row r="539" spans="2:35" x14ac:dyDescent="0.2">
      <c r="B539" s="238"/>
      <c r="C539" s="242"/>
      <c r="D539" s="223"/>
      <c r="E539" s="242"/>
      <c r="P539" s="225"/>
      <c r="AH539" s="224"/>
      <c r="AI539" s="224"/>
    </row>
    <row r="540" spans="2:35" x14ac:dyDescent="0.2">
      <c r="B540" s="238"/>
      <c r="C540" s="242"/>
      <c r="D540" s="223"/>
      <c r="E540" s="242"/>
      <c r="P540" s="225"/>
      <c r="AH540" s="224"/>
      <c r="AI540" s="224"/>
    </row>
    <row r="541" spans="2:35" x14ac:dyDescent="0.2">
      <c r="B541" s="238"/>
      <c r="C541" s="242"/>
      <c r="D541" s="223"/>
      <c r="E541" s="242"/>
      <c r="P541" s="225"/>
      <c r="AH541" s="224"/>
      <c r="AI541" s="224"/>
    </row>
    <row r="542" spans="2:35" x14ac:dyDescent="0.2">
      <c r="B542" s="238"/>
      <c r="C542" s="242"/>
      <c r="D542" s="223"/>
      <c r="E542" s="242"/>
      <c r="P542" s="225"/>
      <c r="AH542" s="224"/>
      <c r="AI542" s="224"/>
    </row>
    <row r="543" spans="2:35" x14ac:dyDescent="0.2">
      <c r="B543" s="238"/>
      <c r="C543" s="242"/>
      <c r="D543" s="223"/>
      <c r="E543" s="242"/>
      <c r="P543" s="225"/>
      <c r="AH543" s="224"/>
      <c r="AI543" s="224"/>
    </row>
    <row r="544" spans="2:35" x14ac:dyDescent="0.2">
      <c r="B544" s="238"/>
      <c r="C544" s="242"/>
      <c r="D544" s="223"/>
      <c r="E544" s="242"/>
      <c r="P544" s="225"/>
      <c r="AH544" s="224"/>
      <c r="AI544" s="224"/>
    </row>
    <row r="545" spans="2:35" x14ac:dyDescent="0.2">
      <c r="B545" s="238"/>
      <c r="C545" s="242"/>
      <c r="D545" s="223"/>
      <c r="E545" s="242"/>
      <c r="P545" s="225"/>
      <c r="AH545" s="224"/>
      <c r="AI545" s="224"/>
    </row>
    <row r="546" spans="2:35" x14ac:dyDescent="0.2">
      <c r="B546" s="238"/>
      <c r="C546" s="242"/>
      <c r="D546" s="223"/>
      <c r="E546" s="242"/>
      <c r="P546" s="225"/>
      <c r="AH546" s="224"/>
      <c r="AI546" s="224"/>
    </row>
    <row r="547" spans="2:35" x14ac:dyDescent="0.2">
      <c r="B547" s="238"/>
      <c r="C547" s="242"/>
      <c r="D547" s="223"/>
      <c r="E547" s="242"/>
      <c r="P547" s="225"/>
      <c r="AH547" s="224"/>
      <c r="AI547" s="224"/>
    </row>
    <row r="548" spans="2:35" x14ac:dyDescent="0.2">
      <c r="B548" s="238"/>
      <c r="C548" s="242"/>
      <c r="D548" s="223"/>
      <c r="E548" s="242"/>
      <c r="P548" s="225"/>
      <c r="AH548" s="224"/>
      <c r="AI548" s="224"/>
    </row>
    <row r="549" spans="2:35" x14ac:dyDescent="0.2">
      <c r="B549" s="238"/>
      <c r="C549" s="242"/>
      <c r="D549" s="223"/>
      <c r="E549" s="242"/>
      <c r="P549" s="225"/>
      <c r="AH549" s="224"/>
      <c r="AI549" s="224"/>
    </row>
    <row r="550" spans="2:35" x14ac:dyDescent="0.2">
      <c r="B550" s="238"/>
      <c r="C550" s="242"/>
      <c r="D550" s="223"/>
      <c r="E550" s="242"/>
      <c r="P550" s="225"/>
      <c r="AH550" s="224"/>
      <c r="AI550" s="224"/>
    </row>
    <row r="551" spans="2:35" x14ac:dyDescent="0.2">
      <c r="B551" s="238"/>
      <c r="C551" s="242"/>
      <c r="D551" s="223"/>
      <c r="E551" s="242"/>
      <c r="P551" s="225"/>
      <c r="AH551" s="224"/>
      <c r="AI551" s="224"/>
    </row>
    <row r="552" spans="2:35" x14ac:dyDescent="0.2">
      <c r="B552" s="238"/>
      <c r="C552" s="242"/>
      <c r="D552" s="223"/>
      <c r="E552" s="242"/>
      <c r="P552" s="225"/>
      <c r="AH552" s="224"/>
      <c r="AI552" s="224"/>
    </row>
    <row r="553" spans="2:35" x14ac:dyDescent="0.2">
      <c r="B553" s="238"/>
      <c r="C553" s="242"/>
      <c r="D553" s="223"/>
      <c r="E553" s="242"/>
      <c r="P553" s="225"/>
      <c r="AH553" s="224"/>
      <c r="AI553" s="224"/>
    </row>
    <row r="554" spans="2:35" x14ac:dyDescent="0.2">
      <c r="B554" s="238"/>
      <c r="C554" s="242"/>
      <c r="D554" s="223"/>
      <c r="E554" s="242"/>
      <c r="P554" s="225"/>
      <c r="AH554" s="224"/>
      <c r="AI554" s="224"/>
    </row>
    <row r="555" spans="2:35" x14ac:dyDescent="0.2">
      <c r="B555" s="238"/>
      <c r="C555" s="242"/>
      <c r="D555" s="223"/>
      <c r="E555" s="242"/>
      <c r="P555" s="225"/>
      <c r="AH555" s="224"/>
      <c r="AI555" s="224"/>
    </row>
    <row r="556" spans="2:35" x14ac:dyDescent="0.2">
      <c r="B556" s="238"/>
      <c r="C556" s="242"/>
      <c r="D556" s="223"/>
      <c r="E556" s="242"/>
      <c r="P556" s="225"/>
      <c r="AH556" s="224"/>
      <c r="AI556" s="224"/>
    </row>
    <row r="557" spans="2:35" x14ac:dyDescent="0.2">
      <c r="B557" s="238"/>
      <c r="C557" s="242"/>
      <c r="D557" s="223"/>
      <c r="E557" s="242"/>
      <c r="P557" s="225"/>
      <c r="AH557" s="224"/>
      <c r="AI557" s="224"/>
    </row>
    <row r="558" spans="2:35" x14ac:dyDescent="0.2">
      <c r="B558" s="238"/>
      <c r="C558" s="242"/>
      <c r="D558" s="223"/>
      <c r="E558" s="242"/>
      <c r="P558" s="225"/>
      <c r="AH558" s="224"/>
      <c r="AI558" s="224"/>
    </row>
    <row r="559" spans="2:35" x14ac:dyDescent="0.2">
      <c r="B559" s="238"/>
      <c r="C559" s="242"/>
      <c r="D559" s="223"/>
      <c r="E559" s="242"/>
      <c r="P559" s="225"/>
      <c r="AH559" s="224"/>
      <c r="AI559" s="224"/>
    </row>
    <row r="560" spans="2:35" x14ac:dyDescent="0.2">
      <c r="B560" s="238"/>
      <c r="C560" s="242"/>
      <c r="D560" s="223"/>
      <c r="E560" s="242"/>
      <c r="P560" s="225"/>
      <c r="AH560" s="224"/>
      <c r="AI560" s="224"/>
    </row>
    <row r="561" spans="2:35" x14ac:dyDescent="0.2">
      <c r="B561" s="238"/>
      <c r="C561" s="242"/>
      <c r="D561" s="223"/>
      <c r="E561" s="242"/>
      <c r="P561" s="225"/>
      <c r="AH561" s="224"/>
      <c r="AI561" s="224"/>
    </row>
    <row r="562" spans="2:35" x14ac:dyDescent="0.2">
      <c r="B562" s="238"/>
      <c r="C562" s="242"/>
      <c r="D562" s="223"/>
      <c r="E562" s="242"/>
      <c r="P562" s="225"/>
      <c r="AH562" s="224"/>
      <c r="AI562" s="224"/>
    </row>
    <row r="563" spans="2:35" x14ac:dyDescent="0.2">
      <c r="B563" s="238"/>
      <c r="C563" s="242"/>
      <c r="D563" s="223"/>
      <c r="E563" s="242"/>
      <c r="P563" s="225"/>
      <c r="AH563" s="224"/>
      <c r="AI563" s="224"/>
    </row>
    <row r="564" spans="2:35" x14ac:dyDescent="0.2">
      <c r="B564" s="238"/>
      <c r="C564" s="242"/>
      <c r="D564" s="223"/>
      <c r="E564" s="242"/>
      <c r="P564" s="225"/>
      <c r="AH564" s="224"/>
      <c r="AI564" s="224"/>
    </row>
    <row r="565" spans="2:35" x14ac:dyDescent="0.2">
      <c r="B565" s="238"/>
      <c r="C565" s="242"/>
      <c r="D565" s="223"/>
      <c r="E565" s="242"/>
      <c r="P565" s="225"/>
      <c r="AH565" s="224"/>
      <c r="AI565" s="224"/>
    </row>
    <row r="566" spans="2:35" x14ac:dyDescent="0.2">
      <c r="B566" s="238"/>
      <c r="C566" s="242"/>
      <c r="D566" s="223"/>
      <c r="E566" s="242"/>
      <c r="P566" s="225"/>
      <c r="AH566" s="224"/>
      <c r="AI566" s="224"/>
    </row>
    <row r="567" spans="2:35" x14ac:dyDescent="0.2">
      <c r="B567" s="238"/>
      <c r="C567" s="242"/>
      <c r="D567" s="223"/>
      <c r="E567" s="242"/>
      <c r="P567" s="225"/>
      <c r="AH567" s="224"/>
      <c r="AI567" s="224"/>
    </row>
    <row r="568" spans="2:35" x14ac:dyDescent="0.2">
      <c r="B568" s="238"/>
      <c r="C568" s="242"/>
      <c r="D568" s="223"/>
      <c r="E568" s="242"/>
      <c r="P568" s="225"/>
      <c r="AH568" s="224"/>
      <c r="AI568" s="224"/>
    </row>
    <row r="569" spans="2:35" x14ac:dyDescent="0.2">
      <c r="B569" s="238"/>
      <c r="C569" s="242"/>
      <c r="D569" s="223"/>
      <c r="E569" s="242"/>
      <c r="P569" s="225"/>
      <c r="AH569" s="224"/>
      <c r="AI569" s="224"/>
    </row>
    <row r="570" spans="2:35" x14ac:dyDescent="0.2">
      <c r="B570" s="238"/>
      <c r="C570" s="242"/>
      <c r="D570" s="223"/>
      <c r="E570" s="242"/>
      <c r="P570" s="225"/>
      <c r="AH570" s="224"/>
      <c r="AI570" s="224"/>
    </row>
    <row r="571" spans="2:35" x14ac:dyDescent="0.2">
      <c r="B571" s="238"/>
      <c r="C571" s="242"/>
      <c r="D571" s="223"/>
      <c r="E571" s="242"/>
      <c r="P571" s="225"/>
      <c r="AH571" s="224"/>
      <c r="AI571" s="224"/>
    </row>
    <row r="572" spans="2:35" x14ac:dyDescent="0.2">
      <c r="B572" s="238"/>
      <c r="C572" s="242"/>
      <c r="D572" s="223"/>
      <c r="E572" s="242"/>
      <c r="P572" s="225"/>
      <c r="AH572" s="224"/>
      <c r="AI572" s="224"/>
    </row>
    <row r="573" spans="2:35" x14ac:dyDescent="0.2">
      <c r="B573" s="238"/>
      <c r="C573" s="242"/>
      <c r="D573" s="223"/>
      <c r="E573" s="242"/>
      <c r="P573" s="225"/>
      <c r="AH573" s="224"/>
      <c r="AI573" s="224"/>
    </row>
    <row r="574" spans="2:35" x14ac:dyDescent="0.2">
      <c r="B574" s="238"/>
      <c r="C574" s="242"/>
      <c r="D574" s="223"/>
      <c r="E574" s="242"/>
      <c r="P574" s="225"/>
      <c r="AH574" s="224"/>
      <c r="AI574" s="224"/>
    </row>
    <row r="575" spans="2:35" x14ac:dyDescent="0.2">
      <c r="B575" s="238"/>
      <c r="C575" s="242"/>
      <c r="D575" s="223"/>
      <c r="E575" s="242"/>
      <c r="P575" s="225"/>
      <c r="AH575" s="224"/>
      <c r="AI575" s="224"/>
    </row>
    <row r="576" spans="2:35" x14ac:dyDescent="0.2">
      <c r="B576" s="238"/>
      <c r="C576" s="242"/>
      <c r="D576" s="223"/>
      <c r="E576" s="242"/>
      <c r="P576" s="225"/>
      <c r="AH576" s="224"/>
      <c r="AI576" s="224"/>
    </row>
    <row r="577" spans="2:35" x14ac:dyDescent="0.2">
      <c r="B577" s="238"/>
      <c r="C577" s="242"/>
      <c r="D577" s="223"/>
      <c r="E577" s="242"/>
      <c r="P577" s="225"/>
      <c r="AH577" s="224"/>
      <c r="AI577" s="224"/>
    </row>
    <row r="578" spans="2:35" x14ac:dyDescent="0.2">
      <c r="B578" s="238"/>
      <c r="C578" s="242"/>
      <c r="D578" s="223"/>
      <c r="E578" s="242"/>
      <c r="P578" s="225"/>
      <c r="AH578" s="224"/>
      <c r="AI578" s="224"/>
    </row>
    <row r="579" spans="2:35" x14ac:dyDescent="0.2">
      <c r="B579" s="238"/>
      <c r="C579" s="242"/>
      <c r="D579" s="223"/>
      <c r="E579" s="242"/>
      <c r="P579" s="225"/>
      <c r="AH579" s="224"/>
      <c r="AI579" s="224"/>
    </row>
    <row r="580" spans="2:35" x14ac:dyDescent="0.2">
      <c r="B580" s="238"/>
      <c r="C580" s="242"/>
      <c r="D580" s="223"/>
      <c r="E580" s="242"/>
      <c r="P580" s="225"/>
      <c r="AH580" s="224"/>
      <c r="AI580" s="224"/>
    </row>
    <row r="581" spans="2:35" x14ac:dyDescent="0.2">
      <c r="B581" s="238"/>
      <c r="C581" s="242"/>
      <c r="D581" s="223"/>
      <c r="E581" s="242"/>
      <c r="P581" s="225"/>
      <c r="AH581" s="224"/>
      <c r="AI581" s="224"/>
    </row>
    <row r="582" spans="2:35" x14ac:dyDescent="0.2">
      <c r="B582" s="238"/>
      <c r="C582" s="242"/>
      <c r="D582" s="223"/>
      <c r="E582" s="242"/>
      <c r="P582" s="225"/>
      <c r="AH582" s="224"/>
      <c r="AI582" s="224"/>
    </row>
    <row r="583" spans="2:35" x14ac:dyDescent="0.2">
      <c r="B583" s="238"/>
      <c r="C583" s="242"/>
      <c r="D583" s="223"/>
      <c r="E583" s="242"/>
      <c r="P583" s="225"/>
      <c r="AH583" s="224"/>
      <c r="AI583" s="224"/>
    </row>
    <row r="584" spans="2:35" x14ac:dyDescent="0.2">
      <c r="B584" s="238"/>
      <c r="C584" s="242"/>
      <c r="D584" s="223"/>
      <c r="E584" s="242"/>
      <c r="P584" s="225"/>
      <c r="AH584" s="224"/>
      <c r="AI584" s="224"/>
    </row>
    <row r="585" spans="2:35" x14ac:dyDescent="0.2">
      <c r="B585" s="238"/>
      <c r="C585" s="242"/>
      <c r="D585" s="223"/>
      <c r="E585" s="242"/>
      <c r="P585" s="225"/>
      <c r="AH585" s="224"/>
      <c r="AI585" s="224"/>
    </row>
    <row r="586" spans="2:35" x14ac:dyDescent="0.2">
      <c r="B586" s="238"/>
      <c r="C586" s="242"/>
      <c r="D586" s="223"/>
      <c r="E586" s="242"/>
      <c r="P586" s="225"/>
      <c r="AH586" s="224"/>
      <c r="AI586" s="224"/>
    </row>
    <row r="587" spans="2:35" x14ac:dyDescent="0.2">
      <c r="B587" s="238"/>
      <c r="C587" s="242"/>
      <c r="D587" s="223"/>
      <c r="E587" s="242"/>
      <c r="P587" s="225"/>
      <c r="AH587" s="224"/>
      <c r="AI587" s="224"/>
    </row>
    <row r="588" spans="2:35" x14ac:dyDescent="0.2">
      <c r="B588" s="238"/>
      <c r="C588" s="242"/>
      <c r="D588" s="223"/>
      <c r="E588" s="242"/>
      <c r="P588" s="225"/>
      <c r="AH588" s="224"/>
      <c r="AI588" s="224"/>
    </row>
    <row r="589" spans="2:35" x14ac:dyDescent="0.2">
      <c r="B589" s="238"/>
      <c r="C589" s="242"/>
      <c r="D589" s="223"/>
      <c r="E589" s="242"/>
      <c r="P589" s="225"/>
      <c r="AH589" s="224"/>
      <c r="AI589" s="224"/>
    </row>
    <row r="590" spans="2:35" x14ac:dyDescent="0.2">
      <c r="B590" s="238"/>
      <c r="C590" s="242"/>
      <c r="D590" s="223"/>
      <c r="E590" s="242"/>
      <c r="P590" s="225"/>
      <c r="AH590" s="224"/>
      <c r="AI590" s="224"/>
    </row>
    <row r="591" spans="2:35" x14ac:dyDescent="0.2">
      <c r="B591" s="238"/>
      <c r="C591" s="242"/>
      <c r="D591" s="223"/>
      <c r="E591" s="242"/>
      <c r="P591" s="225"/>
      <c r="AH591" s="224"/>
      <c r="AI591" s="224"/>
    </row>
    <row r="592" spans="2:35" x14ac:dyDescent="0.2">
      <c r="B592" s="238"/>
      <c r="C592" s="242"/>
      <c r="D592" s="223"/>
      <c r="E592" s="242"/>
      <c r="P592" s="225"/>
      <c r="AH592" s="224"/>
      <c r="AI592" s="224"/>
    </row>
    <row r="593" spans="2:35" x14ac:dyDescent="0.2">
      <c r="B593" s="238"/>
      <c r="C593" s="242"/>
      <c r="D593" s="223"/>
      <c r="E593" s="242"/>
      <c r="P593" s="225"/>
      <c r="AH593" s="224"/>
      <c r="AI593" s="224"/>
    </row>
    <row r="594" spans="2:35" x14ac:dyDescent="0.2">
      <c r="B594" s="238"/>
      <c r="C594" s="242"/>
      <c r="D594" s="223"/>
      <c r="E594" s="242"/>
      <c r="P594" s="225"/>
      <c r="AH594" s="224"/>
      <c r="AI594" s="224"/>
    </row>
    <row r="595" spans="2:35" x14ac:dyDescent="0.2">
      <c r="B595" s="238"/>
      <c r="C595" s="242"/>
      <c r="D595" s="223"/>
      <c r="E595" s="242"/>
      <c r="P595" s="225"/>
      <c r="AH595" s="224"/>
      <c r="AI595" s="224"/>
    </row>
    <row r="596" spans="2:35" x14ac:dyDescent="0.2">
      <c r="B596" s="238"/>
      <c r="C596" s="242"/>
      <c r="D596" s="223"/>
      <c r="E596" s="242"/>
      <c r="P596" s="225"/>
      <c r="AH596" s="224"/>
      <c r="AI596" s="224"/>
    </row>
    <row r="597" spans="2:35" x14ac:dyDescent="0.2">
      <c r="B597" s="238"/>
      <c r="C597" s="242"/>
      <c r="D597" s="223"/>
      <c r="E597" s="242"/>
      <c r="P597" s="225"/>
      <c r="AH597" s="224"/>
      <c r="AI597" s="224"/>
    </row>
    <row r="598" spans="2:35" x14ac:dyDescent="0.2">
      <c r="B598" s="238"/>
      <c r="C598" s="242"/>
      <c r="D598" s="223"/>
      <c r="E598" s="242"/>
      <c r="P598" s="225"/>
      <c r="AH598" s="224"/>
      <c r="AI598" s="224"/>
    </row>
    <row r="599" spans="2:35" x14ac:dyDescent="0.2">
      <c r="B599" s="238"/>
      <c r="C599" s="242"/>
      <c r="D599" s="223"/>
      <c r="E599" s="242"/>
      <c r="P599" s="225"/>
      <c r="AH599" s="224"/>
      <c r="AI599" s="224"/>
    </row>
    <row r="600" spans="2:35" x14ac:dyDescent="0.2">
      <c r="B600" s="238"/>
      <c r="C600" s="242"/>
      <c r="D600" s="223"/>
      <c r="E600" s="242"/>
      <c r="P600" s="225"/>
      <c r="AH600" s="224"/>
      <c r="AI600" s="224"/>
    </row>
  </sheetData>
  <sortState xmlns:xlrd2="http://schemas.microsoft.com/office/spreadsheetml/2017/richdata2" ref="B3:AI77">
    <sortCondition ref="B3:B77"/>
  </sortState>
  <phoneticPr fontId="0" type="noConversion"/>
  <conditionalFormatting sqref="A601:AI65384 A2:AI2 A3:A600 B4:B7">
    <cfRule type="expression" dxfId="147" priority="1194" stopIfTrue="1">
      <formula>AND(ROW(A2)=$CC$1,COLUMN(A2)=$CC$2)</formula>
    </cfRule>
    <cfRule type="expression" dxfId="146" priority="1195" stopIfTrue="1">
      <formula>OR(AND(ROW(A2)=$CC$1,COLUMN(A2)&lt;$CC$2),AND(ROW(A2)&lt;$CC$1,COLUMN(A2)=$CC$2))</formula>
    </cfRule>
  </conditionalFormatting>
  <conditionalFormatting sqref="B8:D8 X8:AH600 B10:D12 B9 B16:D600 B13:B15">
    <cfRule type="expression" dxfId="145" priority="79" stopIfTrue="1">
      <formula>AND(ROW(B8)=$CC$1,COLUMN(B8)=$CC$2)</formula>
    </cfRule>
    <cfRule type="expression" dxfId="144" priority="80" stopIfTrue="1">
      <formula>OR(AND(ROW(B8)=$CC$1,COLUMN(B8)&lt;$CC$2),AND(ROW(B8)&lt;$CC$1,COLUMN(B8)=$CC$2))</formula>
    </cfRule>
  </conditionalFormatting>
  <conditionalFormatting sqref="E8 E10:E12 E16:E600">
    <cfRule type="expression" dxfId="143" priority="63" stopIfTrue="1">
      <formula>AND(ROW(E8)=$CC$1,COLUMN(E8)=$CC$2)</formula>
    </cfRule>
    <cfRule type="expression" dxfId="142" priority="64" stopIfTrue="1">
      <formula>OR(AND(ROW(E8)=$CC$1,COLUMN(E8)&lt;$CC$2),AND(ROW(E8)&lt;$CC$1,COLUMN(E8)=$CC$2))</formula>
    </cfRule>
  </conditionalFormatting>
  <conditionalFormatting sqref="F8:W8 F10:W12 F16:W600">
    <cfRule type="expression" dxfId="141" priority="61" stopIfTrue="1">
      <formula>AND(ROW(F8)=$CC$1,COLUMN(F8)=$CC$2)</formula>
    </cfRule>
    <cfRule type="expression" dxfId="140" priority="62" stopIfTrue="1">
      <formula>OR(AND(ROW(F8)=$CC$1,COLUMN(F8)&lt;$CC$2),AND(ROW(F8)&lt;$CC$1,COLUMN(F8)=$CC$2))</formula>
    </cfRule>
  </conditionalFormatting>
  <conditionalFormatting sqref="AI8:AI600">
    <cfRule type="expression" dxfId="139" priority="59" stopIfTrue="1">
      <formula>AND(ROW(AI8)=$CC$1,COLUMN(AI8)=$CC$2)</formula>
    </cfRule>
    <cfRule type="expression" dxfId="138" priority="60" stopIfTrue="1">
      <formula>OR(AND(ROW(AI8)=$CC$1,COLUMN(AI8)&lt;$CC$2),AND(ROW(AI8)&lt;$CC$1,COLUMN(AI8)=$CC$2))</formula>
    </cfRule>
  </conditionalFormatting>
  <conditionalFormatting sqref="B3 AI3">
    <cfRule type="expression" dxfId="137" priority="43" stopIfTrue="1">
      <formula>AND(ROW(B3)=$CC$1,COLUMN(B3)=$CC$2)</formula>
    </cfRule>
    <cfRule type="expression" dxfId="136" priority="44" stopIfTrue="1">
      <formula>OR(AND(ROW(B3)=$CC$1,COLUMN(B3)&lt;$CC$2),AND(ROW(B3)&lt;$CC$1,COLUMN(B3)=$CC$2))</formula>
    </cfRule>
  </conditionalFormatting>
  <conditionalFormatting sqref="C5:AI7 AI4">
    <cfRule type="expression" dxfId="135" priority="41" stopIfTrue="1">
      <formula>AND(ROW(C4)=$CC$1,COLUMN(C4)=$CC$2)</formula>
    </cfRule>
    <cfRule type="expression" dxfId="134" priority="42" stopIfTrue="1">
      <formula>OR(AND(ROW(C4)=$CC$1,COLUMN(C4)&lt;$CC$2),AND(ROW(C4)&lt;$CC$1,COLUMN(C4)=$CC$2))</formula>
    </cfRule>
  </conditionalFormatting>
  <conditionalFormatting sqref="F4:W4">
    <cfRule type="expression" dxfId="133" priority="17" stopIfTrue="1">
      <formula>AND(ROW(F4)=$CC$1,COLUMN(F4)=$CC$2)</formula>
    </cfRule>
    <cfRule type="expression" dxfId="132" priority="18" stopIfTrue="1">
      <formula>OR(AND(ROW(F4)=$CC$1,COLUMN(F4)&lt;$CC$2),AND(ROW(F4)&lt;$CC$1,COLUMN(F4)=$CC$2))</formula>
    </cfRule>
  </conditionalFormatting>
  <conditionalFormatting sqref="C3:AH3">
    <cfRule type="expression" dxfId="131" priority="21" stopIfTrue="1">
      <formula>AND(ROW(C3)=$CC$1,COLUMN(C3)=$CC$2)</formula>
    </cfRule>
    <cfRule type="expression" dxfId="130" priority="22" stopIfTrue="1">
      <formula>OR(AND(ROW(C3)=$CC$1,COLUMN(C3)&lt;$CC$2),AND(ROW(C3)&lt;$CC$1,COLUMN(C3)=$CC$2))</formula>
    </cfRule>
  </conditionalFormatting>
  <conditionalFormatting sqref="C4:E4 X4:AH4">
    <cfRule type="expression" dxfId="129" priority="19" stopIfTrue="1">
      <formula>AND(ROW(C4)=$CC$1,COLUMN(C4)=$CC$2)</formula>
    </cfRule>
    <cfRule type="expression" dxfId="128" priority="20" stopIfTrue="1">
      <formula>OR(AND(ROW(C4)=$CC$1,COLUMN(C4)&lt;$CC$2),AND(ROW(C4)&lt;$CC$1,COLUMN(C4)=$CC$2))</formula>
    </cfRule>
  </conditionalFormatting>
  <conditionalFormatting sqref="C9:D9">
    <cfRule type="expression" dxfId="127" priority="15" stopIfTrue="1">
      <formula>AND(ROW(C9)=$CC$1,COLUMN(C9)=$CC$2)</formula>
    </cfRule>
    <cfRule type="expression" dxfId="126" priority="16" stopIfTrue="1">
      <formula>OR(AND(ROW(C9)=$CC$1,COLUMN(C9)&lt;$CC$2),AND(ROW(C9)&lt;$CC$1,COLUMN(C9)=$CC$2))</formula>
    </cfRule>
  </conditionalFormatting>
  <conditionalFormatting sqref="E9">
    <cfRule type="expression" dxfId="125" priority="13" stopIfTrue="1">
      <formula>AND(ROW(E9)=$CC$1,COLUMN(E9)=$CC$2)</formula>
    </cfRule>
    <cfRule type="expression" dxfId="124" priority="14" stopIfTrue="1">
      <formula>OR(AND(ROW(E9)=$CC$1,COLUMN(E9)&lt;$CC$2),AND(ROW(E9)&lt;$CC$1,COLUMN(E9)=$CC$2))</formula>
    </cfRule>
  </conditionalFormatting>
  <conditionalFormatting sqref="F9:W9">
    <cfRule type="expression" dxfId="123" priority="11" stopIfTrue="1">
      <formula>AND(ROW(F9)=$CC$1,COLUMN(F9)=$CC$2)</formula>
    </cfRule>
    <cfRule type="expression" dxfId="122" priority="12" stopIfTrue="1">
      <formula>OR(AND(ROW(F9)=$CC$1,COLUMN(F9)&lt;$CC$2),AND(ROW(F9)&lt;$CC$1,COLUMN(F9)=$CC$2))</formula>
    </cfRule>
  </conditionalFormatting>
  <conditionalFormatting sqref="C14:W14">
    <cfRule type="expression" dxfId="121" priority="9" stopIfTrue="1">
      <formula>AND(ROW(C14)=$CC$1,COLUMN(C14)=$CC$2)</formula>
    </cfRule>
    <cfRule type="expression" dxfId="120" priority="10" stopIfTrue="1">
      <formula>OR(AND(ROW(C14)=$CC$1,COLUMN(C14)&lt;$CC$2),AND(ROW(C14)&lt;$CC$1,COLUMN(C14)=$CC$2))</formula>
    </cfRule>
  </conditionalFormatting>
  <conditionalFormatting sqref="C13:W13">
    <cfRule type="expression" dxfId="119" priority="7" stopIfTrue="1">
      <formula>AND(ROW(C13)=$CC$1,COLUMN(C13)=$CC$2)</formula>
    </cfRule>
    <cfRule type="expression" dxfId="118" priority="8" stopIfTrue="1">
      <formula>OR(AND(ROW(C13)=$CC$1,COLUMN(C13)&lt;$CC$2),AND(ROW(C13)&lt;$CC$1,COLUMN(C13)=$CC$2))</formula>
    </cfRule>
  </conditionalFormatting>
  <conditionalFormatting sqref="C15:D15">
    <cfRule type="expression" dxfId="117" priority="5" stopIfTrue="1">
      <formula>AND(ROW(C15)=$CC$1,COLUMN(C15)=$CC$2)</formula>
    </cfRule>
    <cfRule type="expression" dxfId="116" priority="6" stopIfTrue="1">
      <formula>OR(AND(ROW(C15)=$CC$1,COLUMN(C15)&lt;$CC$2),AND(ROW(C15)&lt;$CC$1,COLUMN(C15)=$CC$2))</formula>
    </cfRule>
  </conditionalFormatting>
  <conditionalFormatting sqref="E15">
    <cfRule type="expression" dxfId="115" priority="3" stopIfTrue="1">
      <formula>AND(ROW(E15)=$CC$1,COLUMN(E15)=$CC$2)</formula>
    </cfRule>
    <cfRule type="expression" dxfId="114" priority="4" stopIfTrue="1">
      <formula>OR(AND(ROW(E15)=$CC$1,COLUMN(E15)&lt;$CC$2),AND(ROW(E15)&lt;$CC$1,COLUMN(E15)=$CC$2))</formula>
    </cfRule>
  </conditionalFormatting>
  <conditionalFormatting sqref="F15:W15">
    <cfRule type="expression" dxfId="113" priority="1" stopIfTrue="1">
      <formula>AND(ROW(F15)=$CC$1,COLUMN(F15)=$CC$2)</formula>
    </cfRule>
    <cfRule type="expression" dxfId="112" priority="2" stopIfTrue="1">
      <formula>OR(AND(ROW(F15)=$CC$1,COLUMN(F15)&lt;$CC$2),AND(ROW(F15)&lt;$CC$1,COLUMN(F15)=$CC$2))</formula>
    </cfRule>
  </conditionalFormatting>
  <dataValidations xWindow="964" yWindow="403" count="4">
    <dataValidation type="custom" errorStyle="warning" allowBlank="1" showInputMessage="1" showErrorMessage="1" error="-Must be a multiple of 2.5 unless a record attempt" sqref="W77:W65384 Q77:Q65384 R18:W29 Q68:W76 W30:W67 Q18:Q67 R8:W12 W13:W14 W3:W7 K3:K65384 Q3:Q14 Q15:W17" xr:uid="{00000000-0002-0000-0100-000000000000}">
      <formula1>AND(MOD(K3,2.5)=0)</formula1>
    </dataValidation>
    <dataValidation type="list" allowBlank="1" showInputMessage="1" showErrorMessage="1" promptTitle="Division" prompt="Select from menu" sqref="E1:E1048576" xr:uid="{00000000-0002-0000-0100-000001000000}">
      <formula1>INDIRECT($AY$1)</formula1>
    </dataValidation>
    <dataValidation type="list" allowBlank="1" showInputMessage="1" showErrorMessage="1" sqref="B3:B3248" xr:uid="{00000000-0002-0000-0100-000002000000}">
      <formula1>"A,B,C,D,E,F,G,H,I,J,K,L,M,N,O,P,Q,R,S,T"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AI3:AI65384" xr:uid="{00000000-0002-0000-0100-000003000000}"/>
  </dataValidations>
  <pageMargins left="0.75" right="0.75" top="1" bottom="1" header="0.5" footer="0.5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55" id="{C3F43931-77E3-4C9E-BF05-E9486EEE943A}">
            <xm:f>$F1 &gt; Setup!$J$20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1156" id="{BEAA0768-88C2-42CF-BEB0-1993623B2820}">
            <xm:f>AND(($F1 &lt;= Setup!$J$19), ($F1 &gt; Setup!$J$18))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157" id="{D7FF9EFA-22AC-4356-B52E-840D49069784}">
            <xm:f>AND(($F1 &lt;= Setup!$J$18), ($F1 &gt; Setup!$J$17))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158" id="{40966E8A-3FD1-4F8E-9C6B-1F1D9EAE37A3}">
            <xm:f>AND(($F1 &lt;= Setup!$J$17), ($F1 &gt; Setup!$J$16))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1159" id="{0B5197F0-68D5-4392-90A4-F1B32E179C73}">
            <xm:f>AND(($F1 &lt;= Setup!$J$16), ($F1 &gt; Setup!$J$15))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1160" id="{B7F048EE-DB64-4FE7-904F-FA6A9C273BE9}">
            <xm:f>AND(($F1 &lt;= Setup!$J$15), ($F1 &gt; Setup!$J$14))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1161" id="{1921B567-67EE-47B2-B7EE-A602FF51DB5B}">
            <xm:f>AND(($F1 &lt;= Setup!$J$14), ($F1 &gt; Setup!$J$13))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162" id="{2346DBB4-47E7-45DA-AB58-30F62183F15D}">
            <xm:f>AND(($F1 &lt;= Setup!$J$13), ($F1 &gt; Setup!$J$12))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163" id="{E7FF586C-3D69-4ED7-BCB8-D8518099BE9E}">
            <xm:f>AND(($F1 &lt;= Setup!$J$12), ($F1 &gt; Setup!$J$11))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1164" id="{80D8FF09-5C57-4B38-B5A8-2083050CF66A}">
            <xm:f>AND(($F1 &lt;= Setup!$J$11), ($F1 &gt; Setup!$J$10))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1165" id="{6B52E79B-C215-4FFA-8397-791128701A25}">
            <xm:f>AND(($F1 &lt;= Setup!$J$10), ($F1 &gt; Setup!$J$9))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166" id="{B5DC2E88-EDD3-4DC7-827B-E63BE464A589}">
            <xm:f>AND(($F1 &lt;= Setup!$L$11), ($F1 &gt;Setup!$L$10))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167" id="{6B19D45F-14ED-499B-B711-EAB98778E56D}">
            <xm:f>AND(($F1 &lt;=Setup!$L$10), ($F1 &gt;Setup!$L$9))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1168" id="{0BC1765A-E3A3-44AF-809F-F876DA3916D5}">
            <xm:f>AND(($F1 &lt;= Setup!$J$20), ($F1 &gt;Setup!$J$19))</xm:f>
            <x14:dxf>
              <fill>
                <patternFill>
                  <bgColor theme="5" tint="0.39994506668294322"/>
                </patternFill>
              </fill>
            </x14:dxf>
          </x14:cfRule>
          <xm:sqref>B1:B2 B601:B1048576</xm:sqref>
        </x14:conditionalFormatting>
        <x14:conditionalFormatting xmlns:xm="http://schemas.microsoft.com/office/excel/2006/main">
          <x14:cfRule type="expression" priority="65" id="{D012DB69-6801-4589-A364-9F521B4F4316}">
            <xm:f>$F8 &gt; Setup!$J$20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66" id="{4DE24132-1C2B-406E-B73F-7ADE65F2F227}">
            <xm:f>AND(($F8 &lt;= Setup!$J$19), ($F8 &gt; Setup!$J$18))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67" id="{ADBB45FD-BA7A-4285-B33B-5D8234FCF994}">
            <xm:f>AND(($F8 &lt;= Setup!$J$18), ($F8 &gt; Setup!$J$17))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68" id="{7EE377E7-A1BC-44CA-9718-F8DB642BBCE1}">
            <xm:f>AND(($F8 &lt;= Setup!$J$17), ($F8 &gt; Setup!$J$16))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69" id="{9717C4F0-1A25-455B-AD5E-9075E37AEB2D}">
            <xm:f>AND(($F8 &lt;= Setup!$J$16), ($F8 &gt; Setup!$J$15))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70" id="{8ABEB69D-78F5-4221-973D-1D06DDD3807A}">
            <xm:f>AND(($F8 &lt;= Setup!$J$15), ($F8 &gt; Setup!$J$14))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71" id="{B35445F2-497D-4E00-82F9-1DD12D4DD4AD}">
            <xm:f>AND(($F8 &lt;= Setup!$J$14), ($F8 &gt; Setup!$J$13))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2" id="{A225EADC-970A-491A-B77C-134C7F9A3C54}">
            <xm:f>AND(($F8 &lt;= Setup!$J$13), ($F8 &gt; Setup!$J$12))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73" id="{84779BF2-00BD-4016-BD8D-9124C39C8A72}">
            <xm:f>AND(($F8 &lt;= Setup!$J$12), ($F8 &gt; Setup!$J$11))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74" id="{7722E308-2FE0-41B7-A472-FFE2EDA9B626}">
            <xm:f>AND(($F8 &lt;= Setup!$J$11), ($F8 &gt; Setup!$J$10))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75" id="{FAD70DB0-91E2-4A93-A45E-B9CF5ED843A6}">
            <xm:f>AND(($F8 &lt;= Setup!$J$10), ($F8 &gt; Setup!$J$9))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76" id="{E86E5D8B-4B2D-4ED0-853D-C2B3D5E97EF5}">
            <xm:f>AND(($F8 &lt;= Setup!$L$11), ($F8 &gt;Setup!$L$10))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77" id="{32BC4288-269C-4DF9-B8FF-F21B8C938261}">
            <xm:f>AND(($F8 &lt;=Setup!$L$10), ($F8 &gt;Setup!$L$9))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78" id="{66BBA61B-FF13-4852-9288-790C8ACE24BF}">
            <xm:f>AND(($F8 &lt;= Setup!$J$20), ($F8 &gt;Setup!$J$19))</xm:f>
            <x14:dxf>
              <fill>
                <patternFill>
                  <bgColor theme="5" tint="0.39994506668294322"/>
                </patternFill>
              </fill>
            </x14:dxf>
          </x14:cfRule>
          <xm:sqref>B8:B600</xm:sqref>
        </x14:conditionalFormatting>
        <x14:conditionalFormatting xmlns:xm="http://schemas.microsoft.com/office/excel/2006/main">
          <x14:cfRule type="expression" priority="45" id="{B1343DD3-F513-411E-9502-91878289E6F6}">
            <xm:f>$F3 &gt; '\Documents\Powerlifting\Michigan APF\Meets\2018 Michigan State\[2018_State_LW.xlsm]Setup'!#REF!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46" id="{18C314F8-49EF-46F3-A498-648D6811B0CB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47" id="{123766A2-7AAE-476B-8EF4-CBE773018028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48" id="{CD1DFDC8-7A26-4A8C-8883-3DAE3B141822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49" id="{02A834C2-DA8E-4109-8FC7-5AFD81F8FB66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50" id="{0899DB5B-E54E-450B-8651-3AF7977FB657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51" id="{6E8EB361-31D6-4381-80AB-BC6D77ACED7B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52" id="{FBCC51A8-CEB5-4F32-AF6E-6BE70857EBDD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53" id="{4AFE6B8B-08CF-4BD0-AD47-EAFA66802B56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54" id="{CB9D027A-E0C3-451D-BAD1-D5A52A03FF78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55" id="{5C38F198-5F27-4C7C-AEB6-ED36DF5F6F33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56" id="{D49DA757-B498-47C1-BBF1-44B6991F10A2}">
            <xm:f>AND(($F3 &lt;= 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57" id="{A89367E2-FE4B-4D72-B2DB-6743848BE610}">
            <xm:f>AND(($F3 &lt;='\Documents\Powerlifting\Michigan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58" id="{A3D84159-9D4D-4E72-BB67-C7D2F7B1D847}">
            <xm:f>AND(($F3 &lt;= 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5" tint="0.39994506668294322"/>
                </patternFill>
              </fill>
            </x14:dxf>
          </x14:cfRule>
          <xm:sqref>B3:B7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B258"/>
  <sheetViews>
    <sheetView topLeftCell="A34" workbookViewId="0">
      <selection activeCell="B70" sqref="B70:B71"/>
    </sheetView>
  </sheetViews>
  <sheetFormatPr defaultRowHeight="12.75" x14ac:dyDescent="0.2"/>
  <sheetData>
    <row r="1" spans="1:2" x14ac:dyDescent="0.2">
      <c r="A1" s="246" t="s">
        <v>75</v>
      </c>
      <c r="B1" s="246" t="s">
        <v>61</v>
      </c>
    </row>
    <row r="2" spans="1:2" x14ac:dyDescent="0.2">
      <c r="A2" s="1">
        <v>32.5</v>
      </c>
      <c r="B2" s="1">
        <f>CONVERT(A2*1000, "g", "lbm")</f>
        <v>71.650235210085214</v>
      </c>
    </row>
    <row r="3" spans="1:2" x14ac:dyDescent="0.2">
      <c r="A3" s="1">
        <v>35</v>
      </c>
      <c r="B3" s="1">
        <f t="shared" ref="B3:B66" si="0">CONVERT(A3*1000, "g", "lbm")</f>
        <v>77.161791764707147</v>
      </c>
    </row>
    <row r="4" spans="1:2" x14ac:dyDescent="0.2">
      <c r="A4" s="1">
        <v>37.5</v>
      </c>
      <c r="B4" s="1">
        <f t="shared" si="0"/>
        <v>82.673348319329094</v>
      </c>
    </row>
    <row r="5" spans="1:2" x14ac:dyDescent="0.2">
      <c r="A5" s="1">
        <v>40</v>
      </c>
      <c r="B5" s="1">
        <f t="shared" si="0"/>
        <v>88.184904873951027</v>
      </c>
    </row>
    <row r="6" spans="1:2" x14ac:dyDescent="0.2">
      <c r="A6" s="1">
        <v>42.5</v>
      </c>
      <c r="B6" s="1">
        <f t="shared" si="0"/>
        <v>93.696461428572974</v>
      </c>
    </row>
    <row r="7" spans="1:2" x14ac:dyDescent="0.2">
      <c r="A7" s="1">
        <v>45</v>
      </c>
      <c r="B7" s="1">
        <f t="shared" si="0"/>
        <v>99.208017983194907</v>
      </c>
    </row>
    <row r="8" spans="1:2" x14ac:dyDescent="0.2">
      <c r="A8" s="1">
        <v>47.5</v>
      </c>
      <c r="B8" s="1">
        <f t="shared" si="0"/>
        <v>104.71957453781685</v>
      </c>
    </row>
    <row r="9" spans="1:2" x14ac:dyDescent="0.2">
      <c r="A9" s="1">
        <v>50</v>
      </c>
      <c r="B9" s="1">
        <f t="shared" si="0"/>
        <v>110.23113109243879</v>
      </c>
    </row>
    <row r="10" spans="1:2" x14ac:dyDescent="0.2">
      <c r="A10" s="1">
        <v>52.5</v>
      </c>
      <c r="B10" s="1">
        <f t="shared" si="0"/>
        <v>115.74268764706072</v>
      </c>
    </row>
    <row r="11" spans="1:2" x14ac:dyDescent="0.2">
      <c r="A11" s="1">
        <v>55</v>
      </c>
      <c r="B11" s="1">
        <f t="shared" si="0"/>
        <v>121.25424420168267</v>
      </c>
    </row>
    <row r="12" spans="1:2" x14ac:dyDescent="0.2">
      <c r="A12" s="1">
        <v>57.5</v>
      </c>
      <c r="B12" s="1">
        <f t="shared" si="0"/>
        <v>126.7658007563046</v>
      </c>
    </row>
    <row r="13" spans="1:2" x14ac:dyDescent="0.2">
      <c r="A13" s="1">
        <v>60</v>
      </c>
      <c r="B13" s="1">
        <f t="shared" si="0"/>
        <v>132.27735731092653</v>
      </c>
    </row>
    <row r="14" spans="1:2" x14ac:dyDescent="0.2">
      <c r="A14" s="1">
        <v>62.5</v>
      </c>
      <c r="B14" s="1">
        <f t="shared" si="0"/>
        <v>137.78891386554849</v>
      </c>
    </row>
    <row r="15" spans="1:2" x14ac:dyDescent="0.2">
      <c r="A15" s="1">
        <v>65</v>
      </c>
      <c r="B15" s="1">
        <f t="shared" si="0"/>
        <v>143.30047042017043</v>
      </c>
    </row>
    <row r="16" spans="1:2" x14ac:dyDescent="0.2">
      <c r="A16" s="1">
        <v>67.5</v>
      </c>
      <c r="B16" s="1">
        <f t="shared" si="0"/>
        <v>148.81202697479236</v>
      </c>
    </row>
    <row r="17" spans="1:2" x14ac:dyDescent="0.2">
      <c r="A17" s="1">
        <v>70</v>
      </c>
      <c r="B17" s="1">
        <f t="shared" si="0"/>
        <v>154.32358352941429</v>
      </c>
    </row>
    <row r="18" spans="1:2" x14ac:dyDescent="0.2">
      <c r="A18" s="1">
        <v>72.5</v>
      </c>
      <c r="B18" s="1">
        <f t="shared" si="0"/>
        <v>159.83514008403623</v>
      </c>
    </row>
    <row r="19" spans="1:2" x14ac:dyDescent="0.2">
      <c r="A19" s="1">
        <v>75</v>
      </c>
      <c r="B19" s="1">
        <f t="shared" si="0"/>
        <v>165.34669663865819</v>
      </c>
    </row>
    <row r="20" spans="1:2" x14ac:dyDescent="0.2">
      <c r="A20" s="1">
        <v>77.5</v>
      </c>
      <c r="B20" s="1">
        <f t="shared" si="0"/>
        <v>170.85825319328012</v>
      </c>
    </row>
    <row r="21" spans="1:2" x14ac:dyDescent="0.2">
      <c r="A21" s="1">
        <v>80</v>
      </c>
      <c r="B21" s="1">
        <f t="shared" si="0"/>
        <v>176.36980974790205</v>
      </c>
    </row>
    <row r="22" spans="1:2" x14ac:dyDescent="0.2">
      <c r="A22" s="1">
        <v>82.5</v>
      </c>
      <c r="B22" s="1">
        <f t="shared" si="0"/>
        <v>181.88136630252399</v>
      </c>
    </row>
    <row r="23" spans="1:2" x14ac:dyDescent="0.2">
      <c r="A23" s="1">
        <v>85</v>
      </c>
      <c r="B23" s="1">
        <f t="shared" si="0"/>
        <v>187.39292285714595</v>
      </c>
    </row>
    <row r="24" spans="1:2" x14ac:dyDescent="0.2">
      <c r="A24" s="1">
        <v>87.5</v>
      </c>
      <c r="B24" s="1">
        <f t="shared" si="0"/>
        <v>192.90447941176788</v>
      </c>
    </row>
    <row r="25" spans="1:2" x14ac:dyDescent="0.2">
      <c r="A25" s="1">
        <v>90</v>
      </c>
      <c r="B25" s="1">
        <f t="shared" si="0"/>
        <v>198.41603596638981</v>
      </c>
    </row>
    <row r="26" spans="1:2" x14ac:dyDescent="0.2">
      <c r="A26" s="1">
        <v>92.5</v>
      </c>
      <c r="B26" s="1">
        <f t="shared" si="0"/>
        <v>203.92759252101175</v>
      </c>
    </row>
    <row r="27" spans="1:2" x14ac:dyDescent="0.2">
      <c r="A27" s="1">
        <v>95</v>
      </c>
      <c r="B27" s="1">
        <f t="shared" si="0"/>
        <v>209.43914907563371</v>
      </c>
    </row>
    <row r="28" spans="1:2" x14ac:dyDescent="0.2">
      <c r="A28" s="1">
        <v>97.5</v>
      </c>
      <c r="B28" s="1">
        <f t="shared" si="0"/>
        <v>214.95070563025564</v>
      </c>
    </row>
    <row r="29" spans="1:2" x14ac:dyDescent="0.2">
      <c r="A29" s="1">
        <v>100</v>
      </c>
      <c r="B29" s="1">
        <f t="shared" si="0"/>
        <v>220.46226218487757</v>
      </c>
    </row>
    <row r="30" spans="1:2" x14ac:dyDescent="0.2">
      <c r="A30" s="1">
        <v>102.5</v>
      </c>
      <c r="B30" s="1">
        <f t="shared" si="0"/>
        <v>225.97381873949951</v>
      </c>
    </row>
    <row r="31" spans="1:2" x14ac:dyDescent="0.2">
      <c r="A31" s="1">
        <v>105</v>
      </c>
      <c r="B31" s="1">
        <f t="shared" si="0"/>
        <v>231.48537529412144</v>
      </c>
    </row>
    <row r="32" spans="1:2" x14ac:dyDescent="0.2">
      <c r="A32" s="1">
        <v>107.5</v>
      </c>
      <c r="B32" s="1">
        <f t="shared" si="0"/>
        <v>236.9969318487434</v>
      </c>
    </row>
    <row r="33" spans="1:2" x14ac:dyDescent="0.2">
      <c r="A33" s="1">
        <v>110</v>
      </c>
      <c r="B33" s="1">
        <f t="shared" si="0"/>
        <v>242.50848840336533</v>
      </c>
    </row>
    <row r="34" spans="1:2" x14ac:dyDescent="0.2">
      <c r="A34" s="1">
        <v>112.5</v>
      </c>
      <c r="B34" s="1">
        <f t="shared" si="0"/>
        <v>248.02004495798727</v>
      </c>
    </row>
    <row r="35" spans="1:2" x14ac:dyDescent="0.2">
      <c r="A35" s="1">
        <v>115</v>
      </c>
      <c r="B35" s="1">
        <f t="shared" si="0"/>
        <v>253.5316015126092</v>
      </c>
    </row>
    <row r="36" spans="1:2" x14ac:dyDescent="0.2">
      <c r="A36" s="1">
        <v>117.5</v>
      </c>
      <c r="B36" s="1">
        <f t="shared" si="0"/>
        <v>259.04315806723116</v>
      </c>
    </row>
    <row r="37" spans="1:2" x14ac:dyDescent="0.2">
      <c r="A37" s="1">
        <v>120</v>
      </c>
      <c r="B37" s="1">
        <f t="shared" si="0"/>
        <v>264.55471462185307</v>
      </c>
    </row>
    <row r="38" spans="1:2" x14ac:dyDescent="0.2">
      <c r="A38" s="1">
        <v>122.5</v>
      </c>
      <c r="B38" s="1">
        <f t="shared" si="0"/>
        <v>270.06627117647503</v>
      </c>
    </row>
    <row r="39" spans="1:2" x14ac:dyDescent="0.2">
      <c r="A39" s="1">
        <v>125</v>
      </c>
      <c r="B39" s="1">
        <f t="shared" si="0"/>
        <v>275.57782773109699</v>
      </c>
    </row>
    <row r="40" spans="1:2" x14ac:dyDescent="0.2">
      <c r="A40" s="1">
        <v>127.5</v>
      </c>
      <c r="B40" s="1">
        <f t="shared" si="0"/>
        <v>281.08938428571889</v>
      </c>
    </row>
    <row r="41" spans="1:2" x14ac:dyDescent="0.2">
      <c r="A41" s="1">
        <v>130</v>
      </c>
      <c r="B41" s="1">
        <f t="shared" si="0"/>
        <v>286.60094084034085</v>
      </c>
    </row>
    <row r="42" spans="1:2" x14ac:dyDescent="0.2">
      <c r="A42" s="1">
        <v>132.5</v>
      </c>
      <c r="B42" s="1">
        <f t="shared" si="0"/>
        <v>292.11249739496276</v>
      </c>
    </row>
    <row r="43" spans="1:2" x14ac:dyDescent="0.2">
      <c r="A43" s="1">
        <v>135</v>
      </c>
      <c r="B43" s="1">
        <f t="shared" si="0"/>
        <v>297.62405394958472</v>
      </c>
    </row>
    <row r="44" spans="1:2" x14ac:dyDescent="0.2">
      <c r="A44" s="1">
        <v>137.5</v>
      </c>
      <c r="B44" s="1">
        <f t="shared" si="0"/>
        <v>303.13561050420668</v>
      </c>
    </row>
    <row r="45" spans="1:2" x14ac:dyDescent="0.2">
      <c r="A45" s="1">
        <v>140</v>
      </c>
      <c r="B45" s="1">
        <f t="shared" si="0"/>
        <v>308.64716705882859</v>
      </c>
    </row>
    <row r="46" spans="1:2" x14ac:dyDescent="0.2">
      <c r="A46" s="1">
        <v>142.5</v>
      </c>
      <c r="B46" s="1">
        <f t="shared" si="0"/>
        <v>314.15872361345055</v>
      </c>
    </row>
    <row r="47" spans="1:2" x14ac:dyDescent="0.2">
      <c r="A47" s="1">
        <v>145</v>
      </c>
      <c r="B47" s="1">
        <f t="shared" si="0"/>
        <v>319.67028016807245</v>
      </c>
    </row>
    <row r="48" spans="1:2" x14ac:dyDescent="0.2">
      <c r="A48" s="1">
        <v>147.5</v>
      </c>
      <c r="B48" s="1">
        <f t="shared" si="0"/>
        <v>325.18183672269441</v>
      </c>
    </row>
    <row r="49" spans="1:2" x14ac:dyDescent="0.2">
      <c r="A49" s="1">
        <v>150</v>
      </c>
      <c r="B49" s="1">
        <f t="shared" si="0"/>
        <v>330.69339327731637</v>
      </c>
    </row>
    <row r="50" spans="1:2" x14ac:dyDescent="0.2">
      <c r="A50" s="1">
        <v>152.5</v>
      </c>
      <c r="B50" s="1">
        <f t="shared" si="0"/>
        <v>336.20494983193828</v>
      </c>
    </row>
    <row r="51" spans="1:2" x14ac:dyDescent="0.2">
      <c r="A51" s="1">
        <v>155</v>
      </c>
      <c r="B51" s="1">
        <f t="shared" si="0"/>
        <v>341.71650638656024</v>
      </c>
    </row>
    <row r="52" spans="1:2" x14ac:dyDescent="0.2">
      <c r="A52" s="1">
        <v>157.5</v>
      </c>
      <c r="B52" s="1">
        <f t="shared" si="0"/>
        <v>347.2280629411822</v>
      </c>
    </row>
    <row r="53" spans="1:2" x14ac:dyDescent="0.2">
      <c r="A53" s="1">
        <v>160</v>
      </c>
      <c r="B53" s="1">
        <f t="shared" si="0"/>
        <v>352.73961949580411</v>
      </c>
    </row>
    <row r="54" spans="1:2" x14ac:dyDescent="0.2">
      <c r="A54" s="1">
        <v>162.5</v>
      </c>
      <c r="B54" s="1">
        <f t="shared" si="0"/>
        <v>358.25117605042607</v>
      </c>
    </row>
    <row r="55" spans="1:2" x14ac:dyDescent="0.2">
      <c r="A55" s="1">
        <v>165</v>
      </c>
      <c r="B55" s="1">
        <f t="shared" si="0"/>
        <v>363.76273260504797</v>
      </c>
    </row>
    <row r="56" spans="1:2" x14ac:dyDescent="0.2">
      <c r="A56" s="1">
        <v>167.5</v>
      </c>
      <c r="B56" s="1">
        <f t="shared" si="0"/>
        <v>369.27428915966993</v>
      </c>
    </row>
    <row r="57" spans="1:2" x14ac:dyDescent="0.2">
      <c r="A57" s="1">
        <v>170</v>
      </c>
      <c r="B57" s="1">
        <f t="shared" si="0"/>
        <v>374.7858457142919</v>
      </c>
    </row>
    <row r="58" spans="1:2" x14ac:dyDescent="0.2">
      <c r="A58" s="1">
        <v>172.5</v>
      </c>
      <c r="B58" s="1">
        <f t="shared" si="0"/>
        <v>380.2974022689138</v>
      </c>
    </row>
    <row r="59" spans="1:2" x14ac:dyDescent="0.2">
      <c r="A59" s="1">
        <v>175</v>
      </c>
      <c r="B59" s="1">
        <f t="shared" si="0"/>
        <v>385.80895882353576</v>
      </c>
    </row>
    <row r="60" spans="1:2" x14ac:dyDescent="0.2">
      <c r="A60" s="1">
        <v>177.5</v>
      </c>
      <c r="B60" s="1">
        <f t="shared" si="0"/>
        <v>391.32051537815767</v>
      </c>
    </row>
    <row r="61" spans="1:2" x14ac:dyDescent="0.2">
      <c r="A61" s="1">
        <v>180</v>
      </c>
      <c r="B61" s="1">
        <f t="shared" si="0"/>
        <v>396.83207193277963</v>
      </c>
    </row>
    <row r="62" spans="1:2" x14ac:dyDescent="0.2">
      <c r="A62" s="1">
        <v>182.5</v>
      </c>
      <c r="B62" s="1">
        <f t="shared" si="0"/>
        <v>402.34362848740159</v>
      </c>
    </row>
    <row r="63" spans="1:2" x14ac:dyDescent="0.2">
      <c r="A63" s="1">
        <v>185</v>
      </c>
      <c r="B63" s="1">
        <f t="shared" si="0"/>
        <v>407.85518504202349</v>
      </c>
    </row>
    <row r="64" spans="1:2" x14ac:dyDescent="0.2">
      <c r="A64" s="1">
        <v>187.5</v>
      </c>
      <c r="B64" s="1">
        <f t="shared" si="0"/>
        <v>413.36674159664545</v>
      </c>
    </row>
    <row r="65" spans="1:2" x14ac:dyDescent="0.2">
      <c r="A65" s="1">
        <v>190</v>
      </c>
      <c r="B65" s="1">
        <f t="shared" si="0"/>
        <v>418.87829815126742</v>
      </c>
    </row>
    <row r="66" spans="1:2" x14ac:dyDescent="0.2">
      <c r="A66" s="1">
        <v>192.5</v>
      </c>
      <c r="B66" s="1">
        <f t="shared" si="0"/>
        <v>424.38985470588932</v>
      </c>
    </row>
    <row r="67" spans="1:2" x14ac:dyDescent="0.2">
      <c r="A67" s="1">
        <v>195</v>
      </c>
      <c r="B67" s="1">
        <f t="shared" ref="B67:B130" si="1">CONVERT(A67*1000, "g", "lbm")</f>
        <v>429.90141126051128</v>
      </c>
    </row>
    <row r="68" spans="1:2" x14ac:dyDescent="0.2">
      <c r="A68" s="1">
        <v>197.5</v>
      </c>
      <c r="B68" s="1">
        <f t="shared" si="1"/>
        <v>435.41296781513319</v>
      </c>
    </row>
    <row r="69" spans="1:2" x14ac:dyDescent="0.2">
      <c r="A69" s="1">
        <v>200</v>
      </c>
      <c r="B69" s="1">
        <f t="shared" si="1"/>
        <v>440.92452436975515</v>
      </c>
    </row>
    <row r="70" spans="1:2" x14ac:dyDescent="0.2">
      <c r="A70" s="1">
        <v>202.5</v>
      </c>
      <c r="B70" s="1">
        <f t="shared" si="1"/>
        <v>446.43608092437711</v>
      </c>
    </row>
    <row r="71" spans="1:2" x14ac:dyDescent="0.2">
      <c r="A71" s="1">
        <v>205</v>
      </c>
      <c r="B71" s="1">
        <f t="shared" si="1"/>
        <v>451.94763747899901</v>
      </c>
    </row>
    <row r="72" spans="1:2" x14ac:dyDescent="0.2">
      <c r="A72" s="1">
        <v>207.5</v>
      </c>
      <c r="B72" s="1">
        <f t="shared" si="1"/>
        <v>457.45919403362097</v>
      </c>
    </row>
    <row r="73" spans="1:2" x14ac:dyDescent="0.2">
      <c r="A73" s="1">
        <v>210</v>
      </c>
      <c r="B73" s="1">
        <f t="shared" si="1"/>
        <v>462.97075058824288</v>
      </c>
    </row>
    <row r="74" spans="1:2" x14ac:dyDescent="0.2">
      <c r="A74" s="1">
        <v>212.5</v>
      </c>
      <c r="B74" s="1">
        <f t="shared" si="1"/>
        <v>468.48230714286484</v>
      </c>
    </row>
    <row r="75" spans="1:2" x14ac:dyDescent="0.2">
      <c r="A75" s="1">
        <v>215</v>
      </c>
      <c r="B75" s="1">
        <f t="shared" si="1"/>
        <v>473.9938636974868</v>
      </c>
    </row>
    <row r="76" spans="1:2" x14ac:dyDescent="0.2">
      <c r="A76" s="1">
        <v>217.5</v>
      </c>
      <c r="B76" s="1">
        <f t="shared" si="1"/>
        <v>479.50542025210871</v>
      </c>
    </row>
    <row r="77" spans="1:2" x14ac:dyDescent="0.2">
      <c r="A77" s="1">
        <v>220</v>
      </c>
      <c r="B77" s="1">
        <f t="shared" si="1"/>
        <v>485.01697680673067</v>
      </c>
    </row>
    <row r="78" spans="1:2" x14ac:dyDescent="0.2">
      <c r="A78" s="1">
        <v>222.5</v>
      </c>
      <c r="B78" s="1">
        <f t="shared" si="1"/>
        <v>490.52853336135257</v>
      </c>
    </row>
    <row r="79" spans="1:2" x14ac:dyDescent="0.2">
      <c r="A79" s="1">
        <v>225</v>
      </c>
      <c r="B79" s="1">
        <f t="shared" si="1"/>
        <v>496.04008991597453</v>
      </c>
    </row>
    <row r="80" spans="1:2" x14ac:dyDescent="0.2">
      <c r="A80" s="1">
        <v>227.5</v>
      </c>
      <c r="B80" s="1">
        <f t="shared" si="1"/>
        <v>501.55164647059649</v>
      </c>
    </row>
    <row r="81" spans="1:2" x14ac:dyDescent="0.2">
      <c r="A81" s="1">
        <v>230</v>
      </c>
      <c r="B81" s="1">
        <f t="shared" si="1"/>
        <v>507.0632030252184</v>
      </c>
    </row>
    <row r="82" spans="1:2" x14ac:dyDescent="0.2">
      <c r="A82" s="1">
        <v>232.5</v>
      </c>
      <c r="B82" s="1">
        <f t="shared" si="1"/>
        <v>512.57475957984036</v>
      </c>
    </row>
    <row r="83" spans="1:2" x14ac:dyDescent="0.2">
      <c r="A83" s="1">
        <v>235</v>
      </c>
      <c r="B83" s="1">
        <f t="shared" si="1"/>
        <v>518.08631613446232</v>
      </c>
    </row>
    <row r="84" spans="1:2" x14ac:dyDescent="0.2">
      <c r="A84" s="1">
        <v>237.5</v>
      </c>
      <c r="B84" s="1">
        <f t="shared" si="1"/>
        <v>523.59787268908428</v>
      </c>
    </row>
    <row r="85" spans="1:2" x14ac:dyDescent="0.2">
      <c r="A85" s="1">
        <v>240</v>
      </c>
      <c r="B85" s="1">
        <f t="shared" si="1"/>
        <v>529.10942924370613</v>
      </c>
    </row>
    <row r="86" spans="1:2" x14ac:dyDescent="0.2">
      <c r="A86" s="1">
        <v>242.5</v>
      </c>
      <c r="B86" s="1">
        <f t="shared" si="1"/>
        <v>534.62098579832809</v>
      </c>
    </row>
    <row r="87" spans="1:2" x14ac:dyDescent="0.2">
      <c r="A87" s="1">
        <v>245</v>
      </c>
      <c r="B87" s="1">
        <f t="shared" si="1"/>
        <v>540.13254235295005</v>
      </c>
    </row>
    <row r="88" spans="1:2" x14ac:dyDescent="0.2">
      <c r="A88" s="1">
        <v>247.5</v>
      </c>
      <c r="B88" s="1">
        <f t="shared" si="1"/>
        <v>545.64409890757202</v>
      </c>
    </row>
    <row r="89" spans="1:2" x14ac:dyDescent="0.2">
      <c r="A89" s="1">
        <v>250</v>
      </c>
      <c r="B89" s="1">
        <f t="shared" si="1"/>
        <v>551.15565546219398</v>
      </c>
    </row>
    <row r="90" spans="1:2" x14ac:dyDescent="0.2">
      <c r="A90" s="1">
        <v>252.5</v>
      </c>
      <c r="B90" s="1">
        <f t="shared" si="1"/>
        <v>556.66721201681582</v>
      </c>
    </row>
    <row r="91" spans="1:2" x14ac:dyDescent="0.2">
      <c r="A91" s="1">
        <v>255</v>
      </c>
      <c r="B91" s="1">
        <f t="shared" si="1"/>
        <v>562.17876857143779</v>
      </c>
    </row>
    <row r="92" spans="1:2" x14ac:dyDescent="0.2">
      <c r="A92" s="1">
        <v>257.5</v>
      </c>
      <c r="B92" s="1">
        <f t="shared" si="1"/>
        <v>567.69032512605975</v>
      </c>
    </row>
    <row r="93" spans="1:2" x14ac:dyDescent="0.2">
      <c r="A93" s="1">
        <v>260</v>
      </c>
      <c r="B93" s="1">
        <f t="shared" si="1"/>
        <v>573.20188168068171</v>
      </c>
    </row>
    <row r="94" spans="1:2" x14ac:dyDescent="0.2">
      <c r="A94" s="1">
        <v>262.5</v>
      </c>
      <c r="B94" s="1">
        <f t="shared" si="1"/>
        <v>578.71343823530367</v>
      </c>
    </row>
    <row r="95" spans="1:2" x14ac:dyDescent="0.2">
      <c r="A95" s="1">
        <v>265</v>
      </c>
      <c r="B95" s="1">
        <f t="shared" si="1"/>
        <v>584.22499478992552</v>
      </c>
    </row>
    <row r="96" spans="1:2" x14ac:dyDescent="0.2">
      <c r="A96" s="1">
        <v>267.5</v>
      </c>
      <c r="B96" s="1">
        <f t="shared" si="1"/>
        <v>589.73655134454748</v>
      </c>
    </row>
    <row r="97" spans="1:2" x14ac:dyDescent="0.2">
      <c r="A97" s="1">
        <v>270</v>
      </c>
      <c r="B97" s="1">
        <f t="shared" si="1"/>
        <v>595.24810789916944</v>
      </c>
    </row>
    <row r="98" spans="1:2" x14ac:dyDescent="0.2">
      <c r="A98" s="1">
        <v>272.5</v>
      </c>
      <c r="B98" s="1">
        <f t="shared" si="1"/>
        <v>600.7596644537914</v>
      </c>
    </row>
    <row r="99" spans="1:2" x14ac:dyDescent="0.2">
      <c r="A99" s="1">
        <v>275</v>
      </c>
      <c r="B99" s="1">
        <f t="shared" si="1"/>
        <v>606.27122100841336</v>
      </c>
    </row>
    <row r="100" spans="1:2" x14ac:dyDescent="0.2">
      <c r="A100" s="1">
        <v>277.5</v>
      </c>
      <c r="B100" s="1">
        <f t="shared" si="1"/>
        <v>611.78277756303521</v>
      </c>
    </row>
    <row r="101" spans="1:2" x14ac:dyDescent="0.2">
      <c r="A101" s="1">
        <v>280</v>
      </c>
      <c r="B101" s="1">
        <f t="shared" si="1"/>
        <v>617.29433411765717</v>
      </c>
    </row>
    <row r="102" spans="1:2" x14ac:dyDescent="0.2">
      <c r="A102" s="1">
        <v>282.5</v>
      </c>
      <c r="B102" s="1">
        <f t="shared" si="1"/>
        <v>622.80589067227913</v>
      </c>
    </row>
    <row r="103" spans="1:2" x14ac:dyDescent="0.2">
      <c r="A103" s="1">
        <v>285</v>
      </c>
      <c r="B103" s="1">
        <f t="shared" si="1"/>
        <v>628.31744722690109</v>
      </c>
    </row>
    <row r="104" spans="1:2" x14ac:dyDescent="0.2">
      <c r="A104" s="1">
        <v>287.5</v>
      </c>
      <c r="B104" s="1">
        <f t="shared" si="1"/>
        <v>633.82900378152306</v>
      </c>
    </row>
    <row r="105" spans="1:2" x14ac:dyDescent="0.2">
      <c r="A105" s="1">
        <v>290</v>
      </c>
      <c r="B105" s="1">
        <f t="shared" si="1"/>
        <v>639.3405603361449</v>
      </c>
    </row>
    <row r="106" spans="1:2" x14ac:dyDescent="0.2">
      <c r="A106" s="1">
        <v>292.5</v>
      </c>
      <c r="B106" s="1">
        <f t="shared" si="1"/>
        <v>644.85211689076687</v>
      </c>
    </row>
    <row r="107" spans="1:2" x14ac:dyDescent="0.2">
      <c r="A107" s="1">
        <v>295</v>
      </c>
      <c r="B107" s="1">
        <f t="shared" si="1"/>
        <v>650.36367344538883</v>
      </c>
    </row>
    <row r="108" spans="1:2" x14ac:dyDescent="0.2">
      <c r="A108" s="1">
        <v>297.5</v>
      </c>
      <c r="B108" s="1">
        <f t="shared" si="1"/>
        <v>655.87523000001079</v>
      </c>
    </row>
    <row r="109" spans="1:2" x14ac:dyDescent="0.2">
      <c r="A109" s="1">
        <v>300</v>
      </c>
      <c r="B109" s="1">
        <f t="shared" si="1"/>
        <v>661.38678655463275</v>
      </c>
    </row>
    <row r="110" spans="1:2" x14ac:dyDescent="0.2">
      <c r="A110" s="1">
        <v>302.5</v>
      </c>
      <c r="B110" s="1">
        <f t="shared" si="1"/>
        <v>666.89834310925471</v>
      </c>
    </row>
    <row r="111" spans="1:2" x14ac:dyDescent="0.2">
      <c r="A111" s="1">
        <v>305</v>
      </c>
      <c r="B111" s="1">
        <f t="shared" si="1"/>
        <v>672.40989966387656</v>
      </c>
    </row>
    <row r="112" spans="1:2" x14ac:dyDescent="0.2">
      <c r="A112" s="1">
        <v>307.5</v>
      </c>
      <c r="B112" s="1">
        <f t="shared" si="1"/>
        <v>677.92145621849852</v>
      </c>
    </row>
    <row r="113" spans="1:2" x14ac:dyDescent="0.2">
      <c r="A113" s="1">
        <v>310</v>
      </c>
      <c r="B113" s="1">
        <f t="shared" si="1"/>
        <v>683.43301277312048</v>
      </c>
    </row>
    <row r="114" spans="1:2" x14ac:dyDescent="0.2">
      <c r="A114" s="1">
        <v>312.5</v>
      </c>
      <c r="B114" s="1">
        <f t="shared" si="1"/>
        <v>688.94456932774244</v>
      </c>
    </row>
    <row r="115" spans="1:2" x14ac:dyDescent="0.2">
      <c r="A115" s="1">
        <v>315</v>
      </c>
      <c r="B115" s="1">
        <f t="shared" si="1"/>
        <v>694.4561258823644</v>
      </c>
    </row>
    <row r="116" spans="1:2" x14ac:dyDescent="0.2">
      <c r="A116" s="1">
        <v>317.5</v>
      </c>
      <c r="B116" s="1">
        <f t="shared" si="1"/>
        <v>699.96768243698625</v>
      </c>
    </row>
    <row r="117" spans="1:2" x14ac:dyDescent="0.2">
      <c r="A117" s="1">
        <v>320</v>
      </c>
      <c r="B117" s="1">
        <f t="shared" si="1"/>
        <v>705.47923899160821</v>
      </c>
    </row>
    <row r="118" spans="1:2" x14ac:dyDescent="0.2">
      <c r="A118" s="1">
        <v>322.5</v>
      </c>
      <c r="B118" s="1">
        <f t="shared" si="1"/>
        <v>710.99079554623017</v>
      </c>
    </row>
    <row r="119" spans="1:2" x14ac:dyDescent="0.2">
      <c r="A119" s="1">
        <v>325</v>
      </c>
      <c r="B119" s="1">
        <f t="shared" si="1"/>
        <v>716.50235210085214</v>
      </c>
    </row>
    <row r="120" spans="1:2" x14ac:dyDescent="0.2">
      <c r="A120" s="1">
        <v>327.5</v>
      </c>
      <c r="B120" s="1">
        <f t="shared" si="1"/>
        <v>722.0139086554741</v>
      </c>
    </row>
    <row r="121" spans="1:2" x14ac:dyDescent="0.2">
      <c r="A121" s="1">
        <v>330</v>
      </c>
      <c r="B121" s="1">
        <f t="shared" si="1"/>
        <v>727.52546521009594</v>
      </c>
    </row>
    <row r="122" spans="1:2" x14ac:dyDescent="0.2">
      <c r="A122" s="1">
        <v>332.5</v>
      </c>
      <c r="B122" s="1">
        <f t="shared" si="1"/>
        <v>733.03702176471791</v>
      </c>
    </row>
    <row r="123" spans="1:2" x14ac:dyDescent="0.2">
      <c r="A123" s="1">
        <v>335</v>
      </c>
      <c r="B123" s="1">
        <f t="shared" si="1"/>
        <v>738.54857831933987</v>
      </c>
    </row>
    <row r="124" spans="1:2" x14ac:dyDescent="0.2">
      <c r="A124" s="1">
        <v>337.5</v>
      </c>
      <c r="B124" s="1">
        <f t="shared" si="1"/>
        <v>744.06013487396183</v>
      </c>
    </row>
    <row r="125" spans="1:2" x14ac:dyDescent="0.2">
      <c r="A125" s="1">
        <v>340</v>
      </c>
      <c r="B125" s="1">
        <f t="shared" si="1"/>
        <v>749.57169142858379</v>
      </c>
    </row>
    <row r="126" spans="1:2" x14ac:dyDescent="0.2">
      <c r="A126" s="1">
        <v>342.5</v>
      </c>
      <c r="B126" s="1">
        <f t="shared" si="1"/>
        <v>755.08324798320564</v>
      </c>
    </row>
    <row r="127" spans="1:2" x14ac:dyDescent="0.2">
      <c r="A127" s="1">
        <v>345</v>
      </c>
      <c r="B127" s="1">
        <f t="shared" si="1"/>
        <v>760.5948045378276</v>
      </c>
    </row>
    <row r="128" spans="1:2" x14ac:dyDescent="0.2">
      <c r="A128" s="1">
        <v>347.5</v>
      </c>
      <c r="B128" s="1">
        <f t="shared" si="1"/>
        <v>766.10636109244956</v>
      </c>
    </row>
    <row r="129" spans="1:2" x14ac:dyDescent="0.2">
      <c r="A129" s="1">
        <v>350</v>
      </c>
      <c r="B129" s="1">
        <f t="shared" si="1"/>
        <v>771.61791764707152</v>
      </c>
    </row>
    <row r="130" spans="1:2" x14ac:dyDescent="0.2">
      <c r="A130" s="1">
        <v>352.5</v>
      </c>
      <c r="B130" s="1">
        <f t="shared" si="1"/>
        <v>777.12947420169348</v>
      </c>
    </row>
    <row r="131" spans="1:2" x14ac:dyDescent="0.2">
      <c r="A131" s="1">
        <v>355</v>
      </c>
      <c r="B131" s="1">
        <f t="shared" ref="B131:B194" si="2">CONVERT(A131*1000, "g", "lbm")</f>
        <v>782.64103075631533</v>
      </c>
    </row>
    <row r="132" spans="1:2" x14ac:dyDescent="0.2">
      <c r="A132" s="1">
        <v>357.5</v>
      </c>
      <c r="B132" s="1">
        <f t="shared" si="2"/>
        <v>788.15258731093729</v>
      </c>
    </row>
    <row r="133" spans="1:2" x14ac:dyDescent="0.2">
      <c r="A133" s="1">
        <v>360</v>
      </c>
      <c r="B133" s="1">
        <f t="shared" si="2"/>
        <v>793.66414386555925</v>
      </c>
    </row>
    <row r="134" spans="1:2" x14ac:dyDescent="0.2">
      <c r="A134" s="1">
        <v>362.5</v>
      </c>
      <c r="B134" s="1">
        <f t="shared" si="2"/>
        <v>799.17570042018122</v>
      </c>
    </row>
    <row r="135" spans="1:2" x14ac:dyDescent="0.2">
      <c r="A135" s="1">
        <v>365</v>
      </c>
      <c r="B135" s="1">
        <f t="shared" si="2"/>
        <v>804.68725697480318</v>
      </c>
    </row>
    <row r="136" spans="1:2" x14ac:dyDescent="0.2">
      <c r="A136" s="1">
        <v>367.5</v>
      </c>
      <c r="B136" s="1">
        <f t="shared" si="2"/>
        <v>810.19881352942502</v>
      </c>
    </row>
    <row r="137" spans="1:2" x14ac:dyDescent="0.2">
      <c r="A137" s="1">
        <v>370</v>
      </c>
      <c r="B137" s="1">
        <f t="shared" si="2"/>
        <v>815.71037008404699</v>
      </c>
    </row>
    <row r="138" spans="1:2" x14ac:dyDescent="0.2">
      <c r="A138" s="1">
        <v>372.5</v>
      </c>
      <c r="B138" s="1">
        <f t="shared" si="2"/>
        <v>821.22192663866895</v>
      </c>
    </row>
    <row r="139" spans="1:2" x14ac:dyDescent="0.2">
      <c r="A139" s="1">
        <v>375</v>
      </c>
      <c r="B139" s="1">
        <f t="shared" si="2"/>
        <v>826.73348319329091</v>
      </c>
    </row>
    <row r="140" spans="1:2" x14ac:dyDescent="0.2">
      <c r="A140" s="1">
        <v>377.5</v>
      </c>
      <c r="B140" s="1">
        <f t="shared" si="2"/>
        <v>832.24503974791287</v>
      </c>
    </row>
    <row r="141" spans="1:2" x14ac:dyDescent="0.2">
      <c r="A141" s="1">
        <v>380</v>
      </c>
      <c r="B141" s="1">
        <f t="shared" si="2"/>
        <v>837.75659630253483</v>
      </c>
    </row>
    <row r="142" spans="1:2" x14ac:dyDescent="0.2">
      <c r="A142" s="1">
        <v>382.5</v>
      </c>
      <c r="B142" s="1">
        <f t="shared" si="2"/>
        <v>843.26815285715668</v>
      </c>
    </row>
    <row r="143" spans="1:2" x14ac:dyDescent="0.2">
      <c r="A143" s="1">
        <v>385</v>
      </c>
      <c r="B143" s="1">
        <f t="shared" si="2"/>
        <v>848.77970941177864</v>
      </c>
    </row>
    <row r="144" spans="1:2" x14ac:dyDescent="0.2">
      <c r="A144" s="1">
        <v>387.5</v>
      </c>
      <c r="B144" s="1">
        <f t="shared" si="2"/>
        <v>854.2912659664006</v>
      </c>
    </row>
    <row r="145" spans="1:2" x14ac:dyDescent="0.2">
      <c r="A145" s="1">
        <v>390</v>
      </c>
      <c r="B145" s="1">
        <f t="shared" si="2"/>
        <v>859.80282252102256</v>
      </c>
    </row>
    <row r="146" spans="1:2" x14ac:dyDescent="0.2">
      <c r="A146" s="1">
        <v>392.5</v>
      </c>
      <c r="B146" s="1">
        <f t="shared" si="2"/>
        <v>865.31437907564452</v>
      </c>
    </row>
    <row r="147" spans="1:2" x14ac:dyDescent="0.2">
      <c r="A147" s="1">
        <v>395</v>
      </c>
      <c r="B147" s="1">
        <f t="shared" si="2"/>
        <v>870.82593563026637</v>
      </c>
    </row>
    <row r="148" spans="1:2" x14ac:dyDescent="0.2">
      <c r="A148" s="1">
        <v>397.5</v>
      </c>
      <c r="B148" s="1">
        <f t="shared" si="2"/>
        <v>876.33749218488833</v>
      </c>
    </row>
    <row r="149" spans="1:2" x14ac:dyDescent="0.2">
      <c r="A149" s="1">
        <v>400</v>
      </c>
      <c r="B149" s="1">
        <f t="shared" si="2"/>
        <v>881.84904873951029</v>
      </c>
    </row>
    <row r="150" spans="1:2" x14ac:dyDescent="0.2">
      <c r="A150" s="1">
        <v>402.5</v>
      </c>
      <c r="B150" s="1">
        <f t="shared" si="2"/>
        <v>887.36060529413226</v>
      </c>
    </row>
    <row r="151" spans="1:2" x14ac:dyDescent="0.2">
      <c r="A151" s="1">
        <v>405</v>
      </c>
      <c r="B151" s="1">
        <f t="shared" si="2"/>
        <v>892.87216184875422</v>
      </c>
    </row>
    <row r="152" spans="1:2" x14ac:dyDescent="0.2">
      <c r="A152" s="1">
        <v>407.5</v>
      </c>
      <c r="B152" s="1">
        <f t="shared" si="2"/>
        <v>898.38371840337606</v>
      </c>
    </row>
    <row r="153" spans="1:2" x14ac:dyDescent="0.2">
      <c r="A153" s="1">
        <v>410</v>
      </c>
      <c r="B153" s="1">
        <f t="shared" si="2"/>
        <v>903.89527495799803</v>
      </c>
    </row>
    <row r="154" spans="1:2" x14ac:dyDescent="0.2">
      <c r="A154" s="1">
        <v>412.5</v>
      </c>
      <c r="B154" s="1">
        <f t="shared" si="2"/>
        <v>909.40683151261999</v>
      </c>
    </row>
    <row r="155" spans="1:2" x14ac:dyDescent="0.2">
      <c r="A155" s="1">
        <v>415</v>
      </c>
      <c r="B155" s="1">
        <f t="shared" si="2"/>
        <v>914.91838806724195</v>
      </c>
    </row>
    <row r="156" spans="1:2" x14ac:dyDescent="0.2">
      <c r="A156" s="1">
        <v>417.5</v>
      </c>
      <c r="B156" s="1">
        <f t="shared" si="2"/>
        <v>920.42994462186391</v>
      </c>
    </row>
    <row r="157" spans="1:2" x14ac:dyDescent="0.2">
      <c r="A157" s="1">
        <v>420</v>
      </c>
      <c r="B157" s="1">
        <f t="shared" si="2"/>
        <v>925.94150117648576</v>
      </c>
    </row>
    <row r="158" spans="1:2" x14ac:dyDescent="0.2">
      <c r="A158" s="1">
        <v>422.5</v>
      </c>
      <c r="B158" s="1">
        <f t="shared" si="2"/>
        <v>931.45305773110772</v>
      </c>
    </row>
    <row r="159" spans="1:2" x14ac:dyDescent="0.2">
      <c r="A159" s="1">
        <v>425</v>
      </c>
      <c r="B159" s="1">
        <f t="shared" si="2"/>
        <v>936.96461428572968</v>
      </c>
    </row>
    <row r="160" spans="1:2" x14ac:dyDescent="0.2">
      <c r="A160" s="1">
        <v>427.5</v>
      </c>
      <c r="B160" s="1">
        <f t="shared" si="2"/>
        <v>942.47617084035164</v>
      </c>
    </row>
    <row r="161" spans="1:2" x14ac:dyDescent="0.2">
      <c r="A161" s="1">
        <v>430</v>
      </c>
      <c r="B161" s="1">
        <f t="shared" si="2"/>
        <v>947.9877273949736</v>
      </c>
    </row>
    <row r="162" spans="1:2" x14ac:dyDescent="0.2">
      <c r="A162" s="1">
        <v>432.5</v>
      </c>
      <c r="B162" s="1">
        <f t="shared" si="2"/>
        <v>953.49928394959545</v>
      </c>
    </row>
    <row r="163" spans="1:2" x14ac:dyDescent="0.2">
      <c r="A163" s="1">
        <v>435</v>
      </c>
      <c r="B163" s="1">
        <f t="shared" si="2"/>
        <v>959.01084050421741</v>
      </c>
    </row>
    <row r="164" spans="1:2" x14ac:dyDescent="0.2">
      <c r="A164" s="1">
        <v>437.5</v>
      </c>
      <c r="B164" s="1">
        <f t="shared" si="2"/>
        <v>964.52239705883937</v>
      </c>
    </row>
    <row r="165" spans="1:2" x14ac:dyDescent="0.2">
      <c r="A165" s="1">
        <v>440</v>
      </c>
      <c r="B165" s="1">
        <f t="shared" si="2"/>
        <v>970.03395361346134</v>
      </c>
    </row>
    <row r="166" spans="1:2" x14ac:dyDescent="0.2">
      <c r="A166" s="1">
        <v>442.5</v>
      </c>
      <c r="B166" s="1">
        <f t="shared" si="2"/>
        <v>975.5455101680833</v>
      </c>
    </row>
    <row r="167" spans="1:2" x14ac:dyDescent="0.2">
      <c r="A167" s="1">
        <v>445</v>
      </c>
      <c r="B167" s="1">
        <f t="shared" si="2"/>
        <v>981.05706672270514</v>
      </c>
    </row>
    <row r="168" spans="1:2" x14ac:dyDescent="0.2">
      <c r="A168" s="1">
        <v>447.5</v>
      </c>
      <c r="B168" s="1">
        <f t="shared" si="2"/>
        <v>986.56862327732711</v>
      </c>
    </row>
    <row r="169" spans="1:2" x14ac:dyDescent="0.2">
      <c r="A169" s="1">
        <v>450</v>
      </c>
      <c r="B169" s="1">
        <f t="shared" si="2"/>
        <v>992.08017983194907</v>
      </c>
    </row>
    <row r="170" spans="1:2" x14ac:dyDescent="0.2">
      <c r="A170" s="1">
        <v>452.5</v>
      </c>
      <c r="B170" s="1">
        <f t="shared" si="2"/>
        <v>997.59173638657103</v>
      </c>
    </row>
    <row r="171" spans="1:2" x14ac:dyDescent="0.2">
      <c r="A171" s="1">
        <v>455</v>
      </c>
      <c r="B171" s="1">
        <f t="shared" si="2"/>
        <v>1003.103292941193</v>
      </c>
    </row>
    <row r="172" spans="1:2" x14ac:dyDescent="0.2">
      <c r="A172" s="1">
        <v>457.5</v>
      </c>
      <c r="B172" s="1">
        <f t="shared" si="2"/>
        <v>1008.614849495815</v>
      </c>
    </row>
    <row r="173" spans="1:2" x14ac:dyDescent="0.2">
      <c r="A173" s="1">
        <v>460</v>
      </c>
      <c r="B173" s="1">
        <f t="shared" si="2"/>
        <v>1014.1264060504368</v>
      </c>
    </row>
    <row r="174" spans="1:2" x14ac:dyDescent="0.2">
      <c r="A174" s="1">
        <v>462.5</v>
      </c>
      <c r="B174" s="1">
        <f t="shared" si="2"/>
        <v>1019.6379626050588</v>
      </c>
    </row>
    <row r="175" spans="1:2" x14ac:dyDescent="0.2">
      <c r="A175" s="1">
        <v>465</v>
      </c>
      <c r="B175" s="1">
        <f t="shared" si="2"/>
        <v>1025.1495191596807</v>
      </c>
    </row>
    <row r="176" spans="1:2" x14ac:dyDescent="0.2">
      <c r="A176" s="1">
        <v>467.5</v>
      </c>
      <c r="B176" s="1">
        <f t="shared" si="2"/>
        <v>1030.6610757143026</v>
      </c>
    </row>
    <row r="177" spans="1:2" x14ac:dyDescent="0.2">
      <c r="A177" s="1">
        <v>470</v>
      </c>
      <c r="B177" s="1">
        <f t="shared" si="2"/>
        <v>1036.1726322689246</v>
      </c>
    </row>
    <row r="178" spans="1:2" x14ac:dyDescent="0.2">
      <c r="A178" s="1">
        <v>472.5</v>
      </c>
      <c r="B178" s="1">
        <f t="shared" si="2"/>
        <v>1041.6841888235465</v>
      </c>
    </row>
    <row r="179" spans="1:2" x14ac:dyDescent="0.2">
      <c r="A179" s="1">
        <v>475</v>
      </c>
      <c r="B179" s="1">
        <f t="shared" si="2"/>
        <v>1047.1957453781686</v>
      </c>
    </row>
    <row r="180" spans="1:2" x14ac:dyDescent="0.2">
      <c r="A180" s="1">
        <v>477.5</v>
      </c>
      <c r="B180" s="1">
        <f t="shared" si="2"/>
        <v>1052.7073019327904</v>
      </c>
    </row>
    <row r="181" spans="1:2" x14ac:dyDescent="0.2">
      <c r="A181" s="1">
        <v>480</v>
      </c>
      <c r="B181" s="1">
        <f t="shared" si="2"/>
        <v>1058.2188584874123</v>
      </c>
    </row>
    <row r="182" spans="1:2" x14ac:dyDescent="0.2">
      <c r="A182" s="1">
        <v>482.5</v>
      </c>
      <c r="B182" s="1">
        <f t="shared" si="2"/>
        <v>1063.7304150420343</v>
      </c>
    </row>
    <row r="183" spans="1:2" x14ac:dyDescent="0.2">
      <c r="A183" s="1">
        <v>485</v>
      </c>
      <c r="B183" s="1">
        <f t="shared" si="2"/>
        <v>1069.2419715966562</v>
      </c>
    </row>
    <row r="184" spans="1:2" x14ac:dyDescent="0.2">
      <c r="A184" s="1">
        <v>487.5</v>
      </c>
      <c r="B184" s="1">
        <f t="shared" si="2"/>
        <v>1074.7535281512783</v>
      </c>
    </row>
    <row r="185" spans="1:2" x14ac:dyDescent="0.2">
      <c r="A185" s="1">
        <v>490</v>
      </c>
      <c r="B185" s="1">
        <f t="shared" si="2"/>
        <v>1080.2650847059001</v>
      </c>
    </row>
    <row r="186" spans="1:2" x14ac:dyDescent="0.2">
      <c r="A186" s="1">
        <v>492.5</v>
      </c>
      <c r="B186" s="1">
        <f t="shared" si="2"/>
        <v>1085.776641260522</v>
      </c>
    </row>
    <row r="187" spans="1:2" x14ac:dyDescent="0.2">
      <c r="A187" s="1">
        <v>495</v>
      </c>
      <c r="B187" s="1">
        <f t="shared" si="2"/>
        <v>1091.288197815144</v>
      </c>
    </row>
    <row r="188" spans="1:2" x14ac:dyDescent="0.2">
      <c r="A188" s="1">
        <v>497.5</v>
      </c>
      <c r="B188" s="1">
        <f t="shared" si="2"/>
        <v>1096.7997543697659</v>
      </c>
    </row>
    <row r="189" spans="1:2" x14ac:dyDescent="0.2">
      <c r="A189" s="1">
        <v>500</v>
      </c>
      <c r="B189" s="1">
        <f t="shared" si="2"/>
        <v>1102.311310924388</v>
      </c>
    </row>
    <row r="190" spans="1:2" x14ac:dyDescent="0.2">
      <c r="A190" s="1">
        <v>502.5</v>
      </c>
      <c r="B190" s="1">
        <f t="shared" si="2"/>
        <v>1107.8228674790098</v>
      </c>
    </row>
    <row r="191" spans="1:2" x14ac:dyDescent="0.2">
      <c r="A191" s="1">
        <v>505</v>
      </c>
      <c r="B191" s="1">
        <f t="shared" si="2"/>
        <v>1113.3344240336316</v>
      </c>
    </row>
    <row r="192" spans="1:2" x14ac:dyDescent="0.2">
      <c r="A192" s="1">
        <v>507.5</v>
      </c>
      <c r="B192" s="1">
        <f t="shared" si="2"/>
        <v>1118.8459805882537</v>
      </c>
    </row>
    <row r="193" spans="1:2" x14ac:dyDescent="0.2">
      <c r="A193" s="1">
        <v>510</v>
      </c>
      <c r="B193" s="1">
        <f t="shared" si="2"/>
        <v>1124.3575371428756</v>
      </c>
    </row>
    <row r="194" spans="1:2" x14ac:dyDescent="0.2">
      <c r="A194" s="1">
        <v>512.5</v>
      </c>
      <c r="B194" s="1">
        <f t="shared" si="2"/>
        <v>1129.8690936974976</v>
      </c>
    </row>
    <row r="195" spans="1:2" x14ac:dyDescent="0.2">
      <c r="A195" s="1">
        <v>515</v>
      </c>
      <c r="B195" s="1">
        <f t="shared" ref="B195:B241" si="3">CONVERT(A195*1000, "g", "lbm")</f>
        <v>1135.3806502521195</v>
      </c>
    </row>
    <row r="196" spans="1:2" x14ac:dyDescent="0.2">
      <c r="A196" s="1">
        <v>517.5</v>
      </c>
      <c r="B196" s="1">
        <f t="shared" si="3"/>
        <v>1140.8922068067413</v>
      </c>
    </row>
    <row r="197" spans="1:2" x14ac:dyDescent="0.2">
      <c r="A197" s="1">
        <v>520</v>
      </c>
      <c r="B197" s="1">
        <f t="shared" si="3"/>
        <v>1146.4037633613634</v>
      </c>
    </row>
    <row r="198" spans="1:2" x14ac:dyDescent="0.2">
      <c r="A198" s="1">
        <v>522.5</v>
      </c>
      <c r="B198" s="1">
        <f t="shared" si="3"/>
        <v>1151.9153199159853</v>
      </c>
    </row>
    <row r="199" spans="1:2" x14ac:dyDescent="0.2">
      <c r="A199" s="1">
        <v>525</v>
      </c>
      <c r="B199" s="1">
        <f t="shared" si="3"/>
        <v>1157.4268764706073</v>
      </c>
    </row>
    <row r="200" spans="1:2" x14ac:dyDescent="0.2">
      <c r="A200" s="1">
        <v>527.5</v>
      </c>
      <c r="B200" s="1">
        <f t="shared" si="3"/>
        <v>1162.9384330252292</v>
      </c>
    </row>
    <row r="201" spans="1:2" x14ac:dyDescent="0.2">
      <c r="A201" s="1">
        <v>530</v>
      </c>
      <c r="B201" s="1">
        <f t="shared" si="3"/>
        <v>1168.449989579851</v>
      </c>
    </row>
    <row r="202" spans="1:2" x14ac:dyDescent="0.2">
      <c r="A202" s="1">
        <v>532.5</v>
      </c>
      <c r="B202" s="1">
        <f t="shared" si="3"/>
        <v>1173.9615461344731</v>
      </c>
    </row>
    <row r="203" spans="1:2" x14ac:dyDescent="0.2">
      <c r="A203" s="1">
        <v>535</v>
      </c>
      <c r="B203" s="1">
        <f t="shared" si="3"/>
        <v>1179.473102689095</v>
      </c>
    </row>
    <row r="204" spans="1:2" x14ac:dyDescent="0.2">
      <c r="A204" s="1">
        <v>537.5</v>
      </c>
      <c r="B204" s="1">
        <f t="shared" si="3"/>
        <v>1184.984659243717</v>
      </c>
    </row>
    <row r="205" spans="1:2" x14ac:dyDescent="0.2">
      <c r="A205" s="1">
        <v>540</v>
      </c>
      <c r="B205" s="1">
        <f t="shared" si="3"/>
        <v>1190.4962157983389</v>
      </c>
    </row>
    <row r="206" spans="1:2" x14ac:dyDescent="0.2">
      <c r="A206" s="1">
        <v>542.5</v>
      </c>
      <c r="B206" s="1">
        <f t="shared" si="3"/>
        <v>1196.0077723529607</v>
      </c>
    </row>
    <row r="207" spans="1:2" x14ac:dyDescent="0.2">
      <c r="A207" s="1">
        <v>545</v>
      </c>
      <c r="B207" s="1">
        <f t="shared" si="3"/>
        <v>1201.5193289075828</v>
      </c>
    </row>
    <row r="208" spans="1:2" x14ac:dyDescent="0.2">
      <c r="A208" s="1">
        <v>547.5</v>
      </c>
      <c r="B208" s="1">
        <f t="shared" si="3"/>
        <v>1207.0308854622047</v>
      </c>
    </row>
    <row r="209" spans="1:2" x14ac:dyDescent="0.2">
      <c r="A209" s="1">
        <v>550</v>
      </c>
      <c r="B209" s="1">
        <f t="shared" si="3"/>
        <v>1212.5424420168267</v>
      </c>
    </row>
    <row r="210" spans="1:2" x14ac:dyDescent="0.2">
      <c r="A210" s="1">
        <v>552.5</v>
      </c>
      <c r="B210" s="1">
        <f t="shared" si="3"/>
        <v>1218.0539985714486</v>
      </c>
    </row>
    <row r="211" spans="1:2" x14ac:dyDescent="0.2">
      <c r="A211" s="1">
        <v>555</v>
      </c>
      <c r="B211" s="1">
        <f t="shared" si="3"/>
        <v>1223.5655551260704</v>
      </c>
    </row>
    <row r="212" spans="1:2" x14ac:dyDescent="0.2">
      <c r="A212" s="1">
        <v>557.5</v>
      </c>
      <c r="B212" s="1">
        <f t="shared" si="3"/>
        <v>1229.0771116806925</v>
      </c>
    </row>
    <row r="213" spans="1:2" x14ac:dyDescent="0.2">
      <c r="A213" s="1">
        <v>560</v>
      </c>
      <c r="B213" s="1">
        <f t="shared" si="3"/>
        <v>1234.5886682353143</v>
      </c>
    </row>
    <row r="214" spans="1:2" x14ac:dyDescent="0.2">
      <c r="A214" s="1">
        <v>562.5</v>
      </c>
      <c r="B214" s="1">
        <f t="shared" si="3"/>
        <v>1240.1002247899364</v>
      </c>
    </row>
    <row r="215" spans="1:2" x14ac:dyDescent="0.2">
      <c r="A215" s="1">
        <v>565</v>
      </c>
      <c r="B215" s="1">
        <f t="shared" si="3"/>
        <v>1245.6117813445583</v>
      </c>
    </row>
    <row r="216" spans="1:2" x14ac:dyDescent="0.2">
      <c r="A216" s="1">
        <v>567.5</v>
      </c>
      <c r="B216" s="1">
        <f t="shared" si="3"/>
        <v>1251.1233378991801</v>
      </c>
    </row>
    <row r="217" spans="1:2" x14ac:dyDescent="0.2">
      <c r="A217" s="1">
        <v>570</v>
      </c>
      <c r="B217" s="1">
        <f t="shared" si="3"/>
        <v>1256.6348944538022</v>
      </c>
    </row>
    <row r="218" spans="1:2" x14ac:dyDescent="0.2">
      <c r="A218" s="1">
        <v>572.5</v>
      </c>
      <c r="B218" s="1">
        <f t="shared" si="3"/>
        <v>1262.146451008424</v>
      </c>
    </row>
    <row r="219" spans="1:2" x14ac:dyDescent="0.2">
      <c r="A219" s="1">
        <v>575</v>
      </c>
      <c r="B219" s="1">
        <f t="shared" si="3"/>
        <v>1267.6580075630461</v>
      </c>
    </row>
    <row r="220" spans="1:2" x14ac:dyDescent="0.2">
      <c r="A220" s="1">
        <v>577.5</v>
      </c>
      <c r="B220" s="1">
        <f t="shared" si="3"/>
        <v>1273.169564117668</v>
      </c>
    </row>
    <row r="221" spans="1:2" x14ac:dyDescent="0.2">
      <c r="A221" s="1">
        <v>580</v>
      </c>
      <c r="B221" s="1">
        <f t="shared" si="3"/>
        <v>1278.6811206722898</v>
      </c>
    </row>
    <row r="222" spans="1:2" x14ac:dyDescent="0.2">
      <c r="A222" s="1">
        <v>582.5</v>
      </c>
      <c r="B222" s="1">
        <f t="shared" si="3"/>
        <v>1284.1926772269119</v>
      </c>
    </row>
    <row r="223" spans="1:2" x14ac:dyDescent="0.2">
      <c r="A223" s="1">
        <v>585</v>
      </c>
      <c r="B223" s="1">
        <f t="shared" si="3"/>
        <v>1289.7042337815337</v>
      </c>
    </row>
    <row r="224" spans="1:2" x14ac:dyDescent="0.2">
      <c r="A224" s="1">
        <v>587.5</v>
      </c>
      <c r="B224" s="1">
        <f t="shared" si="3"/>
        <v>1295.2157903361558</v>
      </c>
    </row>
    <row r="225" spans="1:2" x14ac:dyDescent="0.2">
      <c r="A225" s="1">
        <v>590</v>
      </c>
      <c r="B225" s="1">
        <f t="shared" si="3"/>
        <v>1300.7273468907777</v>
      </c>
    </row>
    <row r="226" spans="1:2" x14ac:dyDescent="0.2">
      <c r="A226" s="1">
        <v>592.5</v>
      </c>
      <c r="B226" s="1">
        <f t="shared" si="3"/>
        <v>1306.2389034453997</v>
      </c>
    </row>
    <row r="227" spans="1:2" x14ac:dyDescent="0.2">
      <c r="A227" s="1">
        <v>595</v>
      </c>
      <c r="B227" s="1">
        <f t="shared" si="3"/>
        <v>1311.7504600000216</v>
      </c>
    </row>
    <row r="228" spans="1:2" x14ac:dyDescent="0.2">
      <c r="A228" s="1">
        <v>597.5</v>
      </c>
      <c r="B228" s="1">
        <f t="shared" si="3"/>
        <v>1317.2620165546434</v>
      </c>
    </row>
    <row r="229" spans="1:2" x14ac:dyDescent="0.2">
      <c r="A229" s="1">
        <v>600</v>
      </c>
      <c r="B229" s="1">
        <f t="shared" si="3"/>
        <v>1322.7735731092655</v>
      </c>
    </row>
    <row r="230" spans="1:2" x14ac:dyDescent="0.2">
      <c r="A230" s="1">
        <v>602.5</v>
      </c>
      <c r="B230" s="1">
        <f t="shared" si="3"/>
        <v>1328.2851296638873</v>
      </c>
    </row>
    <row r="231" spans="1:2" x14ac:dyDescent="0.2">
      <c r="A231" s="1">
        <v>605</v>
      </c>
      <c r="B231" s="1">
        <f t="shared" si="3"/>
        <v>1333.7966862185094</v>
      </c>
    </row>
    <row r="232" spans="1:2" x14ac:dyDescent="0.2">
      <c r="A232" s="1">
        <v>607.5</v>
      </c>
      <c r="B232" s="1">
        <f t="shared" si="3"/>
        <v>1339.3082427731313</v>
      </c>
    </row>
    <row r="233" spans="1:2" x14ac:dyDescent="0.2">
      <c r="A233" s="1">
        <v>610</v>
      </c>
      <c r="B233" s="1">
        <f t="shared" si="3"/>
        <v>1344.8197993277531</v>
      </c>
    </row>
    <row r="234" spans="1:2" x14ac:dyDescent="0.2">
      <c r="A234" s="1">
        <v>612.5</v>
      </c>
      <c r="B234" s="1">
        <f t="shared" si="3"/>
        <v>1350.3313558823752</v>
      </c>
    </row>
    <row r="235" spans="1:2" x14ac:dyDescent="0.2">
      <c r="A235" s="1">
        <v>615</v>
      </c>
      <c r="B235" s="1">
        <f t="shared" si="3"/>
        <v>1355.842912436997</v>
      </c>
    </row>
    <row r="236" spans="1:2" x14ac:dyDescent="0.2">
      <c r="A236" s="1">
        <v>617.5</v>
      </c>
      <c r="B236" s="1">
        <f t="shared" si="3"/>
        <v>1361.3544689916191</v>
      </c>
    </row>
    <row r="237" spans="1:2" x14ac:dyDescent="0.2">
      <c r="A237" s="1">
        <v>620</v>
      </c>
      <c r="B237" s="1">
        <f t="shared" si="3"/>
        <v>1366.866025546241</v>
      </c>
    </row>
    <row r="238" spans="1:2" x14ac:dyDescent="0.2">
      <c r="A238" s="1">
        <v>622.5</v>
      </c>
      <c r="B238" s="1">
        <f t="shared" si="3"/>
        <v>1372.3775821008628</v>
      </c>
    </row>
    <row r="239" spans="1:2" x14ac:dyDescent="0.2">
      <c r="A239" s="1">
        <v>625</v>
      </c>
      <c r="B239" s="1">
        <f t="shared" si="3"/>
        <v>1377.8891386554849</v>
      </c>
    </row>
    <row r="240" spans="1:2" x14ac:dyDescent="0.2">
      <c r="A240" s="1">
        <v>627.5</v>
      </c>
      <c r="B240" s="1">
        <f t="shared" si="3"/>
        <v>1383.4006952101067</v>
      </c>
    </row>
    <row r="241" spans="1:2" x14ac:dyDescent="0.2">
      <c r="A241" s="1">
        <v>630</v>
      </c>
      <c r="B241" s="1">
        <f t="shared" si="3"/>
        <v>1388.9122517647288</v>
      </c>
    </row>
    <row r="242" spans="1:2" x14ac:dyDescent="0.2">
      <c r="A242">
        <v>0</v>
      </c>
    </row>
    <row r="243" spans="1:2" x14ac:dyDescent="0.2">
      <c r="A243">
        <v>0</v>
      </c>
    </row>
    <row r="244" spans="1:2" x14ac:dyDescent="0.2">
      <c r="A244">
        <v>0</v>
      </c>
    </row>
    <row r="245" spans="1:2" x14ac:dyDescent="0.2">
      <c r="A245">
        <v>0</v>
      </c>
    </row>
    <row r="246" spans="1:2" x14ac:dyDescent="0.2">
      <c r="A246">
        <v>0</v>
      </c>
    </row>
    <row r="247" spans="1:2" x14ac:dyDescent="0.2">
      <c r="A247">
        <v>0</v>
      </c>
    </row>
    <row r="248" spans="1:2" x14ac:dyDescent="0.2">
      <c r="A248">
        <v>0</v>
      </c>
    </row>
    <row r="249" spans="1:2" x14ac:dyDescent="0.2">
      <c r="A249">
        <v>0</v>
      </c>
    </row>
    <row r="250" spans="1:2" x14ac:dyDescent="0.2">
      <c r="A250">
        <v>0</v>
      </c>
    </row>
    <row r="251" spans="1:2" x14ac:dyDescent="0.2">
      <c r="A251">
        <v>0</v>
      </c>
    </row>
    <row r="252" spans="1:2" x14ac:dyDescent="0.2">
      <c r="A252">
        <v>0</v>
      </c>
    </row>
    <row r="253" spans="1:2" x14ac:dyDescent="0.2">
      <c r="A253">
        <v>0</v>
      </c>
    </row>
    <row r="254" spans="1:2" x14ac:dyDescent="0.2">
      <c r="A254">
        <v>0</v>
      </c>
    </row>
    <row r="255" spans="1:2" x14ac:dyDescent="0.2">
      <c r="A255">
        <v>0</v>
      </c>
    </row>
    <row r="256" spans="1:2" x14ac:dyDescent="0.2">
      <c r="A256">
        <v>0</v>
      </c>
    </row>
    <row r="257" spans="1:1" x14ac:dyDescent="0.2">
      <c r="A257">
        <v>0</v>
      </c>
    </row>
    <row r="258" spans="1:1" x14ac:dyDescent="0.2">
      <c r="A258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FT46"/>
  <sheetViews>
    <sheetView tabSelected="1" zoomScaleNormal="100" workbookViewId="0">
      <pane xSplit="9" ySplit="9" topLeftCell="J10" activePane="bottomRight" state="frozen"/>
      <selection activeCell="A2" sqref="A2"/>
      <selection pane="topRight" activeCell="J2" sqref="J2"/>
      <selection pane="bottomLeft" activeCell="A10" sqref="A10"/>
      <selection pane="bottomRight" activeCell="AB21" sqref="AB21"/>
    </sheetView>
  </sheetViews>
  <sheetFormatPr defaultColWidth="9.140625" defaultRowHeight="12.75" x14ac:dyDescent="0.2"/>
  <cols>
    <col min="1" max="1" width="5.85546875" style="33" hidden="1" customWidth="1"/>
    <col min="2" max="2" width="3.5703125" style="32" customWidth="1"/>
    <col min="3" max="3" width="18.5703125" style="32" customWidth="1"/>
    <col min="4" max="4" width="6" style="32" customWidth="1"/>
    <col min="5" max="5" width="15.140625" style="32" customWidth="1"/>
    <col min="6" max="6" width="6" style="32" customWidth="1"/>
    <col min="7" max="7" width="6.140625" style="32" customWidth="1"/>
    <col min="8" max="8" width="7.7109375" style="32" customWidth="1"/>
    <col min="9" max="9" width="4.42578125" style="32" customWidth="1"/>
    <col min="10" max="10" width="6.140625" style="40" customWidth="1"/>
    <col min="11" max="11" width="9" style="32" customWidth="1"/>
    <col min="12" max="12" width="7.140625" style="32" customWidth="1"/>
    <col min="13" max="13" width="7" style="32" customWidth="1"/>
    <col min="14" max="14" width="7.140625" style="32" hidden="1" customWidth="1"/>
    <col min="15" max="15" width="7.140625" style="32" customWidth="1"/>
    <col min="16" max="16" width="4.7109375" style="206" customWidth="1"/>
    <col min="17" max="19" width="7.140625" style="32" customWidth="1"/>
    <col min="20" max="20" width="7.140625" style="32" hidden="1" customWidth="1"/>
    <col min="21" max="25" width="7.140625" style="32" customWidth="1"/>
    <col min="26" max="26" width="7.140625" style="32" hidden="1" customWidth="1"/>
    <col min="27" max="27" width="7.140625" style="32" customWidth="1"/>
    <col min="28" max="28" width="8.7109375" style="32" customWidth="1"/>
    <col min="29" max="30" width="7.85546875" style="32" customWidth="1"/>
    <col min="31" max="31" width="5.140625" style="32" customWidth="1"/>
    <col min="32" max="32" width="11.140625" style="32" customWidth="1"/>
    <col min="33" max="33" width="4.85546875" style="33" customWidth="1"/>
    <col min="34" max="34" width="11.85546875" style="65" customWidth="1"/>
    <col min="35" max="35" width="10.7109375" style="1" customWidth="1"/>
    <col min="36" max="36" width="6.5703125" style="40" hidden="1" customWidth="1"/>
    <col min="37" max="38" width="9.140625" style="33" hidden="1" customWidth="1"/>
    <col min="39" max="39" width="8.28515625" style="32" hidden="1" customWidth="1"/>
    <col min="40" max="40" width="8" style="32" hidden="1" customWidth="1"/>
    <col min="41" max="42" width="7.140625" style="32" hidden="1" customWidth="1"/>
    <col min="43" max="43" width="7.5703125" style="32" hidden="1" customWidth="1"/>
    <col min="44" max="44" width="18.5703125" style="167" hidden="1" customWidth="1"/>
    <col min="45" max="45" width="7.140625" style="32" customWidth="1"/>
    <col min="46" max="46" width="8.140625" style="32" customWidth="1"/>
    <col min="47" max="47" width="4.28515625" style="32" customWidth="1"/>
    <col min="48" max="48" width="9.140625" style="33" customWidth="1"/>
    <col min="49" max="49" width="9.140625" style="163" customWidth="1"/>
    <col min="50" max="50" width="9.140625" style="33" customWidth="1"/>
    <col min="51" max="51" width="18.5703125" style="167" customWidth="1"/>
    <col min="52" max="52" width="9.140625" style="29" customWidth="1"/>
    <col min="53" max="53" width="12.85546875" style="29" customWidth="1"/>
    <col min="54" max="65" width="9.140625" style="29" customWidth="1"/>
    <col min="66" max="66" width="9.140625" style="41" customWidth="1"/>
    <col min="67" max="105" width="9.140625" style="33" customWidth="1"/>
    <col min="106" max="16384" width="9.140625" style="33"/>
  </cols>
  <sheetData>
    <row r="1" spans="1:176" s="20" customFormat="1" ht="24.75" hidden="1" customHeight="1" thickBot="1" x14ac:dyDescent="0.25">
      <c r="A1" s="18">
        <f ca="1">COUNTIF(INDIRECT(AG1),RIGHT(B8,1))</f>
        <v>37</v>
      </c>
      <c r="B1" s="378" t="s">
        <v>167</v>
      </c>
      <c r="C1" s="383"/>
      <c r="D1" s="383"/>
      <c r="E1" s="379"/>
      <c r="F1" s="378" t="s">
        <v>29</v>
      </c>
      <c r="G1" s="379"/>
      <c r="H1" s="378" t="s">
        <v>41</v>
      </c>
      <c r="I1" s="379"/>
      <c r="J1" s="42">
        <f ca="1">IF(ISERROR(A2),1,0)</f>
        <v>1</v>
      </c>
      <c r="K1" s="19">
        <v>0</v>
      </c>
      <c r="L1" s="19"/>
      <c r="M1" s="19"/>
      <c r="N1" s="19"/>
      <c r="O1" s="19"/>
      <c r="P1" s="201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00" t="str">
        <f>CONCATENATE("$b$9:$b$",$AF$7)</f>
        <v>$b$9:$b$46</v>
      </c>
      <c r="AH1" s="19"/>
      <c r="AI1" s="107" t="str">
        <f>CONCATENATE("Setup!O7:O",COUNTA(Setup!O:O)+4)</f>
        <v>Setup!O7:O12</v>
      </c>
      <c r="AJ1" s="19"/>
      <c r="AM1" s="19"/>
      <c r="AN1" s="19"/>
      <c r="AQ1" s="19"/>
      <c r="AR1" s="164"/>
      <c r="AS1" s="19"/>
      <c r="AT1" s="19"/>
      <c r="AU1" s="19"/>
      <c r="AW1" s="159"/>
      <c r="AY1" s="164"/>
      <c r="AZ1" s="108" t="s">
        <v>68</v>
      </c>
      <c r="BA1" s="107" t="str">
        <f>VLOOKUP($AZ$1,$AZ$2:$BM$6,2,FALSE)</f>
        <v>$BB$1:$BM$1</v>
      </c>
      <c r="BB1" s="107" t="str">
        <f>VLOOKUP($AZ$1,$AZ$2:$BM$6,3,FALSE)</f>
        <v xml:space="preserve"> Squat  1</v>
      </c>
      <c r="BC1" s="107" t="str">
        <f>VLOOKUP($AZ$1,$AZ$2:$BM$6,4,FALSE)</f>
        <v xml:space="preserve"> Squat  2</v>
      </c>
      <c r="BD1" s="107" t="str">
        <f>VLOOKUP($AZ$1,$AZ$2:$BM$6,5,FALSE)</f>
        <v xml:space="preserve"> Squat  3</v>
      </c>
      <c r="BE1" s="107" t="str">
        <f>VLOOKUP($AZ$1,$AZ$2:$BM$6,6,FALSE)</f>
        <v xml:space="preserve"> Squat  4</v>
      </c>
      <c r="BF1" s="107" t="str">
        <f>VLOOKUP($AZ$1,$AZ$2:$BM$6,7,FALSE)</f>
        <v>Bench 1</v>
      </c>
      <c r="BG1" s="107" t="str">
        <f>VLOOKUP($AZ$1,$AZ$2:$BM$6,8,FALSE)</f>
        <v>Bench 2</v>
      </c>
      <c r="BH1" s="107" t="str">
        <f>VLOOKUP($AZ$1,$AZ$2:$BM$6,9,FALSE)</f>
        <v>Bench 3</v>
      </c>
      <c r="BI1" s="107" t="str">
        <f>VLOOKUP($AZ$1,$AZ$2:$BM$6,10,FALSE)</f>
        <v>Bench 4</v>
      </c>
      <c r="BJ1" s="107" t="str">
        <f>VLOOKUP($AZ$1,$AZ$2:$BM$6,11,FALSE)</f>
        <v>Deadlift 1</v>
      </c>
      <c r="BK1" s="107" t="str">
        <f>VLOOKUP($AZ$1,$AZ$2:$BM$6,12,FALSE)</f>
        <v>Deadlift 2</v>
      </c>
      <c r="BL1" s="107" t="str">
        <f>VLOOKUP($AZ$1,$AZ$2:$BM$6,13,FALSE)</f>
        <v>Deadlift 3</v>
      </c>
      <c r="BM1" s="107" t="str">
        <f>VLOOKUP($AZ$1,$AZ$2:$BM$6,14,FALSE)</f>
        <v>Deadlift 4</v>
      </c>
      <c r="BN1" s="21"/>
      <c r="BP1" s="24" t="s">
        <v>32</v>
      </c>
      <c r="BQ1" s="24">
        <f>IF(BP1=RIGHT($B$8,1),0,BQ8+1)</f>
        <v>0</v>
      </c>
    </row>
    <row r="2" spans="1:176" s="28" customFormat="1" ht="40.5" customHeight="1" thickBot="1" x14ac:dyDescent="0.25">
      <c r="A2" s="22" t="e">
        <f ca="1">CONCATENATE(CHOOSE(MATCH(B3,K8:Z8,0),"K","L","M","N","O","P","Q","R","S","T","U","V","W","X","Y","Z"),MATCH(B2,INDIRECT(A7),0)+9,)</f>
        <v>#N/A</v>
      </c>
      <c r="B2" s="392"/>
      <c r="C2" s="393"/>
      <c r="D2" s="393"/>
      <c r="E2" s="394"/>
      <c r="F2" s="380" t="e">
        <f ca="1">INDIRECT(CONCATENATE("E",A4))</f>
        <v>#N/A</v>
      </c>
      <c r="G2" s="381"/>
      <c r="H2" s="217" t="e">
        <f ca="1">IF(INDIRECT(CONCATENATE("G",A4))="SHW","SHW",ROUND(INDIRECT(CONCATENATE("G",A4)),1))</f>
        <v>#N/A</v>
      </c>
      <c r="I2" s="81" t="e">
        <f ca="1">IF(H2="SHW","",IF(G8="WtCls (Kg)","Kg","Lb"))</f>
        <v>#N/A</v>
      </c>
      <c r="J2" s="229">
        <v>41365.06640625</v>
      </c>
      <c r="K2" s="23"/>
      <c r="L2" s="23"/>
      <c r="M2" s="23"/>
      <c r="N2" s="24"/>
      <c r="O2" s="25"/>
      <c r="P2" s="202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384"/>
      <c r="AF2" s="98"/>
      <c r="AG2" s="98"/>
      <c r="AH2" s="99"/>
      <c r="AI2" s="27"/>
      <c r="AJ2" s="24"/>
      <c r="AK2" s="27"/>
      <c r="AL2" s="27"/>
      <c r="AM2" s="24"/>
      <c r="AN2" s="24"/>
      <c r="AQ2" s="24"/>
      <c r="AR2" s="165"/>
      <c r="AS2" s="24"/>
      <c r="AT2" s="24"/>
      <c r="AU2" s="24"/>
      <c r="AV2" s="27"/>
      <c r="AW2" s="160"/>
      <c r="AX2" s="27"/>
      <c r="AY2" s="165"/>
      <c r="AZ2" s="111" t="s">
        <v>15</v>
      </c>
      <c r="BA2" s="111" t="s">
        <v>69</v>
      </c>
      <c r="BB2" s="104" t="s">
        <v>12</v>
      </c>
      <c r="BC2" s="104" t="s">
        <v>13</v>
      </c>
      <c r="BD2" s="104" t="s">
        <v>14</v>
      </c>
      <c r="BE2" s="104" t="s">
        <v>113</v>
      </c>
      <c r="BF2" s="112"/>
      <c r="BG2" s="104"/>
      <c r="BH2" s="104"/>
      <c r="BI2" s="104"/>
      <c r="BJ2" s="104"/>
      <c r="BK2" s="104"/>
      <c r="BL2" s="104"/>
      <c r="BM2" s="104"/>
      <c r="BN2" s="27"/>
      <c r="BO2" s="27"/>
      <c r="BP2" s="24" t="s">
        <v>33</v>
      </c>
      <c r="BQ2" s="24">
        <f>IF(BP2=RIGHT($B$8,1),0,BQ1+1)</f>
        <v>1</v>
      </c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</row>
    <row r="3" spans="1:176" ht="25.5" customHeight="1" thickBot="1" x14ac:dyDescent="0.25">
      <c r="A3" s="31">
        <f>MATCH(B3,K8:Z8,0)+10</f>
        <v>25</v>
      </c>
      <c r="B3" s="388" t="s">
        <v>19</v>
      </c>
      <c r="C3" s="389"/>
      <c r="D3" s="386" t="e">
        <f ca="1">INDIRECT(A2)</f>
        <v>#N/A</v>
      </c>
      <c r="E3" s="387"/>
      <c r="F3" s="387"/>
      <c r="G3" s="96" t="str">
        <f>Setup!H4</f>
        <v>Kg</v>
      </c>
      <c r="H3" s="82" t="e">
        <f ca="1">ABS(D3)</f>
        <v>#N/A</v>
      </c>
      <c r="I3" s="215" t="e">
        <f ca="1">-1*H3</f>
        <v>#N/A</v>
      </c>
      <c r="J3" s="229">
        <v>117</v>
      </c>
      <c r="K3" s="24"/>
      <c r="L3" s="24"/>
      <c r="M3" s="24"/>
      <c r="N3" s="24"/>
      <c r="O3" s="25"/>
      <c r="P3" s="203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385"/>
      <c r="AF3" s="99"/>
      <c r="AG3" s="98"/>
      <c r="AH3" s="99"/>
      <c r="AI3" s="64"/>
      <c r="AJ3" s="24"/>
      <c r="AK3" s="27"/>
      <c r="AL3" s="27"/>
      <c r="AM3" s="24"/>
      <c r="AN3" s="24"/>
      <c r="AQ3" s="24"/>
      <c r="AR3" s="165"/>
      <c r="AS3" s="24"/>
      <c r="AT3" s="24"/>
      <c r="AU3" s="24"/>
      <c r="AV3" s="27"/>
      <c r="AW3" s="160"/>
      <c r="AX3" s="27"/>
      <c r="AY3" s="165"/>
      <c r="AZ3" s="111" t="s">
        <v>21</v>
      </c>
      <c r="BA3" s="111" t="s">
        <v>69</v>
      </c>
      <c r="BB3" s="104" t="s">
        <v>17</v>
      </c>
      <c r="BC3" s="104" t="s">
        <v>18</v>
      </c>
      <c r="BD3" s="104" t="s">
        <v>19</v>
      </c>
      <c r="BE3" s="104" t="s">
        <v>20</v>
      </c>
      <c r="BF3" s="104"/>
      <c r="BG3" s="104"/>
      <c r="BH3" s="104"/>
      <c r="BI3" s="104"/>
      <c r="BJ3" s="104"/>
      <c r="BK3" s="104"/>
      <c r="BL3" s="104"/>
      <c r="BM3" s="104"/>
      <c r="BN3" s="104"/>
      <c r="BO3" s="27"/>
      <c r="BP3" s="24" t="s">
        <v>34</v>
      </c>
      <c r="BQ3" s="24">
        <f t="shared" ref="BQ3:BQ8" si="0">IF(BP3=RIGHT($B$8,1),0,BQ2+1)</f>
        <v>2</v>
      </c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</row>
    <row r="4" spans="1:176" s="35" customFormat="1" ht="25.5" customHeight="1" thickBot="1" x14ac:dyDescent="0.25">
      <c r="A4" s="34" t="e">
        <f ca="1">MATCH(B2,INDIRECT(A7),0)+9</f>
        <v>#N/A</v>
      </c>
      <c r="B4" s="390" t="str">
        <f ca="1">IF(LEFT(B3,1)="D","",CONCATENATE("Rack - ",IF(LEFT(B3,2)=" S",INDIRECT(CONCATENATE("J",A4)),INDIRECT(CONCATENATE("P",A4)))))</f>
        <v/>
      </c>
      <c r="C4" s="391"/>
      <c r="D4" s="382" t="e">
        <f ca="1">IF(G4="Lb",2.2046*D3,D3/2.2046)</f>
        <v>#N/A</v>
      </c>
      <c r="E4" s="382"/>
      <c r="F4" s="382"/>
      <c r="G4" s="212" t="str">
        <f>IF(G3="Kg","Lb","Kg")</f>
        <v>Lb</v>
      </c>
      <c r="H4" s="213" t="s">
        <v>211</v>
      </c>
      <c r="I4" s="216"/>
      <c r="J4" s="229">
        <v>12563.620000000003</v>
      </c>
      <c r="K4" s="24"/>
      <c r="L4" s="24"/>
      <c r="M4" s="24"/>
      <c r="N4" s="24"/>
      <c r="O4" s="24"/>
      <c r="P4" s="203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385"/>
      <c r="AF4" s="98"/>
      <c r="AG4" s="98"/>
      <c r="AH4" s="99"/>
      <c r="AI4" s="27"/>
      <c r="AJ4" s="24"/>
      <c r="AK4" s="27"/>
      <c r="AL4" s="27"/>
      <c r="AM4" s="24"/>
      <c r="AN4" s="24"/>
      <c r="AQ4" s="24"/>
      <c r="AR4" s="165"/>
      <c r="AS4" s="24"/>
      <c r="AT4" s="24"/>
      <c r="AU4" s="24"/>
      <c r="AV4" s="27"/>
      <c r="AW4" s="160"/>
      <c r="AX4" s="27"/>
      <c r="AY4" s="165"/>
      <c r="AZ4" s="111" t="s">
        <v>11</v>
      </c>
      <c r="BA4" s="111" t="s">
        <v>69</v>
      </c>
      <c r="BB4" s="104" t="s">
        <v>22</v>
      </c>
      <c r="BC4" s="104" t="s">
        <v>23</v>
      </c>
      <c r="BD4" s="104" t="s">
        <v>24</v>
      </c>
      <c r="BE4" s="104" t="s">
        <v>25</v>
      </c>
      <c r="BF4" s="104"/>
      <c r="BG4" s="104"/>
      <c r="BH4" s="104"/>
      <c r="BI4" s="104"/>
      <c r="BJ4" s="104"/>
      <c r="BK4" s="104"/>
      <c r="BL4" s="104"/>
      <c r="BM4" s="104"/>
      <c r="BN4" s="27"/>
      <c r="BO4" s="27"/>
      <c r="BP4" s="113" t="s">
        <v>35</v>
      </c>
      <c r="BQ4" s="24">
        <f t="shared" si="0"/>
        <v>3</v>
      </c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</row>
    <row r="5" spans="1:176" s="27" customFormat="1" ht="21" customHeight="1" thickBot="1" x14ac:dyDescent="0.25">
      <c r="A5" s="36" t="e">
        <f ca="1">CONCATENATE(IF(AND($A$3&gt;10,$A$3&lt;15),"O",IF(AND($A$3&gt;16,$A$3&lt;21),"U","AA")),$A$4)</f>
        <v>#N/A</v>
      </c>
      <c r="B5" s="218"/>
      <c r="C5" s="219"/>
      <c r="D5" s="219"/>
      <c r="E5" s="219"/>
      <c r="F5" s="395" t="s">
        <v>159</v>
      </c>
      <c r="G5" s="395"/>
      <c r="H5" s="219"/>
      <c r="I5" s="220"/>
      <c r="J5" s="231">
        <v>2.9826388888888892E-2</v>
      </c>
      <c r="K5" s="24"/>
      <c r="L5" s="24"/>
      <c r="M5" s="24"/>
      <c r="N5" s="24"/>
      <c r="O5" s="24"/>
      <c r="P5" s="20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85"/>
      <c r="AF5" s="98"/>
      <c r="AG5" s="98"/>
      <c r="AH5" s="99"/>
      <c r="AJ5" s="24"/>
      <c r="AM5" s="24"/>
      <c r="AN5" s="24"/>
      <c r="AQ5" s="24"/>
      <c r="AR5" s="165"/>
      <c r="AS5" s="24"/>
      <c r="AT5" s="24"/>
      <c r="AU5" s="24"/>
      <c r="AW5" s="160"/>
      <c r="AY5" s="165"/>
      <c r="AZ5" s="111" t="s">
        <v>68</v>
      </c>
      <c r="BA5" s="111" t="s">
        <v>70</v>
      </c>
      <c r="BB5" s="104" t="s">
        <v>22</v>
      </c>
      <c r="BC5" s="104" t="s">
        <v>23</v>
      </c>
      <c r="BD5" s="104" t="s">
        <v>24</v>
      </c>
      <c r="BE5" s="104" t="s">
        <v>25</v>
      </c>
      <c r="BF5" s="104" t="s">
        <v>12</v>
      </c>
      <c r="BG5" s="104" t="s">
        <v>13</v>
      </c>
      <c r="BH5" s="104" t="s">
        <v>14</v>
      </c>
      <c r="BI5" s="104" t="s">
        <v>113</v>
      </c>
      <c r="BJ5" s="104" t="s">
        <v>17</v>
      </c>
      <c r="BK5" s="104" t="s">
        <v>18</v>
      </c>
      <c r="BL5" s="104" t="s">
        <v>19</v>
      </c>
      <c r="BM5" s="104" t="s">
        <v>20</v>
      </c>
      <c r="BP5" s="24" t="s">
        <v>121</v>
      </c>
      <c r="BQ5" s="24">
        <f t="shared" si="0"/>
        <v>4</v>
      </c>
    </row>
    <row r="6" spans="1:176" s="27" customFormat="1" ht="21" customHeight="1" thickBot="1" x14ac:dyDescent="0.25">
      <c r="A6" s="36" t="str">
        <f>CONCATENATE(IF(AND($A$3&gt;10,$A$3&lt;15),"O",IF(AND($A$3&gt;16,$A$3&lt;21),"U","AA")),1)</f>
        <v>AA1</v>
      </c>
      <c r="B6" s="214"/>
      <c r="C6" s="214"/>
      <c r="D6" s="214"/>
      <c r="E6" s="214"/>
      <c r="F6" s="214"/>
      <c r="G6" s="214"/>
      <c r="J6" s="25"/>
      <c r="K6" s="24"/>
      <c r="L6" s="24"/>
      <c r="M6" s="24"/>
      <c r="N6" s="24"/>
      <c r="O6" s="24"/>
      <c r="P6" s="203"/>
      <c r="Q6" s="24"/>
      <c r="V6" s="24"/>
      <c r="W6" s="24"/>
      <c r="X6" s="24"/>
      <c r="Y6" s="24"/>
      <c r="Z6" s="24"/>
      <c r="AA6" s="24"/>
      <c r="AB6" s="24"/>
      <c r="AC6" s="24"/>
      <c r="AD6" s="24"/>
      <c r="AE6" s="385"/>
      <c r="AF6" s="99">
        <f ca="1">A1+10</f>
        <v>47</v>
      </c>
      <c r="AG6" s="104"/>
      <c r="AH6" s="99"/>
      <c r="AJ6" s="24"/>
      <c r="AM6" s="24"/>
      <c r="AN6" s="24"/>
      <c r="AO6" s="24"/>
      <c r="AP6" s="24"/>
      <c r="AQ6" s="24"/>
      <c r="AR6" s="165"/>
      <c r="AS6" s="24"/>
      <c r="AT6" s="24"/>
      <c r="AU6" s="24"/>
      <c r="AW6" s="160"/>
      <c r="AY6" s="165"/>
      <c r="AZ6" s="111" t="s">
        <v>67</v>
      </c>
      <c r="BA6" s="111" t="s">
        <v>71</v>
      </c>
      <c r="BB6" s="104" t="s">
        <v>12</v>
      </c>
      <c r="BC6" s="104" t="s">
        <v>13</v>
      </c>
      <c r="BD6" s="104" t="s">
        <v>14</v>
      </c>
      <c r="BE6" s="104" t="s">
        <v>113</v>
      </c>
      <c r="BF6" s="104" t="s">
        <v>17</v>
      </c>
      <c r="BG6" s="104" t="s">
        <v>18</v>
      </c>
      <c r="BH6" s="104" t="s">
        <v>19</v>
      </c>
      <c r="BI6" s="104" t="s">
        <v>20</v>
      </c>
      <c r="BJ6" s="112"/>
      <c r="BK6" s="104"/>
      <c r="BL6" s="104"/>
      <c r="BM6" s="104"/>
      <c r="BP6" s="24" t="s">
        <v>122</v>
      </c>
      <c r="BQ6" s="24">
        <f t="shared" si="0"/>
        <v>5</v>
      </c>
    </row>
    <row r="7" spans="1:176" s="27" customFormat="1" ht="21" hidden="1" customHeight="1" thickBot="1" x14ac:dyDescent="0.25">
      <c r="A7" s="37" t="str">
        <f ca="1">CONCATENATE("$C$10:$C$",A1+9)</f>
        <v>$C$10:$C$46</v>
      </c>
      <c r="B7" s="83"/>
      <c r="C7" s="83"/>
      <c r="D7" s="83"/>
      <c r="E7" s="83"/>
      <c r="F7" s="83"/>
      <c r="G7" s="83"/>
      <c r="H7" s="83"/>
      <c r="I7" s="83"/>
      <c r="J7" s="230"/>
      <c r="K7" s="24"/>
      <c r="L7" s="24"/>
      <c r="M7" s="24"/>
      <c r="N7" s="24"/>
      <c r="O7" s="24"/>
      <c r="P7" s="20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99">
        <v>46</v>
      </c>
      <c r="AG7" s="100" t="str">
        <f>CONCATENATE("$AG$9:$AG$",$AF$7)</f>
        <v>$AG$9:$AG$46</v>
      </c>
      <c r="AH7" s="99"/>
      <c r="AI7" s="28"/>
      <c r="AJ7" s="24" t="str">
        <f>IF($AB$8="PL Total","PL",IF($AB$8="Push Pull Total","PP",IF($AB$8="Best Squat","SQ",IF($AB$8="Best Bench","BP","DL"))))</f>
        <v>PL</v>
      </c>
      <c r="AM7" s="24"/>
      <c r="AN7" s="24"/>
      <c r="AO7" s="24"/>
      <c r="AP7" s="24"/>
      <c r="AQ7" s="24"/>
      <c r="AR7" s="165"/>
      <c r="AS7" s="24" t="str">
        <f>CONCATENATE("AR10:AR",AF7)</f>
        <v>AR10:AR46</v>
      </c>
      <c r="AT7" s="24"/>
      <c r="AU7" s="24" t="str">
        <f>CONCATENATE("AT10:AT",AF7)</f>
        <v>AT10:AT46</v>
      </c>
      <c r="AW7" s="160"/>
      <c r="AY7" s="165"/>
      <c r="AZ7" s="109"/>
      <c r="BA7" s="109"/>
      <c r="BB7" s="110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P7" s="24" t="s">
        <v>123</v>
      </c>
      <c r="BQ7" s="24">
        <f t="shared" si="0"/>
        <v>6</v>
      </c>
    </row>
    <row r="8" spans="1:176" s="91" customFormat="1" ht="28.5" customHeight="1" thickBot="1" x14ac:dyDescent="0.25">
      <c r="A8" s="85" t="s">
        <v>31</v>
      </c>
      <c r="B8" s="86" t="s">
        <v>169</v>
      </c>
      <c r="C8" s="87" t="s">
        <v>0</v>
      </c>
      <c r="D8" s="88" t="s">
        <v>1</v>
      </c>
      <c r="E8" s="89" t="s">
        <v>29</v>
      </c>
      <c r="F8" s="89" t="str">
        <f>Setup!K6</f>
        <v>BWt (Kg)</v>
      </c>
      <c r="G8" s="89" t="str">
        <f>IF(F8="BWt (Kg)","WtCls (Kg)","WtCls (Lb)")</f>
        <v>WtCls (Kg)</v>
      </c>
      <c r="H8" s="95" t="str">
        <f>Setup!K30</f>
        <v>Glossbrenner</v>
      </c>
      <c r="I8" s="89" t="s">
        <v>2</v>
      </c>
      <c r="J8" s="88" t="s">
        <v>26</v>
      </c>
      <c r="K8" s="90" t="s">
        <v>22</v>
      </c>
      <c r="L8" s="90" t="s">
        <v>23</v>
      </c>
      <c r="M8" s="90" t="s">
        <v>24</v>
      </c>
      <c r="N8" s="90" t="s">
        <v>25</v>
      </c>
      <c r="O8" s="89" t="s">
        <v>11</v>
      </c>
      <c r="P8" s="204" t="s">
        <v>27</v>
      </c>
      <c r="Q8" s="90" t="s">
        <v>12</v>
      </c>
      <c r="R8" s="90" t="s">
        <v>13</v>
      </c>
      <c r="S8" s="90" t="s">
        <v>14</v>
      </c>
      <c r="T8" s="90" t="s">
        <v>113</v>
      </c>
      <c r="U8" s="89" t="s">
        <v>15</v>
      </c>
      <c r="V8" s="89" t="s">
        <v>16</v>
      </c>
      <c r="W8" s="90" t="s">
        <v>17</v>
      </c>
      <c r="X8" s="90" t="s">
        <v>18</v>
      </c>
      <c r="Y8" s="90" t="s">
        <v>19</v>
      </c>
      <c r="Z8" s="90" t="s">
        <v>20</v>
      </c>
      <c r="AA8" s="90" t="s">
        <v>21</v>
      </c>
      <c r="AB8" s="101" t="s">
        <v>68</v>
      </c>
      <c r="AC8" s="89" t="s">
        <v>90</v>
      </c>
      <c r="AD8" s="89" t="s">
        <v>95</v>
      </c>
      <c r="AE8" s="89" t="s">
        <v>134</v>
      </c>
      <c r="AF8" s="89" t="s">
        <v>30</v>
      </c>
      <c r="AG8" s="89" t="s">
        <v>135</v>
      </c>
      <c r="AH8" s="105" t="s">
        <v>44</v>
      </c>
      <c r="AI8" s="105" t="s">
        <v>101</v>
      </c>
      <c r="AJ8" s="105" t="s">
        <v>102</v>
      </c>
      <c r="AK8" s="105" t="s">
        <v>36</v>
      </c>
      <c r="AL8" s="105" t="s">
        <v>38</v>
      </c>
      <c r="AM8" s="105" t="s">
        <v>68</v>
      </c>
      <c r="AN8" s="120" t="s">
        <v>67</v>
      </c>
      <c r="AO8" s="105" t="s">
        <v>112</v>
      </c>
      <c r="AP8" s="105"/>
      <c r="AQ8" s="105" t="s">
        <v>111</v>
      </c>
      <c r="AR8" s="166" t="s">
        <v>98</v>
      </c>
      <c r="AS8" s="105" t="s">
        <v>99</v>
      </c>
      <c r="AT8" s="105" t="s">
        <v>136</v>
      </c>
      <c r="AU8" s="105" t="s">
        <v>137</v>
      </c>
      <c r="AV8" s="105" t="s">
        <v>138</v>
      </c>
      <c r="AW8" s="161" t="s">
        <v>144</v>
      </c>
      <c r="AX8" s="91" t="s">
        <v>145</v>
      </c>
      <c r="AY8" s="166" t="s">
        <v>147</v>
      </c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13" t="s">
        <v>124</v>
      </c>
      <c r="BQ8" s="24">
        <f t="shared" si="0"/>
        <v>7</v>
      </c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 t="s">
        <v>80</v>
      </c>
      <c r="CK8" s="105" t="s">
        <v>22</v>
      </c>
      <c r="CL8" s="105" t="s">
        <v>23</v>
      </c>
      <c r="CM8" s="105" t="s">
        <v>24</v>
      </c>
      <c r="CN8" s="105" t="s">
        <v>25</v>
      </c>
      <c r="CO8" s="105" t="s">
        <v>11</v>
      </c>
      <c r="CP8" s="105" t="s">
        <v>27</v>
      </c>
      <c r="CQ8" s="105" t="s">
        <v>12</v>
      </c>
      <c r="CR8" s="105" t="s">
        <v>13</v>
      </c>
      <c r="CS8" s="105" t="s">
        <v>14</v>
      </c>
      <c r="CT8" s="105" t="s">
        <v>28</v>
      </c>
      <c r="CU8" s="105" t="s">
        <v>15</v>
      </c>
      <c r="CV8" s="105" t="s">
        <v>16</v>
      </c>
      <c r="CW8" s="105" t="s">
        <v>17</v>
      </c>
      <c r="CX8" s="105" t="s">
        <v>18</v>
      </c>
      <c r="CY8" s="105" t="s">
        <v>19</v>
      </c>
      <c r="CZ8" s="105" t="s">
        <v>20</v>
      </c>
      <c r="DA8" s="105" t="s">
        <v>21</v>
      </c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</row>
    <row r="9" spans="1:176" s="28" customFormat="1" hidden="1" x14ac:dyDescent="0.2">
      <c r="A9" s="33" t="str">
        <f>IF(L9,ABS(L9+0.0001*I9),"")</f>
        <v/>
      </c>
      <c r="B9" s="17"/>
      <c r="C9" s="200"/>
      <c r="D9" s="17"/>
      <c r="E9" s="17"/>
      <c r="F9" s="17"/>
      <c r="G9" s="39" t="str">
        <f>IF(OR(E9="",F9=""),"",IF(LEFT(E9,1)="M",VLOOKUP(F9,Setup!$J$9:$K$23,2,TRUE),VLOOKUP(F9,Setup!$L$9:$M$23,2,TRUE)))</f>
        <v/>
      </c>
      <c r="H9" s="39">
        <f>IF(F9="",0,VLOOKUP(AL9,DATA!$L$2:$N$1910,IF(LEFT(E9,1)="F",3,2)))</f>
        <v>0</v>
      </c>
      <c r="I9" s="17"/>
      <c r="J9" s="17"/>
      <c r="K9" s="115"/>
      <c r="L9" s="115"/>
      <c r="M9" s="115"/>
      <c r="N9" s="115"/>
      <c r="O9" s="116">
        <f t="shared" ref="O9" si="1">IF(MAX(CK9:CM9)&gt;0,MAX(ABS(K9)*CK9,ABS(L9)*CL9,CM9*ABS(M9)),0)</f>
        <v>0</v>
      </c>
      <c r="P9" s="205"/>
      <c r="Q9" s="115"/>
      <c r="R9" s="115"/>
      <c r="S9" s="115"/>
      <c r="T9" s="115"/>
      <c r="U9" s="116">
        <f t="shared" ref="U9" si="2">IF(MAX(CQ9:CS9)&gt;0,MAX(ABS(Q9)*CQ9,ABS(R9)*CR9,CS9*ABS(S9)),0)</f>
        <v>0</v>
      </c>
      <c r="V9" s="117">
        <f t="shared" ref="V9" si="3">IF(OR(O9=0,U9=0),0,O9+U9)</f>
        <v>0</v>
      </c>
      <c r="W9" s="115"/>
      <c r="X9" s="115"/>
      <c r="Y9" s="115"/>
      <c r="Z9" s="115"/>
      <c r="AA9" s="116">
        <f t="shared" ref="AA9" si="4">IF(MAX(CW9:CY9)&gt;0,MAX(ABS(W9)*CW9,ABS(X9)*CX9,CY9*ABS(Y9)),0)</f>
        <v>0</v>
      </c>
      <c r="AB9" s="117">
        <f t="shared" ref="AB9" si="5">AJ9*IF($AB$8="PL Total",AM9,IF($AB$8="Push Pull Total",AN9,IF($AB$8="Best Squat",O9,IF($AB$8="Best Bench",U9,AA9))))</f>
        <v>0</v>
      </c>
      <c r="AC9" s="118">
        <f t="shared" ref="AC9" si="6">IF(OR(F9="",AB9=0),0,H9*IF(AND($G$3="Lb",$H$8="Wilks"),AB9/2.2046,AB9))</f>
        <v>0</v>
      </c>
      <c r="AD9" s="118">
        <f>IF(OR(AB9=0,D9="",D9&lt;40),0,VLOOKUP($D9,DATA!$A$2:$B$53,2,TRUE)*AC9)</f>
        <v>0</v>
      </c>
      <c r="AE9" s="178" t="str">
        <f ca="1">IF(E9="","",OFFSET(Setup!$Q$1,MATCH(E9,Setup!O:O,0)-1,0))</f>
        <v/>
      </c>
      <c r="AF9" s="116">
        <f t="shared" ref="AF9" ca="1" si="7">IF(OR(AB9=0,AR9=0),0,CONCATENATE(AV9,"-",E9,IF(AE9=1,"-",""),IF(AE9=1,IF(G9="SHW",G9,ROUND(G9,1)),"")))</f>
        <v>0</v>
      </c>
      <c r="AG9" s="39">
        <f>IF(OR(AB9=0),0,VLOOKUP(AV9,Setup!$S$6:$T$15,2,TRUE))</f>
        <v>0</v>
      </c>
      <c r="AH9" s="119"/>
      <c r="AI9" s="114"/>
      <c r="AJ9" s="106">
        <f t="shared" ref="AJ9" si="8">IF(ISERROR(FIND($AJ$7,AI9)),0,1)</f>
        <v>0</v>
      </c>
      <c r="AK9" s="39" t="str">
        <f t="shared" ref="AK9" si="9">IF(B9="","",VLOOKUP(B9,$BP$1:$BQ$8,2,FALSE))</f>
        <v/>
      </c>
      <c r="AL9" s="26">
        <f t="shared" ref="AL9" si="10">ROUND(IF($F$8="BWt (Kg)",F9,F9/2.2046),1)</f>
        <v>0</v>
      </c>
      <c r="AM9" s="26">
        <f t="shared" ref="AM9" si="11">IF(OR(O9=0,U9=0,AA9=0),0,O9+U9+AA9)</f>
        <v>0</v>
      </c>
      <c r="AN9" s="26">
        <f t="shared" ref="AN9" si="12">IF(OR(U9=0,AA9=0),0,U9+AA9)</f>
        <v>0</v>
      </c>
      <c r="AO9" s="38" t="str">
        <f t="shared" ref="AO9" si="13">IF(E9="","",LEFT(E9,1))</f>
        <v/>
      </c>
      <c r="AP9" s="38"/>
      <c r="AQ9" s="28">
        <f t="shared" ref="AQ9" si="14">IF(OR(ISERROR(E9),F9="",ISERROR(G9),AB9=0),0,1)</f>
        <v>0</v>
      </c>
      <c r="AR9" s="198">
        <f t="shared" ref="AR9" ca="1" si="15">IF(OR(ISERROR(AY9),ISERROR(AX9)),0,AY9)</f>
        <v>0</v>
      </c>
      <c r="AS9" s="38">
        <f t="shared" ref="AS9" ca="1" si="16">RANK(AR9,INDIRECT($AS$7))</f>
        <v>13</v>
      </c>
      <c r="AT9" s="158">
        <f t="shared" ref="AT9" ca="1" si="17">INT(AR9/1000000)</f>
        <v>0</v>
      </c>
      <c r="AU9" s="97">
        <f t="shared" ref="AU9" ca="1" si="18">RANK(AT9,INDIRECT($AU$7))</f>
        <v>13</v>
      </c>
      <c r="AV9" s="179">
        <f t="shared" ref="AV9" ca="1" si="19">AS9-AU9+1</f>
        <v>1</v>
      </c>
      <c r="AW9" s="162">
        <f t="shared" ref="AW9" si="20">F9</f>
        <v>0</v>
      </c>
      <c r="AX9" s="26">
        <f t="shared" ref="AX9" si="21">RANK(AW9,AW:AW)</f>
        <v>14</v>
      </c>
      <c r="AY9" s="198">
        <f ca="1">IF(OR(E9="",F9="",ISERROR(AE9)),0,(100000000*MATCH(E9,INDIRECT($AI$1),0)+IF(AE9=1,(16-IF(AO9="M",MATCH(G9,Setup!$K$9:$K$23,0),MATCH(G9,Setup!$M$9:$M$23)))*1000000,0)+IF(AB9&gt;0,IF(AE9=1,RANK(AB9,AB:AB,-1)*1000+AX9,IF(AE9=2,AC9,AD9)),0)))</f>
        <v>0</v>
      </c>
      <c r="AZ9" s="39"/>
      <c r="BA9" s="39"/>
      <c r="BB9" s="39"/>
      <c r="BC9" s="39"/>
      <c r="BD9" s="39"/>
      <c r="BE9" s="39"/>
      <c r="BF9" s="39"/>
      <c r="BG9" s="39"/>
      <c r="BH9" s="84"/>
      <c r="BI9" s="84"/>
      <c r="BJ9" s="84"/>
      <c r="BK9" s="84"/>
      <c r="BL9" s="84"/>
      <c r="BM9" s="84"/>
      <c r="BN9" s="30"/>
      <c r="CJ9" s="28">
        <v>0</v>
      </c>
      <c r="CK9" s="28">
        <v>0</v>
      </c>
      <c r="CL9" s="28">
        <v>0</v>
      </c>
      <c r="CM9" s="28">
        <v>0</v>
      </c>
      <c r="CN9" s="28">
        <v>0</v>
      </c>
      <c r="CO9" s="28">
        <v>0</v>
      </c>
      <c r="CP9" s="28">
        <v>0</v>
      </c>
      <c r="CQ9" s="28">
        <v>0</v>
      </c>
      <c r="CR9" s="28">
        <v>0</v>
      </c>
      <c r="CS9" s="28">
        <v>0</v>
      </c>
      <c r="CT9" s="28">
        <v>0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8">
        <v>0</v>
      </c>
    </row>
    <row r="10" spans="1:176" s="28" customFormat="1" x14ac:dyDescent="0.2">
      <c r="A10" s="33">
        <f t="shared" ref="A10:A46" si="22">IF(Y10,ABS(Y10+0.0001*I10),"")</f>
        <v>90</v>
      </c>
      <c r="B10" s="17" t="s">
        <v>32</v>
      </c>
      <c r="C10" s="200" t="s">
        <v>205</v>
      </c>
      <c r="D10" s="17">
        <v>18</v>
      </c>
      <c r="E10" s="17" t="s">
        <v>212</v>
      </c>
      <c r="F10" s="17">
        <v>61</v>
      </c>
      <c r="G10" s="39">
        <f>IF(OR(E10="",F10=""),"",IF(LEFT(E10,1)="M",VLOOKUP(F10,Setup!$J$9:$K$23,2,TRUE),VLOOKUP(F10,Setup!$L$9:$M$23,2,TRUE)))</f>
        <v>76</v>
      </c>
      <c r="H10" s="39">
        <f>IF(F10="",0,VLOOKUP(AL10,DATA!$L$2:$N$1910,IF(LEFT(E10,1)="F",3,2)))</f>
        <v>0.97460000000000002</v>
      </c>
      <c r="I10" s="17"/>
      <c r="J10" s="17"/>
      <c r="K10" s="293">
        <v>60</v>
      </c>
      <c r="L10" s="115">
        <v>-70</v>
      </c>
      <c r="M10" s="115">
        <v>-80</v>
      </c>
      <c r="N10" s="115"/>
      <c r="O10" s="116">
        <f t="shared" ref="O10:O46" si="23">IF(MAX(CK10:CM10)&gt;0,MAX(ABS(K10)*CK10,ABS(L10)*CL10,CM10*ABS(M10)),0)</f>
        <v>60</v>
      </c>
      <c r="P10" s="205"/>
      <c r="Q10" s="293">
        <v>40</v>
      </c>
      <c r="R10" s="293">
        <v>45</v>
      </c>
      <c r="S10" s="293">
        <v>47.5</v>
      </c>
      <c r="T10" s="115"/>
      <c r="U10" s="116">
        <f t="shared" ref="U10:U46" si="24">IF(MAX(CQ10:CS10)&gt;0,MAX(ABS(Q10)*CQ10,ABS(R10)*CR10,CS10*ABS(S10)),0)</f>
        <v>47.5</v>
      </c>
      <c r="V10" s="117">
        <f t="shared" ref="V10:V46" si="25">IF(OR(O10=0,U10=0),0,O10+U10)</f>
        <v>107.5</v>
      </c>
      <c r="W10" s="293">
        <v>70</v>
      </c>
      <c r="X10" s="293">
        <v>85</v>
      </c>
      <c r="Y10" s="293">
        <v>90</v>
      </c>
      <c r="Z10" s="115"/>
      <c r="AA10" s="116">
        <f t="shared" ref="AA10:AA46" si="26">IF(MAX(CW10:CY10)&gt;0,MAX(ABS(W10)*CW10,ABS(X10)*CX10,CY10*ABS(Y10)),0)</f>
        <v>90</v>
      </c>
      <c r="AB10" s="117">
        <f t="shared" ref="AB10:AB46" si="27">AJ10*IF($AB$8="PL Total",AM10,IF($AB$8="Push Pull Total",AN10,IF($AB$8="Best Squat",O10,IF($AB$8="Best Bench",U10,AA10))))</f>
        <v>197.5</v>
      </c>
      <c r="AC10" s="118">
        <f t="shared" ref="AC10:AC46" si="28">IF(OR(F10="",AB10=0),0,H10*IF(AND($G$3="Lb",$H$8="Wilks"),AB10/2.2046,AB10))</f>
        <v>192.48349999999999</v>
      </c>
      <c r="AD10" s="118">
        <f>IF(OR(AB10=0,D10="",D10&lt;40),0,VLOOKUP($D10,DATA!$A$2:$B$53,2,TRUE)*AC10)</f>
        <v>0</v>
      </c>
      <c r="AE10" s="178">
        <f ca="1">IF(E10="","",OFFSET(Setup!$Q$1,MATCH(E10,Setup!O:O,0)-1,0))</f>
        <v>1</v>
      </c>
      <c r="AF10" s="116" t="str">
        <f t="shared" ref="AF10:AF46" ca="1" si="29">IF(OR(AB10=0,AR10=0),0,CONCATENATE(AV10,"-",E10,IF(AE10=1,"-",""),IF(AE10=1,IF(G10="SHW",G10,ROUND(G10,1)),"")))</f>
        <v>6-F_WOM-76</v>
      </c>
      <c r="AG10" s="39">
        <f ca="1">IF(OR(AB10=0),0,VLOOKUP(AV10,Setup!$S$6:$T$15,2,TRUE))</f>
        <v>3</v>
      </c>
      <c r="AH10" s="119"/>
      <c r="AI10" s="114" t="s">
        <v>186</v>
      </c>
      <c r="AJ10" s="106">
        <f t="shared" ref="AJ10:AJ46" si="30">IF(ISERROR(FIND($AJ$7,AI10)),0,1)</f>
        <v>1</v>
      </c>
      <c r="AK10" s="39">
        <f t="shared" ref="AK10:AK46" si="31">IF(B10="","",VLOOKUP(B10,$BP$1:$BQ$8,2,FALSE))</f>
        <v>0</v>
      </c>
      <c r="AL10" s="26">
        <f t="shared" ref="AL10:AL46" si="32">ROUND(IF($F$8="BWt (Kg)",F10,F10/2.2046),1)</f>
        <v>61</v>
      </c>
      <c r="AM10" s="26">
        <f t="shared" ref="AM10:AM46" si="33">IF(OR(O10=0,U10=0,AA10=0),0,O10+U10+AA10)</f>
        <v>197.5</v>
      </c>
      <c r="AN10" s="26">
        <f t="shared" ref="AN10:AN46" si="34">IF(OR(U10=0,AA10=0),0,U10+AA10)</f>
        <v>137.5</v>
      </c>
      <c r="AO10" s="38" t="str">
        <f t="shared" ref="AO10:AO46" si="35">IF(E10="","",LEFT(E10,1))</f>
        <v>F</v>
      </c>
      <c r="AP10" s="38"/>
      <c r="AQ10" s="28">
        <f t="shared" ref="AQ10:AQ46" si="36">IF(OR(ISERROR(E10),F10="",ISERROR(G10),AB10=0),0,1)</f>
        <v>1</v>
      </c>
      <c r="AR10" s="198">
        <f t="shared" ref="AR10:AR46" ca="1" si="37">IF(OR(ISERROR(AY10),ISERROR(AX10)),0,AY10)</f>
        <v>510027009</v>
      </c>
      <c r="AS10" s="38">
        <f t="shared" ref="AS10:AS46" ca="1" si="38">RANK(AR10,INDIRECT($AS$7))</f>
        <v>8</v>
      </c>
      <c r="AT10" s="158">
        <f t="shared" ref="AT10:AT46" ca="1" si="39">INT(AR10/1000000)</f>
        <v>510</v>
      </c>
      <c r="AU10" s="97">
        <f t="shared" ref="AU10:AU46" ca="1" si="40">RANK(AT10,INDIRECT($AU$7))</f>
        <v>3</v>
      </c>
      <c r="AV10" s="179">
        <f t="shared" ref="AV10:AV46" ca="1" si="41">AS10-AU10+1</f>
        <v>6</v>
      </c>
      <c r="AW10" s="162">
        <f t="shared" ref="AW10:AW46" si="42">F10</f>
        <v>61</v>
      </c>
      <c r="AX10" s="26">
        <f t="shared" ref="AX10:AX46" si="43">RANK(AW10,AW:AW)</f>
        <v>9</v>
      </c>
      <c r="AY10" s="198">
        <f ca="1">IF(OR(E10="",F10="",ISERROR(AE10)),0,(100000000*MATCH(E10,INDIRECT($AI$1),0)+IF(AE10=1,(16-IF(AO10="M",MATCH(G10,Setup!$K$9:$K$23,0),MATCH(G10,Setup!$M$9:$M$23)))*1000000,0)+IF(AB10&gt;0,IF(AE10=1,RANK(AB10,AB:AB,-1)*1000+AX10,IF(AE10=2,AC10,AD10)),0)))</f>
        <v>510027009</v>
      </c>
      <c r="AZ10" s="39"/>
      <c r="BA10" s="39"/>
      <c r="BB10" s="39"/>
      <c r="BC10" s="39"/>
      <c r="BD10" s="39"/>
      <c r="BE10" s="39"/>
      <c r="BF10" s="39"/>
      <c r="BG10" s="39"/>
      <c r="BH10" s="84"/>
      <c r="BI10" s="84"/>
      <c r="BJ10" s="84"/>
      <c r="BK10" s="84"/>
      <c r="BL10" s="84"/>
      <c r="BM10" s="84"/>
      <c r="BN10" s="30"/>
      <c r="CJ10" s="28">
        <v>0</v>
      </c>
      <c r="CK10" s="28">
        <v>1</v>
      </c>
      <c r="CL10" s="28">
        <v>-1</v>
      </c>
      <c r="CM10" s="28">
        <v>-1</v>
      </c>
      <c r="CN10" s="28">
        <v>0</v>
      </c>
      <c r="CO10" s="28">
        <v>0</v>
      </c>
      <c r="CP10" s="28">
        <v>0</v>
      </c>
      <c r="CQ10" s="28">
        <v>1</v>
      </c>
      <c r="CR10" s="28">
        <v>1</v>
      </c>
      <c r="CS10" s="28">
        <v>1</v>
      </c>
      <c r="CT10" s="28">
        <v>0</v>
      </c>
      <c r="CU10" s="28">
        <v>0</v>
      </c>
      <c r="CV10" s="28">
        <v>0</v>
      </c>
      <c r="CW10" s="28">
        <v>1</v>
      </c>
      <c r="CX10" s="28">
        <v>1</v>
      </c>
      <c r="CY10" s="28">
        <v>1</v>
      </c>
      <c r="CZ10" s="28">
        <v>0</v>
      </c>
    </row>
    <row r="11" spans="1:176" s="28" customFormat="1" x14ac:dyDescent="0.2">
      <c r="A11" s="33">
        <f t="shared" si="22"/>
        <v>100</v>
      </c>
      <c r="B11" s="17" t="s">
        <v>32</v>
      </c>
      <c r="C11" s="200" t="s">
        <v>210</v>
      </c>
      <c r="D11" s="17">
        <v>26</v>
      </c>
      <c r="E11" s="17" t="s">
        <v>212</v>
      </c>
      <c r="F11" s="17">
        <v>62.2</v>
      </c>
      <c r="G11" s="39">
        <f>IF(OR(E11="",F11=""),"",IF(LEFT(E11,1)="M",VLOOKUP(F11,Setup!$J$9:$K$23,2,TRUE),VLOOKUP(F11,Setup!$L$9:$M$23,2,TRUE)))</f>
        <v>76</v>
      </c>
      <c r="H11" s="39">
        <f>IF(F11="",0,VLOOKUP(AL11,DATA!$L$2:$N$1910,IF(LEFT(E11,1)="F",3,2)))</f>
        <v>0.95955000000000001</v>
      </c>
      <c r="I11" s="17"/>
      <c r="J11" s="17"/>
      <c r="K11" s="115">
        <v>-60</v>
      </c>
      <c r="L11" s="293">
        <v>65</v>
      </c>
      <c r="M11" s="293">
        <v>75</v>
      </c>
      <c r="N11" s="115"/>
      <c r="O11" s="116">
        <f t="shared" si="23"/>
        <v>75</v>
      </c>
      <c r="P11" s="205"/>
      <c r="Q11" s="293">
        <v>30</v>
      </c>
      <c r="R11" s="293">
        <v>40</v>
      </c>
      <c r="S11" s="115">
        <v>-47.5</v>
      </c>
      <c r="T11" s="115"/>
      <c r="U11" s="116">
        <f t="shared" si="24"/>
        <v>40</v>
      </c>
      <c r="V11" s="117">
        <f t="shared" si="25"/>
        <v>115</v>
      </c>
      <c r="W11" s="293">
        <v>80</v>
      </c>
      <c r="X11" s="293">
        <v>90</v>
      </c>
      <c r="Y11" s="293">
        <v>100</v>
      </c>
      <c r="Z11" s="115"/>
      <c r="AA11" s="116">
        <f t="shared" si="26"/>
        <v>100</v>
      </c>
      <c r="AB11" s="117">
        <f t="shared" si="27"/>
        <v>215</v>
      </c>
      <c r="AC11" s="118">
        <f t="shared" si="28"/>
        <v>206.30324999999999</v>
      </c>
      <c r="AD11" s="118">
        <f>IF(OR(AB11=0,D11="",D11&lt;40),0,VLOOKUP($D11,DATA!$A$2:$B$53,2,TRUE)*AC11)</f>
        <v>0</v>
      </c>
      <c r="AE11" s="178">
        <f ca="1">IF(E11="","",OFFSET(Setup!$Q$1,MATCH(E11,Setup!O:O,0)-1,0))</f>
        <v>1</v>
      </c>
      <c r="AF11" s="116" t="str">
        <f t="shared" ca="1" si="29"/>
        <v>5-F_WOM-76</v>
      </c>
      <c r="AG11" s="39">
        <f ca="1">IF(OR(AB11=0),0,VLOOKUP(AV11,Setup!$S$6:$T$15,2,TRUE))</f>
        <v>3</v>
      </c>
      <c r="AH11" s="119"/>
      <c r="AI11" s="114" t="s">
        <v>186</v>
      </c>
      <c r="AJ11" s="106">
        <f t="shared" si="30"/>
        <v>1</v>
      </c>
      <c r="AK11" s="39">
        <f t="shared" si="31"/>
        <v>0</v>
      </c>
      <c r="AL11" s="26">
        <f t="shared" si="32"/>
        <v>62.2</v>
      </c>
      <c r="AM11" s="26">
        <f t="shared" si="33"/>
        <v>215</v>
      </c>
      <c r="AN11" s="26">
        <f t="shared" si="34"/>
        <v>140</v>
      </c>
      <c r="AO11" s="38" t="str">
        <f t="shared" si="35"/>
        <v>F</v>
      </c>
      <c r="AP11" s="38"/>
      <c r="AQ11" s="28">
        <f t="shared" si="36"/>
        <v>1</v>
      </c>
      <c r="AR11" s="198">
        <f t="shared" ca="1" si="37"/>
        <v>510028006</v>
      </c>
      <c r="AS11" s="38">
        <f t="shared" ca="1" si="38"/>
        <v>7</v>
      </c>
      <c r="AT11" s="158">
        <f t="shared" ca="1" si="39"/>
        <v>510</v>
      </c>
      <c r="AU11" s="97">
        <f t="shared" ca="1" si="40"/>
        <v>3</v>
      </c>
      <c r="AV11" s="179">
        <f t="shared" ca="1" si="41"/>
        <v>5</v>
      </c>
      <c r="AW11" s="162">
        <f t="shared" si="42"/>
        <v>62.2</v>
      </c>
      <c r="AX11" s="26">
        <f t="shared" si="43"/>
        <v>6</v>
      </c>
      <c r="AY11" s="198">
        <f ca="1">IF(OR(E11="",F11="",ISERROR(AE11)),0,(100000000*MATCH(E11,INDIRECT($AI$1),0)+IF(AE11=1,(16-IF(AO11="M",MATCH(G11,Setup!$K$9:$K$23,0),MATCH(G11,Setup!$M$9:$M$23)))*1000000,0)+IF(AB11&gt;0,IF(AE11=1,RANK(AB11,AB:AB,-1)*1000+AX11,IF(AE11=2,AC11,AD11)),0)))</f>
        <v>510028006</v>
      </c>
      <c r="AZ11" s="39"/>
      <c r="BA11" s="39"/>
      <c r="BB11" s="39"/>
      <c r="BC11" s="39"/>
      <c r="BD11" s="39"/>
      <c r="BE11" s="39"/>
      <c r="BF11" s="39"/>
      <c r="BG11" s="39"/>
      <c r="BH11" s="84"/>
      <c r="BI11" s="84"/>
      <c r="BJ11" s="84"/>
      <c r="BK11" s="84"/>
      <c r="BL11" s="84"/>
      <c r="BM11" s="84"/>
      <c r="BN11" s="30"/>
      <c r="CJ11" s="28">
        <v>0</v>
      </c>
      <c r="CK11" s="28">
        <v>-1</v>
      </c>
      <c r="CL11" s="28">
        <v>1</v>
      </c>
      <c r="CM11" s="28">
        <v>1</v>
      </c>
      <c r="CN11" s="28">
        <v>0</v>
      </c>
      <c r="CO11" s="28">
        <v>0</v>
      </c>
      <c r="CP11" s="28">
        <v>0</v>
      </c>
      <c r="CQ11" s="28">
        <v>1</v>
      </c>
      <c r="CR11" s="28">
        <v>1</v>
      </c>
      <c r="CS11" s="28">
        <v>-1</v>
      </c>
      <c r="CT11" s="28">
        <v>0</v>
      </c>
      <c r="CU11" s="28">
        <v>0</v>
      </c>
      <c r="CV11" s="28">
        <v>0</v>
      </c>
      <c r="CW11" s="28">
        <v>1</v>
      </c>
      <c r="CX11" s="28">
        <v>1</v>
      </c>
      <c r="CY11" s="28">
        <v>1</v>
      </c>
      <c r="CZ11" s="28">
        <v>0</v>
      </c>
    </row>
    <row r="12" spans="1:176" s="28" customFormat="1" x14ac:dyDescent="0.2">
      <c r="A12" s="33">
        <f t="shared" si="22"/>
        <v>110</v>
      </c>
      <c r="B12" s="17" t="s">
        <v>32</v>
      </c>
      <c r="C12" s="200" t="s">
        <v>206</v>
      </c>
      <c r="D12" s="17">
        <v>28</v>
      </c>
      <c r="E12" s="17" t="s">
        <v>212</v>
      </c>
      <c r="F12" s="17">
        <v>48</v>
      </c>
      <c r="G12" s="39">
        <f>IF(OR(E12="",F12=""),"",IF(LEFT(E12,1)="M",VLOOKUP(F12,Setup!$J$9:$K$23,2,TRUE),VLOOKUP(F12,Setup!$L$9:$M$23,2,TRUE)))</f>
        <v>52</v>
      </c>
      <c r="H12" s="39">
        <f>IF(F12="",0,VLOOKUP(AL12,DATA!$L$2:$N$1910,IF(LEFT(E12,1)="F",3,2)))</f>
        <v>1.179</v>
      </c>
      <c r="I12" s="17"/>
      <c r="J12" s="17"/>
      <c r="K12" s="293">
        <v>70</v>
      </c>
      <c r="L12" s="115">
        <v>-75</v>
      </c>
      <c r="M12" s="115">
        <v>-80</v>
      </c>
      <c r="N12" s="115"/>
      <c r="O12" s="116">
        <f t="shared" si="23"/>
        <v>70</v>
      </c>
      <c r="P12" s="205"/>
      <c r="Q12" s="293">
        <v>45</v>
      </c>
      <c r="R12" s="115">
        <v>-50</v>
      </c>
      <c r="S12" s="293">
        <v>52.5</v>
      </c>
      <c r="T12" s="115"/>
      <c r="U12" s="116">
        <f t="shared" si="24"/>
        <v>52.5</v>
      </c>
      <c r="V12" s="117">
        <f t="shared" si="25"/>
        <v>122.5</v>
      </c>
      <c r="W12" s="293">
        <v>90</v>
      </c>
      <c r="X12" s="293">
        <v>100</v>
      </c>
      <c r="Y12" s="293">
        <v>110</v>
      </c>
      <c r="Z12" s="115"/>
      <c r="AA12" s="116">
        <f t="shared" si="26"/>
        <v>110</v>
      </c>
      <c r="AB12" s="117">
        <f t="shared" si="27"/>
        <v>232.5</v>
      </c>
      <c r="AC12" s="118">
        <f t="shared" si="28"/>
        <v>274.11750000000001</v>
      </c>
      <c r="AD12" s="118">
        <f>IF(OR(AB12=0,D12="",D12&lt;40),0,VLOOKUP($D12,DATA!$A$2:$B$53,2,TRUE)*AC12)</f>
        <v>0</v>
      </c>
      <c r="AE12" s="178">
        <f ca="1">IF(E12="","",OFFSET(Setup!$Q$1,MATCH(E12,Setup!O:O,0)-1,0))</f>
        <v>1</v>
      </c>
      <c r="AF12" s="116" t="str">
        <f t="shared" ca="1" si="29"/>
        <v>1-F_WOM-52</v>
      </c>
      <c r="AG12" s="39">
        <f ca="1">IF(OR(AB12=0),0,VLOOKUP(AV12,Setup!$S$6:$T$15,2,TRUE))</f>
        <v>3</v>
      </c>
      <c r="AH12" s="119"/>
      <c r="AI12" s="114" t="s">
        <v>186</v>
      </c>
      <c r="AJ12" s="106">
        <f t="shared" si="30"/>
        <v>1</v>
      </c>
      <c r="AK12" s="39">
        <f t="shared" si="31"/>
        <v>0</v>
      </c>
      <c r="AL12" s="26">
        <f t="shared" si="32"/>
        <v>48</v>
      </c>
      <c r="AM12" s="26">
        <f t="shared" si="33"/>
        <v>232.5</v>
      </c>
      <c r="AN12" s="26">
        <f t="shared" si="34"/>
        <v>162.5</v>
      </c>
      <c r="AO12" s="38" t="str">
        <f t="shared" si="35"/>
        <v>F</v>
      </c>
      <c r="AP12" s="38"/>
      <c r="AQ12" s="28">
        <f t="shared" si="36"/>
        <v>1</v>
      </c>
      <c r="AR12" s="198">
        <f t="shared" ca="1" si="37"/>
        <v>514029013</v>
      </c>
      <c r="AS12" s="38">
        <f t="shared" ca="1" si="38"/>
        <v>1</v>
      </c>
      <c r="AT12" s="158">
        <f t="shared" ca="1" si="39"/>
        <v>514</v>
      </c>
      <c r="AU12" s="97">
        <f t="shared" ca="1" si="40"/>
        <v>1</v>
      </c>
      <c r="AV12" s="179">
        <f t="shared" ca="1" si="41"/>
        <v>1</v>
      </c>
      <c r="AW12" s="162">
        <f t="shared" si="42"/>
        <v>48</v>
      </c>
      <c r="AX12" s="26">
        <f t="shared" si="43"/>
        <v>13</v>
      </c>
      <c r="AY12" s="198">
        <f ca="1">IF(OR(E12="",F12="",ISERROR(AE12)),0,(100000000*MATCH(E12,INDIRECT($AI$1),0)+IF(AE12=1,(16-IF(AO12="M",MATCH(G12,Setup!$K$9:$K$23,0),MATCH(G12,Setup!$M$9:$M$23)))*1000000,0)+IF(AB12&gt;0,IF(AE12=1,RANK(AB12,AB:AB,-1)*1000+AX12,IF(AE12=2,AC12,AD12)),0)))</f>
        <v>514029013</v>
      </c>
      <c r="AZ12" s="39"/>
      <c r="BA12" s="39"/>
      <c r="BB12" s="39"/>
      <c r="BC12" s="39"/>
      <c r="BD12" s="39"/>
      <c r="BE12" s="39"/>
      <c r="BF12" s="39"/>
      <c r="BG12" s="39"/>
      <c r="BH12" s="84"/>
      <c r="BI12" s="84"/>
      <c r="BJ12" s="84"/>
      <c r="BK12" s="84"/>
      <c r="BL12" s="84"/>
      <c r="BM12" s="84"/>
      <c r="BN12" s="30"/>
      <c r="CJ12" s="28">
        <v>0</v>
      </c>
      <c r="CK12" s="28">
        <v>1</v>
      </c>
      <c r="CL12" s="28">
        <v>-1</v>
      </c>
      <c r="CM12" s="28">
        <v>-1</v>
      </c>
      <c r="CN12" s="28">
        <v>0</v>
      </c>
      <c r="CO12" s="28">
        <v>0</v>
      </c>
      <c r="CP12" s="28">
        <v>0</v>
      </c>
      <c r="CQ12" s="28">
        <v>1</v>
      </c>
      <c r="CR12" s="28">
        <v>-1</v>
      </c>
      <c r="CS12" s="28">
        <v>1</v>
      </c>
      <c r="CT12" s="28">
        <v>0</v>
      </c>
      <c r="CU12" s="28">
        <v>0</v>
      </c>
      <c r="CV12" s="28">
        <v>0</v>
      </c>
      <c r="CW12" s="28">
        <v>1</v>
      </c>
      <c r="CX12" s="28">
        <v>1</v>
      </c>
      <c r="CY12" s="28">
        <v>1</v>
      </c>
      <c r="CZ12" s="28">
        <v>0</v>
      </c>
    </row>
    <row r="13" spans="1:176" s="28" customFormat="1" x14ac:dyDescent="0.2">
      <c r="A13" s="33">
        <f t="shared" si="22"/>
        <v>115</v>
      </c>
      <c r="B13" s="17" t="s">
        <v>32</v>
      </c>
      <c r="C13" s="200" t="s">
        <v>203</v>
      </c>
      <c r="D13" s="17">
        <v>21</v>
      </c>
      <c r="E13" s="17" t="s">
        <v>212</v>
      </c>
      <c r="F13" s="17">
        <v>60</v>
      </c>
      <c r="G13" s="39">
        <f>IF(OR(E13="",F13=""),"",IF(LEFT(E13,1)="M",VLOOKUP(F13,Setup!$J$9:$K$23,2,TRUE),VLOOKUP(F13,Setup!$L$9:$M$23,2,TRUE)))</f>
        <v>69</v>
      </c>
      <c r="H13" s="39">
        <f>IF(F13="",0,VLOOKUP(AL13,DATA!$L$2:$N$1910,IF(LEFT(E13,1)="F",3,2)))</f>
        <v>0.98760000000000003</v>
      </c>
      <c r="I13" s="17"/>
      <c r="J13" s="17"/>
      <c r="K13" s="293">
        <v>80</v>
      </c>
      <c r="L13" s="293">
        <v>85</v>
      </c>
      <c r="M13" s="293">
        <v>90</v>
      </c>
      <c r="N13" s="115"/>
      <c r="O13" s="116">
        <f t="shared" si="23"/>
        <v>90</v>
      </c>
      <c r="P13" s="205"/>
      <c r="Q13" s="293">
        <v>50</v>
      </c>
      <c r="R13" s="293">
        <v>55</v>
      </c>
      <c r="S13" s="115">
        <v>-57.5</v>
      </c>
      <c r="T13" s="115"/>
      <c r="U13" s="116">
        <f t="shared" si="24"/>
        <v>55</v>
      </c>
      <c r="V13" s="117">
        <f t="shared" si="25"/>
        <v>145</v>
      </c>
      <c r="W13" s="293">
        <v>100</v>
      </c>
      <c r="X13" s="293">
        <v>105</v>
      </c>
      <c r="Y13" s="115">
        <v>-115</v>
      </c>
      <c r="Z13" s="115"/>
      <c r="AA13" s="116">
        <f t="shared" si="26"/>
        <v>105</v>
      </c>
      <c r="AB13" s="117">
        <f t="shared" si="27"/>
        <v>250</v>
      </c>
      <c r="AC13" s="118">
        <f t="shared" si="28"/>
        <v>246.9</v>
      </c>
      <c r="AD13" s="118">
        <f>IF(OR(AB13=0,D13="",D13&lt;40),0,VLOOKUP($D13,DATA!$A$2:$B$53,2,TRUE)*AC13)</f>
        <v>0</v>
      </c>
      <c r="AE13" s="178">
        <f ca="1">IF(E13="","",OFFSET(Setup!$Q$1,MATCH(E13,Setup!O:O,0)-1,0))</f>
        <v>1</v>
      </c>
      <c r="AF13" s="116" t="str">
        <f t="shared" ca="1" si="29"/>
        <v>1-F_WOM-69</v>
      </c>
      <c r="AG13" s="39">
        <f ca="1">IF(OR(AB13=0),0,VLOOKUP(AV13,Setup!$S$6:$T$15,2,TRUE))</f>
        <v>3</v>
      </c>
      <c r="AH13" s="119"/>
      <c r="AI13" s="114" t="s">
        <v>186</v>
      </c>
      <c r="AJ13" s="106">
        <f t="shared" si="30"/>
        <v>1</v>
      </c>
      <c r="AK13" s="39">
        <f t="shared" si="31"/>
        <v>0</v>
      </c>
      <c r="AL13" s="26">
        <f t="shared" si="32"/>
        <v>60</v>
      </c>
      <c r="AM13" s="26">
        <f t="shared" si="33"/>
        <v>250</v>
      </c>
      <c r="AN13" s="26">
        <f t="shared" si="34"/>
        <v>160</v>
      </c>
      <c r="AO13" s="38" t="str">
        <f t="shared" si="35"/>
        <v>F</v>
      </c>
      <c r="AP13" s="38"/>
      <c r="AQ13" s="28">
        <f t="shared" si="36"/>
        <v>1</v>
      </c>
      <c r="AR13" s="198">
        <f t="shared" ca="1" si="37"/>
        <v>511030010</v>
      </c>
      <c r="AS13" s="38">
        <f t="shared" ca="1" si="38"/>
        <v>2</v>
      </c>
      <c r="AT13" s="158">
        <f t="shared" ca="1" si="39"/>
        <v>511</v>
      </c>
      <c r="AU13" s="97">
        <f t="shared" ca="1" si="40"/>
        <v>2</v>
      </c>
      <c r="AV13" s="179">
        <f t="shared" ca="1" si="41"/>
        <v>1</v>
      </c>
      <c r="AW13" s="162">
        <f t="shared" si="42"/>
        <v>60</v>
      </c>
      <c r="AX13" s="26">
        <f t="shared" si="43"/>
        <v>10</v>
      </c>
      <c r="AY13" s="198">
        <f ca="1">IF(OR(E13="",F13="",ISERROR(AE13)),0,(100000000*MATCH(E13,INDIRECT($AI$1),0)+IF(AE13=1,(16-IF(AO13="M",MATCH(G13,Setup!$K$9:$K$23,0),MATCH(G13,Setup!$M$9:$M$23)))*1000000,0)+IF(AB13&gt;0,IF(AE13=1,RANK(AB13,AB:AB,-1)*1000+AX13,IF(AE13=2,AC13,AD13)),0)))</f>
        <v>511030010</v>
      </c>
      <c r="AZ13" s="39"/>
      <c r="BA13" s="39"/>
      <c r="BB13" s="39"/>
      <c r="BC13" s="39"/>
      <c r="BD13" s="39"/>
      <c r="BE13" s="39"/>
      <c r="BF13" s="39"/>
      <c r="BG13" s="39"/>
      <c r="BH13" s="84"/>
      <c r="BI13" s="84"/>
      <c r="BJ13" s="84"/>
      <c r="BK13" s="84"/>
      <c r="BL13" s="84"/>
      <c r="BM13" s="84"/>
      <c r="BN13" s="30"/>
      <c r="CJ13" s="28">
        <v>0</v>
      </c>
      <c r="CK13" s="28">
        <v>1</v>
      </c>
      <c r="CL13" s="28">
        <v>1</v>
      </c>
      <c r="CM13" s="28">
        <v>1</v>
      </c>
      <c r="CN13" s="28">
        <v>0</v>
      </c>
      <c r="CO13" s="28">
        <v>0</v>
      </c>
      <c r="CP13" s="28">
        <v>0</v>
      </c>
      <c r="CQ13" s="28">
        <v>1</v>
      </c>
      <c r="CR13" s="28">
        <v>1</v>
      </c>
      <c r="CS13" s="28">
        <v>-1</v>
      </c>
      <c r="CT13" s="28">
        <v>0</v>
      </c>
      <c r="CU13" s="28">
        <v>0</v>
      </c>
      <c r="CV13" s="28">
        <v>0</v>
      </c>
      <c r="CW13" s="28">
        <v>1</v>
      </c>
      <c r="CX13" s="28">
        <v>1</v>
      </c>
      <c r="CY13" s="28">
        <v>-1</v>
      </c>
      <c r="CZ13" s="28">
        <v>0</v>
      </c>
    </row>
    <row r="14" spans="1:176" s="28" customFormat="1" x14ac:dyDescent="0.2">
      <c r="A14" s="33">
        <f t="shared" si="22"/>
        <v>122.5</v>
      </c>
      <c r="B14" s="17" t="s">
        <v>32</v>
      </c>
      <c r="C14" s="200" t="s">
        <v>207</v>
      </c>
      <c r="D14" s="17">
        <v>24</v>
      </c>
      <c r="E14" s="17" t="s">
        <v>212</v>
      </c>
      <c r="F14" s="17">
        <v>62</v>
      </c>
      <c r="G14" s="39">
        <f>IF(OR(E14="",F14=""),"",IF(LEFT(E14,1)="M",VLOOKUP(F14,Setup!$J$9:$K$23,2,TRUE),VLOOKUP(F14,Setup!$L$9:$M$23,2,TRUE)))</f>
        <v>76</v>
      </c>
      <c r="H14" s="39">
        <f>IF(F14="",0,VLOOKUP(AL14,DATA!$L$2:$N$1910,IF(LEFT(E14,1)="F",3,2)))</f>
        <v>0.96204999999999996</v>
      </c>
      <c r="I14" s="17"/>
      <c r="J14" s="17"/>
      <c r="K14" s="293">
        <v>85</v>
      </c>
      <c r="L14" s="293">
        <v>95</v>
      </c>
      <c r="M14" s="115">
        <v>-102.5</v>
      </c>
      <c r="N14" s="115"/>
      <c r="O14" s="116">
        <f t="shared" si="23"/>
        <v>95</v>
      </c>
      <c r="P14" s="205"/>
      <c r="Q14" s="115">
        <v>-45</v>
      </c>
      <c r="R14" s="293">
        <v>52.5</v>
      </c>
      <c r="S14" s="115">
        <v>-57.5</v>
      </c>
      <c r="T14" s="115"/>
      <c r="U14" s="116">
        <f t="shared" si="24"/>
        <v>52.5</v>
      </c>
      <c r="V14" s="117">
        <f t="shared" si="25"/>
        <v>147.5</v>
      </c>
      <c r="W14" s="293">
        <v>92.5</v>
      </c>
      <c r="X14" s="293">
        <v>107.5</v>
      </c>
      <c r="Y14" s="293">
        <v>122.5</v>
      </c>
      <c r="Z14" s="115"/>
      <c r="AA14" s="116">
        <f t="shared" si="26"/>
        <v>122.5</v>
      </c>
      <c r="AB14" s="117">
        <f t="shared" si="27"/>
        <v>270</v>
      </c>
      <c r="AC14" s="118">
        <f t="shared" si="28"/>
        <v>259.75349999999997</v>
      </c>
      <c r="AD14" s="118">
        <f>IF(OR(AB14=0,D14="",D14&lt;40),0,VLOOKUP($D14,DATA!$A$2:$B$53,2,TRUE)*AC14)</f>
        <v>0</v>
      </c>
      <c r="AE14" s="178">
        <f ca="1">IF(E14="","",OFFSET(Setup!$Q$1,MATCH(E14,Setup!O:O,0)-1,0))</f>
        <v>1</v>
      </c>
      <c r="AF14" s="116" t="str">
        <f t="shared" ca="1" si="29"/>
        <v>3-F_WOM-76</v>
      </c>
      <c r="AG14" s="39">
        <f ca="1">IF(OR(AB14=0),0,VLOOKUP(AV14,Setup!$S$6:$T$15,2,TRUE))</f>
        <v>3</v>
      </c>
      <c r="AH14" s="119"/>
      <c r="AI14" s="114" t="s">
        <v>186</v>
      </c>
      <c r="AJ14" s="106">
        <f t="shared" si="30"/>
        <v>1</v>
      </c>
      <c r="AK14" s="39">
        <f t="shared" si="31"/>
        <v>0</v>
      </c>
      <c r="AL14" s="26">
        <f t="shared" si="32"/>
        <v>62</v>
      </c>
      <c r="AM14" s="26">
        <f t="shared" si="33"/>
        <v>270</v>
      </c>
      <c r="AN14" s="26">
        <f t="shared" si="34"/>
        <v>175</v>
      </c>
      <c r="AO14" s="38" t="str">
        <f t="shared" si="35"/>
        <v>F</v>
      </c>
      <c r="AP14" s="38"/>
      <c r="AQ14" s="28">
        <f t="shared" si="36"/>
        <v>1</v>
      </c>
      <c r="AR14" s="198">
        <f t="shared" ca="1" si="37"/>
        <v>510032008</v>
      </c>
      <c r="AS14" s="38">
        <f t="shared" ca="1" si="38"/>
        <v>5</v>
      </c>
      <c r="AT14" s="158">
        <f t="shared" ca="1" si="39"/>
        <v>510</v>
      </c>
      <c r="AU14" s="97">
        <f t="shared" ca="1" si="40"/>
        <v>3</v>
      </c>
      <c r="AV14" s="179">
        <f t="shared" ca="1" si="41"/>
        <v>3</v>
      </c>
      <c r="AW14" s="162">
        <f t="shared" si="42"/>
        <v>62</v>
      </c>
      <c r="AX14" s="26">
        <f t="shared" si="43"/>
        <v>8</v>
      </c>
      <c r="AY14" s="198">
        <f ca="1">IF(OR(E14="",F14="",ISERROR(AE14)),0,(100000000*MATCH(E14,INDIRECT($AI$1),0)+IF(AE14=1,(16-IF(AO14="M",MATCH(G14,Setup!$K$9:$K$23,0),MATCH(G14,Setup!$M$9:$M$23)))*1000000,0)+IF(AB14&gt;0,IF(AE14=1,RANK(AB14,AB:AB,-1)*1000+AX14,IF(AE14=2,AC14,AD14)),0)))</f>
        <v>510032008</v>
      </c>
      <c r="AZ14" s="39"/>
      <c r="BA14" s="39"/>
      <c r="BB14" s="39"/>
      <c r="BC14" s="39"/>
      <c r="BD14" s="39"/>
      <c r="BE14" s="39"/>
      <c r="BF14" s="39"/>
      <c r="BG14" s="39"/>
      <c r="BH14" s="84"/>
      <c r="BI14" s="84"/>
      <c r="BJ14" s="84"/>
      <c r="BK14" s="84"/>
      <c r="BL14" s="84"/>
      <c r="BM14" s="84"/>
      <c r="BN14" s="30"/>
      <c r="CJ14" s="28">
        <v>0</v>
      </c>
      <c r="CK14" s="28">
        <v>1</v>
      </c>
      <c r="CL14" s="28">
        <v>1</v>
      </c>
      <c r="CM14" s="28">
        <v>-1</v>
      </c>
      <c r="CN14" s="28">
        <v>0</v>
      </c>
      <c r="CO14" s="28">
        <v>0</v>
      </c>
      <c r="CP14" s="28">
        <v>0</v>
      </c>
      <c r="CQ14" s="28">
        <v>-1</v>
      </c>
      <c r="CR14" s="28">
        <v>1</v>
      </c>
      <c r="CS14" s="28">
        <v>-1</v>
      </c>
      <c r="CT14" s="28">
        <v>0</v>
      </c>
      <c r="CU14" s="28">
        <v>0</v>
      </c>
      <c r="CV14" s="28">
        <v>0</v>
      </c>
      <c r="CW14" s="28">
        <v>1</v>
      </c>
      <c r="CX14" s="28">
        <v>1</v>
      </c>
      <c r="CY14" s="28">
        <v>1</v>
      </c>
      <c r="CZ14" s="28">
        <v>0</v>
      </c>
    </row>
    <row r="15" spans="1:176" s="28" customFormat="1" x14ac:dyDescent="0.2">
      <c r="A15" s="33">
        <f t="shared" si="22"/>
        <v>125</v>
      </c>
      <c r="B15" s="17" t="s">
        <v>32</v>
      </c>
      <c r="C15" s="200" t="s">
        <v>202</v>
      </c>
      <c r="D15" s="17">
        <v>18</v>
      </c>
      <c r="E15" s="17" t="s">
        <v>212</v>
      </c>
      <c r="F15" s="17">
        <v>62.2</v>
      </c>
      <c r="G15" s="39">
        <f>IF(OR(E15="",F15=""),"",IF(LEFT(E15,1)="M",VLOOKUP(F15,Setup!$J$9:$K$23,2,TRUE),VLOOKUP(F15,Setup!$L$9:$M$23,2,TRUE)))</f>
        <v>76</v>
      </c>
      <c r="H15" s="39">
        <f>IF(F15="",0,VLOOKUP(AL15,DATA!$L$2:$N$1910,IF(LEFT(E15,1)="F",3,2)))</f>
        <v>0.95955000000000001</v>
      </c>
      <c r="I15" s="17"/>
      <c r="J15" s="17"/>
      <c r="K15" s="115">
        <v>-80</v>
      </c>
      <c r="L15" s="293">
        <v>90</v>
      </c>
      <c r="M15" s="115">
        <v>-95</v>
      </c>
      <c r="N15" s="115"/>
      <c r="O15" s="116">
        <f t="shared" si="23"/>
        <v>90</v>
      </c>
      <c r="P15" s="205"/>
      <c r="Q15" s="293">
        <v>35</v>
      </c>
      <c r="R15" s="293">
        <v>45</v>
      </c>
      <c r="S15" s="115">
        <v>-50</v>
      </c>
      <c r="T15" s="115"/>
      <c r="U15" s="116">
        <f t="shared" si="24"/>
        <v>45</v>
      </c>
      <c r="V15" s="117">
        <f t="shared" si="25"/>
        <v>135</v>
      </c>
      <c r="W15" s="293">
        <v>100</v>
      </c>
      <c r="X15" s="293">
        <v>115</v>
      </c>
      <c r="Y15" s="115">
        <v>-125</v>
      </c>
      <c r="Z15" s="115"/>
      <c r="AA15" s="116">
        <f t="shared" si="26"/>
        <v>115</v>
      </c>
      <c r="AB15" s="117">
        <f t="shared" si="27"/>
        <v>250</v>
      </c>
      <c r="AC15" s="118">
        <f t="shared" si="28"/>
        <v>239.88750000000002</v>
      </c>
      <c r="AD15" s="118">
        <f>IF(OR(AB15=0,D15="",D15&lt;40),0,VLOOKUP($D15,DATA!$A$2:$B$53,2,TRUE)*AC15)</f>
        <v>0</v>
      </c>
      <c r="AE15" s="178">
        <f ca="1">IF(E15="","",OFFSET(Setup!$Q$1,MATCH(E15,Setup!O:O,0)-1,0))</f>
        <v>1</v>
      </c>
      <c r="AF15" s="116" t="str">
        <f t="shared" ca="1" si="29"/>
        <v>4-F_WOM-76</v>
      </c>
      <c r="AG15" s="39">
        <f ca="1">IF(OR(AB15=0),0,VLOOKUP(AV15,Setup!$S$6:$T$15,2,TRUE))</f>
        <v>3</v>
      </c>
      <c r="AH15" s="119"/>
      <c r="AI15" s="114" t="s">
        <v>186</v>
      </c>
      <c r="AJ15" s="106">
        <f t="shared" si="30"/>
        <v>1</v>
      </c>
      <c r="AK15" s="39">
        <f t="shared" si="31"/>
        <v>0</v>
      </c>
      <c r="AL15" s="26">
        <f t="shared" si="32"/>
        <v>62.2</v>
      </c>
      <c r="AM15" s="26">
        <f t="shared" si="33"/>
        <v>250</v>
      </c>
      <c r="AN15" s="26">
        <f t="shared" si="34"/>
        <v>160</v>
      </c>
      <c r="AO15" s="38" t="str">
        <f t="shared" si="35"/>
        <v>F</v>
      </c>
      <c r="AP15" s="38"/>
      <c r="AQ15" s="28">
        <f t="shared" si="36"/>
        <v>1</v>
      </c>
      <c r="AR15" s="198">
        <f t="shared" ca="1" si="37"/>
        <v>510030006</v>
      </c>
      <c r="AS15" s="38">
        <f t="shared" ca="1" si="38"/>
        <v>6</v>
      </c>
      <c r="AT15" s="158">
        <f t="shared" ca="1" si="39"/>
        <v>510</v>
      </c>
      <c r="AU15" s="97">
        <f t="shared" ca="1" si="40"/>
        <v>3</v>
      </c>
      <c r="AV15" s="179">
        <f t="shared" ca="1" si="41"/>
        <v>4</v>
      </c>
      <c r="AW15" s="162">
        <f t="shared" si="42"/>
        <v>62.2</v>
      </c>
      <c r="AX15" s="26">
        <f t="shared" si="43"/>
        <v>6</v>
      </c>
      <c r="AY15" s="198">
        <f ca="1">IF(OR(E15="",F15="",ISERROR(AE15)),0,(100000000*MATCH(E15,INDIRECT($AI$1),0)+IF(AE15=1,(16-IF(AO15="M",MATCH(G15,Setup!$K$9:$K$23,0),MATCH(G15,Setup!$M$9:$M$23)))*1000000,0)+IF(AB15&gt;0,IF(AE15=1,RANK(AB15,AB:AB,-1)*1000+AX15,IF(AE15=2,AC15,AD15)),0)))</f>
        <v>510030006</v>
      </c>
      <c r="AZ15" s="39"/>
      <c r="BA15" s="39"/>
      <c r="BB15" s="39"/>
      <c r="BC15" s="39"/>
      <c r="BD15" s="39"/>
      <c r="BE15" s="39"/>
      <c r="BF15" s="39"/>
      <c r="BG15" s="39"/>
      <c r="BH15" s="84"/>
      <c r="BI15" s="84"/>
      <c r="BJ15" s="84"/>
      <c r="BK15" s="84"/>
      <c r="BL15" s="84"/>
      <c r="BM15" s="84"/>
      <c r="BN15" s="30"/>
      <c r="CJ15" s="28">
        <v>0</v>
      </c>
      <c r="CK15" s="28">
        <v>-1</v>
      </c>
      <c r="CL15" s="28">
        <v>1</v>
      </c>
      <c r="CM15" s="28">
        <v>-1</v>
      </c>
      <c r="CN15" s="28">
        <v>0</v>
      </c>
      <c r="CO15" s="28">
        <v>0</v>
      </c>
      <c r="CP15" s="28">
        <v>0</v>
      </c>
      <c r="CQ15" s="28">
        <v>1</v>
      </c>
      <c r="CR15" s="28">
        <v>1</v>
      </c>
      <c r="CS15" s="28">
        <v>-1</v>
      </c>
      <c r="CT15" s="28">
        <v>0</v>
      </c>
      <c r="CU15" s="28">
        <v>0</v>
      </c>
      <c r="CV15" s="28">
        <v>0</v>
      </c>
      <c r="CW15" s="28">
        <v>1</v>
      </c>
      <c r="CX15" s="28">
        <v>1</v>
      </c>
      <c r="CY15" s="28">
        <v>-1</v>
      </c>
      <c r="CZ15" s="28">
        <v>0</v>
      </c>
    </row>
    <row r="16" spans="1:176" s="28" customFormat="1" x14ac:dyDescent="0.2">
      <c r="A16" s="33">
        <f t="shared" si="22"/>
        <v>125</v>
      </c>
      <c r="B16" s="17" t="s">
        <v>32</v>
      </c>
      <c r="C16" s="200" t="s">
        <v>200</v>
      </c>
      <c r="D16" s="17">
        <v>25</v>
      </c>
      <c r="E16" s="17" t="s">
        <v>212</v>
      </c>
      <c r="F16" s="17">
        <v>67.400000000000006</v>
      </c>
      <c r="G16" s="39">
        <f>IF(OR(E16="",F16=""),"",IF(LEFT(E16,1)="M",VLOOKUP(F16,Setup!$J$9:$K$23,2,TRUE),VLOOKUP(F16,Setup!$L$9:$M$23,2,TRUE)))</f>
        <v>76</v>
      </c>
      <c r="H16" s="39">
        <f>IF(F16="",0,VLOOKUP(AL16,DATA!$L$2:$N$1910,IF(LEFT(E16,1)="F",3,2)))</f>
        <v>0.90075000000000005</v>
      </c>
      <c r="I16" s="17"/>
      <c r="J16" s="17"/>
      <c r="K16" s="115">
        <v>-87.5</v>
      </c>
      <c r="L16" s="115">
        <v>-87.5</v>
      </c>
      <c r="M16" s="115">
        <v>-87.5</v>
      </c>
      <c r="N16" s="115"/>
      <c r="O16" s="116">
        <f t="shared" si="23"/>
        <v>0</v>
      </c>
      <c r="P16" s="205"/>
      <c r="Q16" s="293">
        <v>50</v>
      </c>
      <c r="R16" s="115">
        <v>-55</v>
      </c>
      <c r="S16" s="293">
        <v>55</v>
      </c>
      <c r="T16" s="115"/>
      <c r="U16" s="116">
        <f t="shared" si="24"/>
        <v>55</v>
      </c>
      <c r="V16" s="117">
        <f t="shared" si="25"/>
        <v>0</v>
      </c>
      <c r="W16" s="115">
        <v>-120</v>
      </c>
      <c r="X16" s="293">
        <v>120</v>
      </c>
      <c r="Y16" s="115">
        <v>-125</v>
      </c>
      <c r="Z16" s="115"/>
      <c r="AA16" s="116">
        <f t="shared" si="26"/>
        <v>120</v>
      </c>
      <c r="AB16" s="117">
        <f t="shared" si="27"/>
        <v>0</v>
      </c>
      <c r="AC16" s="118">
        <f t="shared" si="28"/>
        <v>0</v>
      </c>
      <c r="AD16" s="118">
        <f>IF(OR(AB16=0,D16="",D16&lt;40),0,VLOOKUP($D16,DATA!$A$2:$B$53,2,TRUE)*AC16)</f>
        <v>0</v>
      </c>
      <c r="AE16" s="178">
        <f ca="1">IF(E16="","",OFFSET(Setup!$Q$1,MATCH(E16,Setup!O:O,0)-1,0))</f>
        <v>1</v>
      </c>
      <c r="AF16" s="116">
        <f t="shared" ca="1" si="29"/>
        <v>0</v>
      </c>
      <c r="AG16" s="39">
        <f>IF(OR(AB16=0),0,VLOOKUP(AV16,Setup!$S$6:$T$15,2,TRUE))</f>
        <v>0</v>
      </c>
      <c r="AH16" s="119"/>
      <c r="AI16" s="114" t="s">
        <v>186</v>
      </c>
      <c r="AJ16" s="106">
        <f t="shared" si="30"/>
        <v>1</v>
      </c>
      <c r="AK16" s="39">
        <f t="shared" si="31"/>
        <v>0</v>
      </c>
      <c r="AL16" s="26">
        <f t="shared" si="32"/>
        <v>67.400000000000006</v>
      </c>
      <c r="AM16" s="26">
        <f t="shared" si="33"/>
        <v>0</v>
      </c>
      <c r="AN16" s="26">
        <f t="shared" si="34"/>
        <v>175</v>
      </c>
      <c r="AO16" s="38" t="str">
        <f t="shared" si="35"/>
        <v>F</v>
      </c>
      <c r="AP16" s="38"/>
      <c r="AQ16" s="28">
        <f t="shared" si="36"/>
        <v>0</v>
      </c>
      <c r="AR16" s="198">
        <f t="shared" ca="1" si="37"/>
        <v>510000000</v>
      </c>
      <c r="AS16" s="38">
        <f t="shared" ca="1" si="38"/>
        <v>9</v>
      </c>
      <c r="AT16" s="158">
        <f t="shared" ca="1" si="39"/>
        <v>510</v>
      </c>
      <c r="AU16" s="97">
        <f t="shared" ca="1" si="40"/>
        <v>3</v>
      </c>
      <c r="AV16" s="179">
        <f t="shared" ca="1" si="41"/>
        <v>7</v>
      </c>
      <c r="AW16" s="162">
        <f t="shared" si="42"/>
        <v>67.400000000000006</v>
      </c>
      <c r="AX16" s="26">
        <f t="shared" si="43"/>
        <v>3</v>
      </c>
      <c r="AY16" s="198">
        <f ca="1">IF(OR(E16="",F16="",ISERROR(AE16)),0,(100000000*MATCH(E16,INDIRECT($AI$1),0)+IF(AE16=1,(16-IF(AO16="M",MATCH(G16,Setup!$K$9:$K$23,0),MATCH(G16,Setup!$M$9:$M$23)))*1000000,0)+IF(AB16&gt;0,IF(AE16=1,RANK(AB16,AB:AB,-1)*1000+AX16,IF(AE16=2,AC16,AD16)),0)))</f>
        <v>510000000</v>
      </c>
      <c r="AZ16" s="39"/>
      <c r="BA16" s="39"/>
      <c r="BB16" s="39"/>
      <c r="BC16" s="39"/>
      <c r="BD16" s="39"/>
      <c r="BE16" s="39"/>
      <c r="BF16" s="39"/>
      <c r="BG16" s="39"/>
      <c r="BH16" s="84"/>
      <c r="BI16" s="84"/>
      <c r="BJ16" s="84"/>
      <c r="BK16" s="84"/>
      <c r="BL16" s="84"/>
      <c r="BM16" s="84"/>
      <c r="BN16" s="30"/>
      <c r="CJ16" s="28">
        <v>0</v>
      </c>
      <c r="CK16" s="28">
        <v>-1</v>
      </c>
      <c r="CL16" s="28">
        <v>-1</v>
      </c>
      <c r="CM16" s="28">
        <v>-1</v>
      </c>
      <c r="CN16" s="28">
        <v>0</v>
      </c>
      <c r="CO16" s="28">
        <v>0</v>
      </c>
      <c r="CP16" s="28">
        <v>0</v>
      </c>
      <c r="CQ16" s="28">
        <v>1</v>
      </c>
      <c r="CR16" s="28">
        <v>-1</v>
      </c>
      <c r="CS16" s="28">
        <v>1</v>
      </c>
      <c r="CT16" s="28">
        <v>0</v>
      </c>
      <c r="CU16" s="28">
        <v>0</v>
      </c>
      <c r="CV16" s="28">
        <v>0</v>
      </c>
      <c r="CW16" s="28">
        <v>-1</v>
      </c>
      <c r="CX16" s="28">
        <v>1</v>
      </c>
      <c r="CY16" s="28">
        <v>-1</v>
      </c>
      <c r="CZ16" s="28">
        <v>0</v>
      </c>
    </row>
    <row r="17" spans="1:104" s="28" customFormat="1" x14ac:dyDescent="0.2">
      <c r="A17" s="33">
        <f t="shared" si="22"/>
        <v>140</v>
      </c>
      <c r="B17" s="17" t="s">
        <v>32</v>
      </c>
      <c r="C17" s="200" t="s">
        <v>208</v>
      </c>
      <c r="D17" s="17">
        <v>23</v>
      </c>
      <c r="E17" s="17" t="s">
        <v>212</v>
      </c>
      <c r="F17" s="17">
        <v>85.05</v>
      </c>
      <c r="G17" s="39">
        <f>IF(OR(E17="",F17=""),"",IF(LEFT(E17,1)="M",VLOOKUP(F17,Setup!$J$9:$K$23,2,TRUE),VLOOKUP(F17,Setup!$L$9:$M$23,2,TRUE)))</f>
        <v>0</v>
      </c>
      <c r="H17" s="39">
        <f>IF(F17="",0,VLOOKUP(AL17,DATA!$L$2:$N$1910,IF(LEFT(E17,1)="F",3,2)))</f>
        <v>0.77195000000000003</v>
      </c>
      <c r="I17" s="17"/>
      <c r="J17" s="17"/>
      <c r="K17" s="293">
        <v>105</v>
      </c>
      <c r="L17" s="293">
        <v>112.5</v>
      </c>
      <c r="M17" s="293">
        <v>117.5</v>
      </c>
      <c r="N17" s="115"/>
      <c r="O17" s="116">
        <f t="shared" si="23"/>
        <v>117.5</v>
      </c>
      <c r="P17" s="205"/>
      <c r="Q17" s="293">
        <v>62.5</v>
      </c>
      <c r="R17" s="293">
        <v>70</v>
      </c>
      <c r="S17" s="293">
        <v>75</v>
      </c>
      <c r="T17" s="115"/>
      <c r="U17" s="116">
        <f t="shared" si="24"/>
        <v>75</v>
      </c>
      <c r="V17" s="117">
        <f t="shared" si="25"/>
        <v>192.5</v>
      </c>
      <c r="W17" s="293">
        <v>125</v>
      </c>
      <c r="X17" s="293">
        <v>135</v>
      </c>
      <c r="Y17" s="293">
        <v>140</v>
      </c>
      <c r="Z17" s="115"/>
      <c r="AA17" s="116">
        <f t="shared" si="26"/>
        <v>140</v>
      </c>
      <c r="AB17" s="117">
        <f t="shared" si="27"/>
        <v>332.5</v>
      </c>
      <c r="AC17" s="118">
        <f t="shared" si="28"/>
        <v>256.67337500000002</v>
      </c>
      <c r="AD17" s="118">
        <f>IF(OR(AB17=0,D17="",D17&lt;40),0,VLOOKUP($D17,DATA!$A$2:$B$53,2,TRUE)*AC17)</f>
        <v>0</v>
      </c>
      <c r="AE17" s="178">
        <f ca="1">IF(E17="","",OFFSET(Setup!$Q$1,MATCH(E17,Setup!O:O,0)-1,0))</f>
        <v>1</v>
      </c>
      <c r="AF17" s="116">
        <f t="shared" ca="1" si="29"/>
        <v>0</v>
      </c>
      <c r="AG17" s="39">
        <f ca="1">IF(OR(AB17=0),0,VLOOKUP(AV17,Setup!$S$6:$T$15,2,TRUE))</f>
        <v>3</v>
      </c>
      <c r="AH17" s="119"/>
      <c r="AI17" s="114" t="s">
        <v>186</v>
      </c>
      <c r="AJ17" s="106">
        <f t="shared" si="30"/>
        <v>1</v>
      </c>
      <c r="AK17" s="39">
        <f t="shared" si="31"/>
        <v>0</v>
      </c>
      <c r="AL17" s="26">
        <f t="shared" si="32"/>
        <v>85.1</v>
      </c>
      <c r="AM17" s="26">
        <f t="shared" si="33"/>
        <v>332.5</v>
      </c>
      <c r="AN17" s="26">
        <f t="shared" si="34"/>
        <v>215</v>
      </c>
      <c r="AO17" s="38" t="str">
        <f t="shared" si="35"/>
        <v>F</v>
      </c>
      <c r="AP17" s="38"/>
      <c r="AQ17" s="28">
        <f t="shared" si="36"/>
        <v>1</v>
      </c>
      <c r="AR17" s="198">
        <f t="shared" ca="1" si="37"/>
        <v>0</v>
      </c>
      <c r="AS17" s="38">
        <f t="shared" ca="1" si="38"/>
        <v>13</v>
      </c>
      <c r="AT17" s="158">
        <f t="shared" ca="1" si="39"/>
        <v>0</v>
      </c>
      <c r="AU17" s="97">
        <f t="shared" ca="1" si="40"/>
        <v>13</v>
      </c>
      <c r="AV17" s="179">
        <f t="shared" ca="1" si="41"/>
        <v>1</v>
      </c>
      <c r="AW17" s="162">
        <f t="shared" si="42"/>
        <v>85.05</v>
      </c>
      <c r="AX17" s="26">
        <f t="shared" si="43"/>
        <v>1</v>
      </c>
      <c r="AY17" s="198" t="e">
        <f ca="1">IF(OR(E17="",F17="",ISERROR(AE17)),0,(100000000*MATCH(E17,INDIRECT($AI$1),0)+IF(AE17=1,(16-IF(AO17="M",MATCH(G17,Setup!$K$9:$K$23,0),MATCH(G17,Setup!$M$9:$M$23)))*1000000,0)+IF(AB17&gt;0,IF(AE17=1,RANK(AB17,AB:AB,-1)*1000+AX17,IF(AE17=2,AC17,AD17)),0)))</f>
        <v>#N/A</v>
      </c>
      <c r="AZ17" s="39"/>
      <c r="BA17" s="39"/>
      <c r="BB17" s="39"/>
      <c r="BC17" s="39"/>
      <c r="BD17" s="39"/>
      <c r="BE17" s="39"/>
      <c r="BF17" s="39"/>
      <c r="BG17" s="39"/>
      <c r="BH17" s="84"/>
      <c r="BI17" s="84"/>
      <c r="BJ17" s="84"/>
      <c r="BK17" s="84"/>
      <c r="BL17" s="84"/>
      <c r="BM17" s="84"/>
      <c r="BN17" s="30"/>
      <c r="CJ17" s="28">
        <v>0</v>
      </c>
      <c r="CK17" s="28">
        <v>1</v>
      </c>
      <c r="CL17" s="28">
        <v>1</v>
      </c>
      <c r="CM17" s="28">
        <v>1</v>
      </c>
      <c r="CN17" s="28">
        <v>0</v>
      </c>
      <c r="CO17" s="28">
        <v>0</v>
      </c>
      <c r="CP17" s="28">
        <v>0</v>
      </c>
      <c r="CQ17" s="28">
        <v>1</v>
      </c>
      <c r="CR17" s="28">
        <v>1</v>
      </c>
      <c r="CS17" s="28">
        <v>1</v>
      </c>
      <c r="CT17" s="28">
        <v>0</v>
      </c>
      <c r="CU17" s="28">
        <v>0</v>
      </c>
      <c r="CV17" s="28">
        <v>0</v>
      </c>
      <c r="CW17" s="28">
        <v>1</v>
      </c>
      <c r="CX17" s="28">
        <v>1</v>
      </c>
      <c r="CY17" s="28">
        <v>1</v>
      </c>
      <c r="CZ17" s="28">
        <v>0</v>
      </c>
    </row>
    <row r="18" spans="1:104" s="28" customFormat="1" x14ac:dyDescent="0.2">
      <c r="A18" s="33">
        <f t="shared" si="22"/>
        <v>142.5</v>
      </c>
      <c r="B18" s="17" t="s">
        <v>32</v>
      </c>
      <c r="C18" s="200" t="s">
        <v>204</v>
      </c>
      <c r="D18" s="17">
        <v>22</v>
      </c>
      <c r="E18" s="17" t="s">
        <v>212</v>
      </c>
      <c r="F18" s="17">
        <v>67</v>
      </c>
      <c r="G18" s="39">
        <f>IF(OR(E18="",F18=""),"",IF(LEFT(E18,1)="M",VLOOKUP(F18,Setup!$J$9:$K$23,2,TRUE),VLOOKUP(F18,Setup!$L$9:$M$23,2,TRUE)))</f>
        <v>76</v>
      </c>
      <c r="H18" s="39">
        <f>IF(F18="",0,VLOOKUP(AL18,DATA!$L$2:$N$1910,IF(LEFT(E18,1)="F",3,2)))</f>
        <v>0.90490000000000004</v>
      </c>
      <c r="I18" s="17"/>
      <c r="J18" s="17"/>
      <c r="K18" s="293">
        <v>115</v>
      </c>
      <c r="L18" s="293">
        <v>125</v>
      </c>
      <c r="M18" s="293">
        <v>135</v>
      </c>
      <c r="N18" s="115"/>
      <c r="O18" s="116">
        <f t="shared" si="23"/>
        <v>135</v>
      </c>
      <c r="P18" s="205"/>
      <c r="Q18" s="293">
        <v>45</v>
      </c>
      <c r="R18" s="293">
        <v>50</v>
      </c>
      <c r="S18" s="293">
        <v>55</v>
      </c>
      <c r="T18" s="115"/>
      <c r="U18" s="116">
        <f t="shared" si="24"/>
        <v>55</v>
      </c>
      <c r="V18" s="117">
        <f t="shared" si="25"/>
        <v>190</v>
      </c>
      <c r="W18" s="293">
        <v>120</v>
      </c>
      <c r="X18" s="293">
        <v>130</v>
      </c>
      <c r="Y18" s="293">
        <v>142.5</v>
      </c>
      <c r="Z18" s="115"/>
      <c r="AA18" s="116">
        <f t="shared" si="26"/>
        <v>142.5</v>
      </c>
      <c r="AB18" s="117">
        <f t="shared" si="27"/>
        <v>332.5</v>
      </c>
      <c r="AC18" s="118">
        <f t="shared" si="28"/>
        <v>300.87925000000001</v>
      </c>
      <c r="AD18" s="118">
        <f>IF(OR(AB18=0,D18="",D18&lt;40),0,VLOOKUP($D18,DATA!$A$2:$B$53,2,TRUE)*AC18)</f>
        <v>0</v>
      </c>
      <c r="AE18" s="178">
        <f ca="1">IF(E18="","",OFFSET(Setup!$Q$1,MATCH(E18,Setup!O:O,0)-1,0))</f>
        <v>1</v>
      </c>
      <c r="AF18" s="116" t="str">
        <f t="shared" ca="1" si="29"/>
        <v>2-F_WOM-76</v>
      </c>
      <c r="AG18" s="39">
        <f ca="1">IF(OR(AB18=0),0,VLOOKUP(AV18,Setup!$S$6:$T$15,2,TRUE))</f>
        <v>3</v>
      </c>
      <c r="AH18" s="119"/>
      <c r="AI18" s="114" t="s">
        <v>186</v>
      </c>
      <c r="AJ18" s="106">
        <f t="shared" si="30"/>
        <v>1</v>
      </c>
      <c r="AK18" s="39">
        <f t="shared" si="31"/>
        <v>0</v>
      </c>
      <c r="AL18" s="26">
        <f t="shared" si="32"/>
        <v>67</v>
      </c>
      <c r="AM18" s="26">
        <f t="shared" si="33"/>
        <v>332.5</v>
      </c>
      <c r="AN18" s="26">
        <f t="shared" si="34"/>
        <v>197.5</v>
      </c>
      <c r="AO18" s="38" t="str">
        <f t="shared" si="35"/>
        <v>F</v>
      </c>
      <c r="AP18" s="38"/>
      <c r="AQ18" s="28">
        <f t="shared" si="36"/>
        <v>1</v>
      </c>
      <c r="AR18" s="198">
        <f t="shared" ca="1" si="37"/>
        <v>510034004</v>
      </c>
      <c r="AS18" s="38">
        <f t="shared" ca="1" si="38"/>
        <v>4</v>
      </c>
      <c r="AT18" s="158">
        <f t="shared" ca="1" si="39"/>
        <v>510</v>
      </c>
      <c r="AU18" s="97">
        <f t="shared" ca="1" si="40"/>
        <v>3</v>
      </c>
      <c r="AV18" s="179">
        <f t="shared" ca="1" si="41"/>
        <v>2</v>
      </c>
      <c r="AW18" s="162">
        <f t="shared" si="42"/>
        <v>67</v>
      </c>
      <c r="AX18" s="26">
        <f t="shared" si="43"/>
        <v>4</v>
      </c>
      <c r="AY18" s="198">
        <f ca="1">IF(OR(E18="",F18="",ISERROR(AE18)),0,(100000000*MATCH(E18,INDIRECT($AI$1),0)+IF(AE18=1,(16-IF(AO18="M",MATCH(G18,Setup!$K$9:$K$23,0),MATCH(G18,Setup!$M$9:$M$23)))*1000000,0)+IF(AB18&gt;0,IF(AE18=1,RANK(AB18,AB:AB,-1)*1000+AX18,IF(AE18=2,AC18,AD18)),0)))</f>
        <v>510034004</v>
      </c>
      <c r="AZ18" s="39"/>
      <c r="BA18" s="39"/>
      <c r="BB18" s="39"/>
      <c r="BC18" s="39"/>
      <c r="BD18" s="39"/>
      <c r="BE18" s="39"/>
      <c r="BF18" s="39"/>
      <c r="BG18" s="39"/>
      <c r="BH18" s="84"/>
      <c r="BI18" s="84"/>
      <c r="BJ18" s="84"/>
      <c r="BK18" s="84"/>
      <c r="BL18" s="84"/>
      <c r="BM18" s="84"/>
      <c r="BN18" s="30"/>
      <c r="CJ18" s="28">
        <v>0</v>
      </c>
      <c r="CK18" s="28">
        <v>1</v>
      </c>
      <c r="CL18" s="28">
        <v>1</v>
      </c>
      <c r="CM18" s="28">
        <v>1</v>
      </c>
      <c r="CN18" s="28">
        <v>0</v>
      </c>
      <c r="CO18" s="28">
        <v>0</v>
      </c>
      <c r="CP18" s="28">
        <v>0</v>
      </c>
      <c r="CQ18" s="28">
        <v>1</v>
      </c>
      <c r="CR18" s="28">
        <v>1</v>
      </c>
      <c r="CS18" s="28">
        <v>1</v>
      </c>
      <c r="CT18" s="28">
        <v>0</v>
      </c>
      <c r="CU18" s="28">
        <v>0</v>
      </c>
      <c r="CV18" s="28">
        <v>0</v>
      </c>
      <c r="CW18" s="28">
        <v>1</v>
      </c>
      <c r="CX18" s="28">
        <v>0</v>
      </c>
      <c r="CY18" s="28">
        <v>1</v>
      </c>
      <c r="CZ18" s="28">
        <v>0</v>
      </c>
    </row>
    <row r="19" spans="1:104" s="28" customFormat="1" x14ac:dyDescent="0.2">
      <c r="A19" s="33">
        <f t="shared" si="22"/>
        <v>150.5</v>
      </c>
      <c r="B19" s="17" t="s">
        <v>32</v>
      </c>
      <c r="C19" s="200" t="s">
        <v>201</v>
      </c>
      <c r="D19" s="17">
        <v>23</v>
      </c>
      <c r="E19" s="17" t="s">
        <v>212</v>
      </c>
      <c r="F19" s="17">
        <v>70.3</v>
      </c>
      <c r="G19" s="39">
        <f>IF(OR(E19="",F19=""),"",IF(LEFT(E19,1)="M",VLOOKUP(F19,Setup!$J$9:$K$23,2,TRUE),VLOOKUP(F19,Setup!$L$9:$M$23,2,TRUE)))</f>
        <v>84</v>
      </c>
      <c r="H19" s="39">
        <f>IF(F19="",0,VLOOKUP(AL19,DATA!$L$2:$N$1910,IF(LEFT(E19,1)="F",3,2)))</f>
        <v>0.87385000000000002</v>
      </c>
      <c r="I19" s="17"/>
      <c r="J19" s="17"/>
      <c r="K19" s="293">
        <v>100</v>
      </c>
      <c r="L19" s="293">
        <v>110</v>
      </c>
      <c r="M19" s="293">
        <v>125</v>
      </c>
      <c r="N19" s="115"/>
      <c r="O19" s="116">
        <f t="shared" si="23"/>
        <v>125</v>
      </c>
      <c r="P19" s="205"/>
      <c r="Q19" s="293">
        <v>60</v>
      </c>
      <c r="R19" s="115">
        <v>-70</v>
      </c>
      <c r="S19" s="115">
        <v>-70</v>
      </c>
      <c r="T19" s="115"/>
      <c r="U19" s="116">
        <f t="shared" si="24"/>
        <v>60</v>
      </c>
      <c r="V19" s="117">
        <f t="shared" si="25"/>
        <v>185</v>
      </c>
      <c r="W19" s="293">
        <v>120</v>
      </c>
      <c r="X19" s="293">
        <v>130</v>
      </c>
      <c r="Y19" s="115">
        <v>-150.5</v>
      </c>
      <c r="Z19" s="115"/>
      <c r="AA19" s="116">
        <f t="shared" si="26"/>
        <v>130</v>
      </c>
      <c r="AB19" s="117">
        <f t="shared" si="27"/>
        <v>315</v>
      </c>
      <c r="AC19" s="118">
        <f t="shared" si="28"/>
        <v>275.26274999999998</v>
      </c>
      <c r="AD19" s="118">
        <f>IF(OR(AB19=0,D19="",D19&lt;40),0,VLOOKUP($D19,DATA!$A$2:$B$53,2,TRUE)*AC19)</f>
        <v>0</v>
      </c>
      <c r="AE19" s="178">
        <f ca="1">IF(E19="","",OFFSET(Setup!$Q$1,MATCH(E19,Setup!O:O,0)-1,0))</f>
        <v>1</v>
      </c>
      <c r="AF19" s="116" t="str">
        <f t="shared" ca="1" si="29"/>
        <v>1-F_WOM-84</v>
      </c>
      <c r="AG19" s="39">
        <f ca="1">IF(OR(AB19=0),0,VLOOKUP(AV19,Setup!$S$6:$T$15,2,TRUE))</f>
        <v>3</v>
      </c>
      <c r="AH19" s="119"/>
      <c r="AI19" s="114" t="s">
        <v>186</v>
      </c>
      <c r="AJ19" s="106">
        <f t="shared" si="30"/>
        <v>1</v>
      </c>
      <c r="AK19" s="39">
        <f t="shared" si="31"/>
        <v>0</v>
      </c>
      <c r="AL19" s="26">
        <f t="shared" si="32"/>
        <v>70.3</v>
      </c>
      <c r="AM19" s="26">
        <f t="shared" si="33"/>
        <v>315</v>
      </c>
      <c r="AN19" s="26">
        <f t="shared" si="34"/>
        <v>190</v>
      </c>
      <c r="AO19" s="38" t="str">
        <f t="shared" si="35"/>
        <v>F</v>
      </c>
      <c r="AP19" s="38"/>
      <c r="AQ19" s="28">
        <f t="shared" si="36"/>
        <v>1</v>
      </c>
      <c r="AR19" s="198">
        <f t="shared" ca="1" si="37"/>
        <v>509033002</v>
      </c>
      <c r="AS19" s="38">
        <f t="shared" ca="1" si="38"/>
        <v>10</v>
      </c>
      <c r="AT19" s="158">
        <f t="shared" ca="1" si="39"/>
        <v>509</v>
      </c>
      <c r="AU19" s="97">
        <f t="shared" ca="1" si="40"/>
        <v>10</v>
      </c>
      <c r="AV19" s="179">
        <f t="shared" ca="1" si="41"/>
        <v>1</v>
      </c>
      <c r="AW19" s="162">
        <f t="shared" si="42"/>
        <v>70.3</v>
      </c>
      <c r="AX19" s="26">
        <f t="shared" si="43"/>
        <v>2</v>
      </c>
      <c r="AY19" s="198">
        <f ca="1">IF(OR(E19="",F19="",ISERROR(AE19)),0,(100000000*MATCH(E19,INDIRECT($AI$1),0)+IF(AE19=1,(16-IF(AO19="M",MATCH(G19,Setup!$K$9:$K$23,0),MATCH(G19,Setup!$M$9:$M$23)))*1000000,0)+IF(AB19&gt;0,IF(AE19=1,RANK(AB19,AB:AB,-1)*1000+AX19,IF(AE19=2,AC19,AD19)),0)))</f>
        <v>509033002</v>
      </c>
      <c r="AZ19" s="39"/>
      <c r="BA19" s="39"/>
      <c r="BB19" s="39"/>
      <c r="BC19" s="39"/>
      <c r="BD19" s="39"/>
      <c r="BE19" s="39"/>
      <c r="BF19" s="39"/>
      <c r="BG19" s="39"/>
      <c r="BH19" s="84"/>
      <c r="BI19" s="84"/>
      <c r="BJ19" s="84"/>
      <c r="BK19" s="84"/>
      <c r="BL19" s="84"/>
      <c r="BM19" s="84"/>
      <c r="BN19" s="30"/>
      <c r="CJ19" s="28">
        <v>0</v>
      </c>
      <c r="CK19" s="28">
        <v>1</v>
      </c>
      <c r="CL19" s="28">
        <v>1</v>
      </c>
      <c r="CM19" s="28">
        <v>1</v>
      </c>
      <c r="CN19" s="28">
        <v>0</v>
      </c>
      <c r="CO19" s="28">
        <v>0</v>
      </c>
      <c r="CP19" s="28">
        <v>0</v>
      </c>
      <c r="CQ19" s="28">
        <v>1</v>
      </c>
      <c r="CR19" s="28">
        <v>-1</v>
      </c>
      <c r="CS19" s="28">
        <v>-1</v>
      </c>
      <c r="CT19" s="28">
        <v>0</v>
      </c>
      <c r="CU19" s="28">
        <v>0</v>
      </c>
      <c r="CV19" s="28">
        <v>0</v>
      </c>
      <c r="CW19" s="28">
        <v>1</v>
      </c>
      <c r="CX19" s="28">
        <v>1</v>
      </c>
      <c r="CY19" s="28">
        <v>-1</v>
      </c>
      <c r="CZ19" s="28">
        <v>0</v>
      </c>
    </row>
    <row r="20" spans="1:104" s="28" customFormat="1" x14ac:dyDescent="0.2">
      <c r="A20" s="33">
        <f t="shared" si="22"/>
        <v>175</v>
      </c>
      <c r="B20" s="17" t="s">
        <v>32</v>
      </c>
      <c r="C20" s="200" t="s">
        <v>209</v>
      </c>
      <c r="D20" s="17">
        <v>21</v>
      </c>
      <c r="E20" s="17" t="s">
        <v>212</v>
      </c>
      <c r="F20" s="17">
        <v>66.599999999999994</v>
      </c>
      <c r="G20" s="39">
        <f>IF(OR(E20="",F20=""),"",IF(LEFT(E20,1)="M",VLOOKUP(F20,Setup!$J$9:$K$23,2,TRUE),VLOOKUP(F20,Setup!$L$9:$M$23,2,TRUE)))</f>
        <v>76</v>
      </c>
      <c r="H20" s="39">
        <f>IF(F20="",0,VLOOKUP(AL20,DATA!$L$2:$N$1910,IF(LEFT(E20,1)="F",3,2)))</f>
        <v>0.90915000000000001</v>
      </c>
      <c r="I20" s="17"/>
      <c r="J20" s="17"/>
      <c r="K20" s="293">
        <v>120</v>
      </c>
      <c r="L20" s="293">
        <v>130</v>
      </c>
      <c r="M20" s="293">
        <v>140</v>
      </c>
      <c r="N20" s="115"/>
      <c r="O20" s="116">
        <f t="shared" si="23"/>
        <v>140</v>
      </c>
      <c r="P20" s="205"/>
      <c r="Q20" s="293">
        <v>55</v>
      </c>
      <c r="R20" s="293">
        <v>65</v>
      </c>
      <c r="S20" s="115">
        <v>-70</v>
      </c>
      <c r="T20" s="115"/>
      <c r="U20" s="116">
        <f t="shared" si="24"/>
        <v>65</v>
      </c>
      <c r="V20" s="117">
        <f t="shared" si="25"/>
        <v>205</v>
      </c>
      <c r="W20" s="293">
        <v>150</v>
      </c>
      <c r="X20" s="293">
        <v>165</v>
      </c>
      <c r="Y20" s="293">
        <v>175</v>
      </c>
      <c r="Z20" s="115"/>
      <c r="AA20" s="116">
        <f t="shared" si="26"/>
        <v>175</v>
      </c>
      <c r="AB20" s="117">
        <f t="shared" si="27"/>
        <v>380</v>
      </c>
      <c r="AC20" s="118">
        <f t="shared" si="28"/>
        <v>345.47700000000003</v>
      </c>
      <c r="AD20" s="118">
        <f>IF(OR(AB20=0,D20="",D20&lt;40),0,VLOOKUP($D20,DATA!$A$2:$B$53,2,TRUE)*AC20)</f>
        <v>0</v>
      </c>
      <c r="AE20" s="178">
        <f ca="1">IF(E20="","",OFFSET(Setup!$Q$1,MATCH(E20,Setup!O:O,0)-1,0))</f>
        <v>1</v>
      </c>
      <c r="AF20" s="116" t="str">
        <f t="shared" ca="1" si="29"/>
        <v>1-F_WOM-76</v>
      </c>
      <c r="AG20" s="39">
        <f ca="1">IF(OR(AB20=0),0,VLOOKUP(AV20,Setup!$S$6:$T$15,2,TRUE))</f>
        <v>3</v>
      </c>
      <c r="AH20" s="119"/>
      <c r="AI20" s="114" t="s">
        <v>186</v>
      </c>
      <c r="AJ20" s="106">
        <f t="shared" si="30"/>
        <v>1</v>
      </c>
      <c r="AK20" s="39">
        <f t="shared" si="31"/>
        <v>0</v>
      </c>
      <c r="AL20" s="26">
        <f t="shared" si="32"/>
        <v>66.599999999999994</v>
      </c>
      <c r="AM20" s="26">
        <f t="shared" si="33"/>
        <v>380</v>
      </c>
      <c r="AN20" s="26">
        <f t="shared" si="34"/>
        <v>240</v>
      </c>
      <c r="AO20" s="38" t="str">
        <f t="shared" si="35"/>
        <v>F</v>
      </c>
      <c r="AP20" s="38"/>
      <c r="AQ20" s="28">
        <f t="shared" si="36"/>
        <v>1</v>
      </c>
      <c r="AR20" s="198">
        <f t="shared" ca="1" si="37"/>
        <v>510036005</v>
      </c>
      <c r="AS20" s="38">
        <f t="shared" ca="1" si="38"/>
        <v>3</v>
      </c>
      <c r="AT20" s="158">
        <f t="shared" ca="1" si="39"/>
        <v>510</v>
      </c>
      <c r="AU20" s="97">
        <f t="shared" ca="1" si="40"/>
        <v>3</v>
      </c>
      <c r="AV20" s="179">
        <f t="shared" ca="1" si="41"/>
        <v>1</v>
      </c>
      <c r="AW20" s="162">
        <f t="shared" si="42"/>
        <v>66.599999999999994</v>
      </c>
      <c r="AX20" s="26">
        <f t="shared" si="43"/>
        <v>5</v>
      </c>
      <c r="AY20" s="198">
        <f ca="1">IF(OR(E20="",F20="",ISERROR(AE20)),0,(100000000*MATCH(E20,INDIRECT($AI$1),0)+IF(AE20=1,(16-IF(AO20="M",MATCH(G20,Setup!$K$9:$K$23,0),MATCH(G20,Setup!$M$9:$M$23)))*1000000,0)+IF(AB20&gt;0,IF(AE20=1,RANK(AB20,AB:AB,-1)*1000+AX20,IF(AE20=2,AC20,AD20)),0)))</f>
        <v>510036005</v>
      </c>
      <c r="AZ20" s="39"/>
      <c r="BA20" s="39"/>
      <c r="BB20" s="39"/>
      <c r="BC20" s="39"/>
      <c r="BD20" s="39"/>
      <c r="BE20" s="39"/>
      <c r="BF20" s="39"/>
      <c r="BG20" s="39"/>
      <c r="BH20" s="84"/>
      <c r="BI20" s="84"/>
      <c r="BJ20" s="84"/>
      <c r="BK20" s="84"/>
      <c r="BL20" s="84"/>
      <c r="BM20" s="84"/>
      <c r="BN20" s="30"/>
      <c r="CJ20" s="28">
        <v>0</v>
      </c>
      <c r="CK20" s="28">
        <v>1</v>
      </c>
      <c r="CL20" s="28">
        <v>1</v>
      </c>
      <c r="CM20" s="28">
        <v>1</v>
      </c>
      <c r="CN20" s="28">
        <v>0</v>
      </c>
      <c r="CO20" s="28">
        <v>0</v>
      </c>
      <c r="CP20" s="28">
        <v>0</v>
      </c>
      <c r="CQ20" s="28">
        <v>1</v>
      </c>
      <c r="CR20" s="28">
        <v>1</v>
      </c>
      <c r="CS20" s="28">
        <v>-1</v>
      </c>
      <c r="CT20" s="28">
        <v>0</v>
      </c>
      <c r="CU20" s="28">
        <v>0</v>
      </c>
      <c r="CV20" s="28">
        <v>0</v>
      </c>
      <c r="CW20" s="28">
        <v>1</v>
      </c>
      <c r="CX20" s="28">
        <v>1</v>
      </c>
      <c r="CY20" s="28">
        <v>1</v>
      </c>
      <c r="CZ20" s="28">
        <v>0</v>
      </c>
    </row>
    <row r="21" spans="1:104" s="28" customFormat="1" x14ac:dyDescent="0.2">
      <c r="A21" s="33">
        <f t="shared" si="22"/>
        <v>205</v>
      </c>
      <c r="B21" s="17" t="s">
        <v>32</v>
      </c>
      <c r="C21" s="200" t="s">
        <v>199</v>
      </c>
      <c r="D21" s="17">
        <v>18</v>
      </c>
      <c r="E21" s="17" t="s">
        <v>187</v>
      </c>
      <c r="F21" s="17">
        <v>57</v>
      </c>
      <c r="G21" s="39">
        <f>IF(OR(E21="",F21=""),"",IF(LEFT(E21,1)="M",VLOOKUP(F21,Setup!$J$9:$K$23,2,TRUE),VLOOKUP(F21,Setup!$L$9:$M$23,2,TRUE)))</f>
        <v>59</v>
      </c>
      <c r="H21" s="39">
        <f>IF(F21="",0,VLOOKUP(AL21,DATA!$L$2:$N$1910,IF(LEFT(E21,1)="F",3,2)))</f>
        <v>0.87644999999999995</v>
      </c>
      <c r="I21" s="17"/>
      <c r="J21" s="17"/>
      <c r="K21" s="293">
        <v>140</v>
      </c>
      <c r="L21" s="293">
        <v>155</v>
      </c>
      <c r="M21" s="115">
        <v>-160</v>
      </c>
      <c r="N21" s="115"/>
      <c r="O21" s="116">
        <f t="shared" si="23"/>
        <v>155</v>
      </c>
      <c r="P21" s="205"/>
      <c r="Q21" s="293">
        <v>70</v>
      </c>
      <c r="R21" s="293">
        <v>85</v>
      </c>
      <c r="S21" s="115">
        <v>-90</v>
      </c>
      <c r="T21" s="115"/>
      <c r="U21" s="116">
        <f t="shared" si="24"/>
        <v>85</v>
      </c>
      <c r="V21" s="117">
        <f t="shared" si="25"/>
        <v>240</v>
      </c>
      <c r="W21" s="293">
        <v>175</v>
      </c>
      <c r="X21" s="293">
        <v>190</v>
      </c>
      <c r="Y21" s="115">
        <v>-205</v>
      </c>
      <c r="Z21" s="115"/>
      <c r="AA21" s="116">
        <f t="shared" si="26"/>
        <v>190</v>
      </c>
      <c r="AB21" s="117">
        <f t="shared" si="27"/>
        <v>430</v>
      </c>
      <c r="AC21" s="118">
        <f t="shared" si="28"/>
        <v>376.87349999999998</v>
      </c>
      <c r="AD21" s="118">
        <f>IF(OR(AB21=0,D21="",D21&lt;40),0,VLOOKUP($D21,DATA!$A$2:$B$53,2,TRUE)*AC21)</f>
        <v>0</v>
      </c>
      <c r="AE21" s="178">
        <f ca="1">IF(E21="","",OFFSET(Setup!$Q$1,MATCH(E21,Setup!O:O,0)-1,0))</f>
        <v>1</v>
      </c>
      <c r="AF21" s="116" t="str">
        <f t="shared" ca="1" si="29"/>
        <v>1-M_OR_JUN-59</v>
      </c>
      <c r="AG21" s="39">
        <f ca="1">IF(OR(AB21=0),0,VLOOKUP(AV21,Setup!$S$6:$T$15,2,TRUE))</f>
        <v>3</v>
      </c>
      <c r="AH21" s="119"/>
      <c r="AI21" s="114" t="s">
        <v>186</v>
      </c>
      <c r="AJ21" s="106">
        <f t="shared" si="30"/>
        <v>1</v>
      </c>
      <c r="AK21" s="39">
        <f t="shared" si="31"/>
        <v>0</v>
      </c>
      <c r="AL21" s="26">
        <f t="shared" si="32"/>
        <v>57</v>
      </c>
      <c r="AM21" s="26">
        <f t="shared" si="33"/>
        <v>430</v>
      </c>
      <c r="AN21" s="26">
        <f t="shared" si="34"/>
        <v>275</v>
      </c>
      <c r="AO21" s="38" t="str">
        <f t="shared" si="35"/>
        <v>M</v>
      </c>
      <c r="AP21" s="38"/>
      <c r="AQ21" s="28">
        <f t="shared" si="36"/>
        <v>1</v>
      </c>
      <c r="AR21" s="198">
        <f t="shared" ca="1" si="37"/>
        <v>115037012</v>
      </c>
      <c r="AS21" s="38">
        <f t="shared" ca="1" si="38"/>
        <v>12</v>
      </c>
      <c r="AT21" s="158">
        <f t="shared" ca="1" si="39"/>
        <v>115</v>
      </c>
      <c r="AU21" s="97">
        <f t="shared" ca="1" si="40"/>
        <v>12</v>
      </c>
      <c r="AV21" s="179">
        <f t="shared" ca="1" si="41"/>
        <v>1</v>
      </c>
      <c r="AW21" s="162">
        <f t="shared" si="42"/>
        <v>57</v>
      </c>
      <c r="AX21" s="26">
        <f t="shared" si="43"/>
        <v>12</v>
      </c>
      <c r="AY21" s="198">
        <f ca="1">IF(OR(E21="",F21="",ISERROR(AE21)),0,(100000000*MATCH(E21,INDIRECT($AI$1),0)+IF(AE21=1,(16-IF(AO21="M",MATCH(G21,Setup!$K$9:$K$23,0),MATCH(G21,Setup!$M$9:$M$23)))*1000000,0)+IF(AB21&gt;0,IF(AE21=1,RANK(AB21,AB:AB,-1)*1000+AX21,IF(AE21=2,AC21,AD21)),0)))</f>
        <v>115037012</v>
      </c>
      <c r="AZ21" s="39"/>
      <c r="BA21" s="39"/>
      <c r="BB21" s="39"/>
      <c r="BC21" s="39"/>
      <c r="BD21" s="39"/>
      <c r="BE21" s="39"/>
      <c r="BF21" s="39"/>
      <c r="BG21" s="39"/>
      <c r="BH21" s="84"/>
      <c r="BI21" s="84"/>
      <c r="BJ21" s="84"/>
      <c r="BK21" s="84"/>
      <c r="BL21" s="84"/>
      <c r="BM21" s="84"/>
      <c r="BN21" s="30"/>
      <c r="CJ21" s="28">
        <v>0</v>
      </c>
      <c r="CK21" s="28">
        <v>1</v>
      </c>
      <c r="CL21" s="28">
        <v>1</v>
      </c>
      <c r="CM21" s="28">
        <v>-1</v>
      </c>
      <c r="CN21" s="28">
        <v>0</v>
      </c>
      <c r="CO21" s="28">
        <v>0</v>
      </c>
      <c r="CP21" s="28">
        <v>0</v>
      </c>
      <c r="CQ21" s="28">
        <v>1</v>
      </c>
      <c r="CR21" s="28">
        <v>1</v>
      </c>
      <c r="CS21" s="28">
        <v>-1</v>
      </c>
      <c r="CT21" s="28">
        <v>0</v>
      </c>
      <c r="CU21" s="28">
        <v>0</v>
      </c>
      <c r="CV21" s="28">
        <v>0</v>
      </c>
      <c r="CW21" s="28">
        <v>1</v>
      </c>
      <c r="CX21" s="28">
        <v>1</v>
      </c>
      <c r="CY21" s="28">
        <v>-1</v>
      </c>
      <c r="CZ21" s="28">
        <v>0</v>
      </c>
    </row>
    <row r="22" spans="1:104" s="28" customFormat="1" x14ac:dyDescent="0.2">
      <c r="A22" s="33">
        <f t="shared" si="22"/>
        <v>207</v>
      </c>
      <c r="B22" s="17" t="s">
        <v>32</v>
      </c>
      <c r="C22" s="200" t="s">
        <v>198</v>
      </c>
      <c r="D22" s="17">
        <v>23</v>
      </c>
      <c r="E22" s="17" t="s">
        <v>188</v>
      </c>
      <c r="F22" s="17">
        <v>58.35</v>
      </c>
      <c r="G22" s="39">
        <f>IF(OR(E22="",F22=""),"",IF(LEFT(E22,1)="M",VLOOKUP(F22,Setup!$J$9:$K$23,2,TRUE),VLOOKUP(F22,Setup!$L$9:$M$23,2,TRUE)))</f>
        <v>59</v>
      </c>
      <c r="H22" s="39">
        <f>IF(F22="",0,VLOOKUP(AL22,DATA!$L$2:$N$1910,IF(LEFT(E22,1)="F",3,2)))</f>
        <v>0.85529999999999995</v>
      </c>
      <c r="I22" s="17"/>
      <c r="J22" s="17"/>
      <c r="K22" s="293">
        <v>180</v>
      </c>
      <c r="L22" s="115">
        <v>-190</v>
      </c>
      <c r="M22" s="115">
        <v>-190</v>
      </c>
      <c r="N22" s="115"/>
      <c r="O22" s="116">
        <f t="shared" si="23"/>
        <v>180</v>
      </c>
      <c r="P22" s="205"/>
      <c r="Q22" s="293">
        <v>105</v>
      </c>
      <c r="R22" s="293">
        <v>107.5</v>
      </c>
      <c r="S22" s="293">
        <v>113</v>
      </c>
      <c r="T22" s="115"/>
      <c r="U22" s="116">
        <f t="shared" si="24"/>
        <v>113</v>
      </c>
      <c r="V22" s="117">
        <f t="shared" si="25"/>
        <v>293</v>
      </c>
      <c r="W22" s="293">
        <v>190</v>
      </c>
      <c r="X22" s="293">
        <v>200.5</v>
      </c>
      <c r="Y22" s="115">
        <v>-207</v>
      </c>
      <c r="Z22" s="115"/>
      <c r="AA22" s="116">
        <f t="shared" si="26"/>
        <v>200.5</v>
      </c>
      <c r="AB22" s="117">
        <f t="shared" si="27"/>
        <v>493.5</v>
      </c>
      <c r="AC22" s="118">
        <f t="shared" si="28"/>
        <v>422.09054999999995</v>
      </c>
      <c r="AD22" s="118">
        <f>IF(OR(AB22=0,D22="",D22&lt;40),0,VLOOKUP($D22,DATA!$A$2:$B$53,2,TRUE)*AC22)</f>
        <v>0</v>
      </c>
      <c r="AE22" s="178">
        <f ca="1">IF(E22="","",OFFSET(Setup!$Q$1,MATCH(E22,Setup!O:O,0)-1,0))</f>
        <v>1</v>
      </c>
      <c r="AF22" s="116" t="str">
        <f t="shared" ca="1" si="29"/>
        <v>1-M_OR_OPEN-59</v>
      </c>
      <c r="AG22" s="39">
        <f ca="1">IF(OR(AB22=0),0,VLOOKUP(AV22,Setup!$S$6:$T$15,2,TRUE))</f>
        <v>3</v>
      </c>
      <c r="AH22" s="119"/>
      <c r="AI22" s="114" t="s">
        <v>186</v>
      </c>
      <c r="AJ22" s="106">
        <f t="shared" si="30"/>
        <v>1</v>
      </c>
      <c r="AK22" s="39">
        <f t="shared" si="31"/>
        <v>0</v>
      </c>
      <c r="AL22" s="26">
        <f t="shared" si="32"/>
        <v>58.4</v>
      </c>
      <c r="AM22" s="26">
        <f t="shared" si="33"/>
        <v>493.5</v>
      </c>
      <c r="AN22" s="26">
        <f t="shared" si="34"/>
        <v>313.5</v>
      </c>
      <c r="AO22" s="38" t="str">
        <f t="shared" si="35"/>
        <v>M</v>
      </c>
      <c r="AP22" s="38"/>
      <c r="AQ22" s="28">
        <f t="shared" si="36"/>
        <v>1</v>
      </c>
      <c r="AR22" s="198">
        <f t="shared" ca="1" si="37"/>
        <v>215038011</v>
      </c>
      <c r="AS22" s="38">
        <f t="shared" ca="1" si="38"/>
        <v>11</v>
      </c>
      <c r="AT22" s="158">
        <f t="shared" ca="1" si="39"/>
        <v>215</v>
      </c>
      <c r="AU22" s="97">
        <f t="shared" ca="1" si="40"/>
        <v>11</v>
      </c>
      <c r="AV22" s="179">
        <f t="shared" ca="1" si="41"/>
        <v>1</v>
      </c>
      <c r="AW22" s="162">
        <f t="shared" si="42"/>
        <v>58.35</v>
      </c>
      <c r="AX22" s="26">
        <f t="shared" si="43"/>
        <v>11</v>
      </c>
      <c r="AY22" s="198">
        <f ca="1">IF(OR(E22="",F22="",ISERROR(AE22)),0,(100000000*MATCH(E22,INDIRECT($AI$1),0)+IF(AE22=1,(16-IF(AO22="M",MATCH(G22,Setup!$K$9:$K$23,0),MATCH(G22,Setup!$M$9:$M$23)))*1000000,0)+IF(AB22&gt;0,IF(AE22=1,RANK(AB22,AB:AB,-1)*1000+AX22,IF(AE22=2,AC22,AD22)),0)))</f>
        <v>215038011</v>
      </c>
      <c r="AZ22" s="39"/>
      <c r="BA22" s="39"/>
      <c r="BB22" s="39"/>
      <c r="BC22" s="39"/>
      <c r="BD22" s="39"/>
      <c r="BE22" s="39"/>
      <c r="BF22" s="39"/>
      <c r="BG22" s="39"/>
      <c r="BH22" s="84"/>
      <c r="BI22" s="84"/>
      <c r="BJ22" s="84"/>
      <c r="BK22" s="84"/>
      <c r="BL22" s="84"/>
      <c r="BM22" s="84"/>
      <c r="BN22" s="30"/>
      <c r="CJ22" s="28">
        <v>0</v>
      </c>
      <c r="CK22" s="28">
        <v>1</v>
      </c>
      <c r="CL22" s="28">
        <v>-1</v>
      </c>
      <c r="CM22" s="28">
        <v>-1</v>
      </c>
      <c r="CN22" s="28">
        <v>0</v>
      </c>
      <c r="CO22" s="28">
        <v>0</v>
      </c>
      <c r="CP22" s="28">
        <v>0</v>
      </c>
      <c r="CQ22" s="28">
        <v>1</v>
      </c>
      <c r="CR22" s="28">
        <v>1</v>
      </c>
      <c r="CS22" s="28">
        <v>1</v>
      </c>
      <c r="CT22" s="28">
        <v>0</v>
      </c>
      <c r="CU22" s="28">
        <v>0</v>
      </c>
      <c r="CV22" s="28">
        <v>0</v>
      </c>
      <c r="CW22" s="28">
        <v>1</v>
      </c>
      <c r="CX22" s="28">
        <v>1</v>
      </c>
      <c r="CY22" s="28">
        <v>-1</v>
      </c>
      <c r="CZ22" s="28">
        <v>0</v>
      </c>
    </row>
    <row r="23" spans="1:104" s="28" customFormat="1" x14ac:dyDescent="0.2">
      <c r="A23" s="33" t="str">
        <f t="shared" si="22"/>
        <v/>
      </c>
      <c r="B23" s="17" t="s">
        <v>32</v>
      </c>
      <c r="C23" s="200"/>
      <c r="D23" s="17"/>
      <c r="E23" s="17"/>
      <c r="F23" s="17"/>
      <c r="G23" s="39" t="str">
        <f>IF(OR(E23="",F23=""),"",IF(LEFT(E23,1)="M",VLOOKUP(F23,Setup!$J$9:$K$23,2,TRUE),VLOOKUP(F23,Setup!$L$9:$M$23,2,TRUE)))</f>
        <v/>
      </c>
      <c r="H23" s="39">
        <f>IF(F23="",0,VLOOKUP(AL23,DATA!$L$2:$N$1910,IF(LEFT(E23,1)="F",3,2)))</f>
        <v>0</v>
      </c>
      <c r="I23" s="17"/>
      <c r="J23" s="17"/>
      <c r="K23" s="115"/>
      <c r="L23" s="115"/>
      <c r="M23" s="115"/>
      <c r="N23" s="115"/>
      <c r="O23" s="116">
        <f t="shared" si="23"/>
        <v>0</v>
      </c>
      <c r="P23" s="205"/>
      <c r="Q23" s="115"/>
      <c r="R23" s="115"/>
      <c r="S23" s="115"/>
      <c r="T23" s="115"/>
      <c r="U23" s="116">
        <f t="shared" si="24"/>
        <v>0</v>
      </c>
      <c r="V23" s="117">
        <f t="shared" si="25"/>
        <v>0</v>
      </c>
      <c r="W23" s="115"/>
      <c r="X23" s="115"/>
      <c r="Y23" s="115"/>
      <c r="Z23" s="115"/>
      <c r="AA23" s="116">
        <f t="shared" si="26"/>
        <v>0</v>
      </c>
      <c r="AB23" s="117">
        <f t="shared" si="27"/>
        <v>0</v>
      </c>
      <c r="AC23" s="118">
        <f t="shared" si="28"/>
        <v>0</v>
      </c>
      <c r="AD23" s="118">
        <f>IF(OR(AB23=0,D23="",D23&lt;40),0,VLOOKUP($D23,DATA!$A$2:$B$53,2,TRUE)*AC23)</f>
        <v>0</v>
      </c>
      <c r="AE23" s="178" t="str">
        <f ca="1">IF(E23="","",OFFSET(Setup!$Q$1,MATCH(E23,Setup!O:O,0)-1,0))</f>
        <v/>
      </c>
      <c r="AF23" s="116">
        <f t="shared" ca="1" si="29"/>
        <v>0</v>
      </c>
      <c r="AG23" s="39">
        <f>IF(OR(AB23=0),0,VLOOKUP(AV23,Setup!$S$6:$T$15,2,TRUE))</f>
        <v>0</v>
      </c>
      <c r="AH23" s="119"/>
      <c r="AI23" s="114" t="s">
        <v>186</v>
      </c>
      <c r="AJ23" s="106">
        <f t="shared" si="30"/>
        <v>1</v>
      </c>
      <c r="AK23" s="39">
        <f t="shared" si="31"/>
        <v>0</v>
      </c>
      <c r="AL23" s="26">
        <f t="shared" si="32"/>
        <v>0</v>
      </c>
      <c r="AM23" s="26">
        <f t="shared" si="33"/>
        <v>0</v>
      </c>
      <c r="AN23" s="26">
        <f t="shared" si="34"/>
        <v>0</v>
      </c>
      <c r="AO23" s="38" t="str">
        <f t="shared" si="35"/>
        <v/>
      </c>
      <c r="AP23" s="38"/>
      <c r="AQ23" s="28">
        <f t="shared" si="36"/>
        <v>0</v>
      </c>
      <c r="AR23" s="198">
        <f t="shared" ca="1" si="37"/>
        <v>0</v>
      </c>
      <c r="AS23" s="38">
        <f t="shared" ca="1" si="38"/>
        <v>13</v>
      </c>
      <c r="AT23" s="158">
        <f t="shared" ca="1" si="39"/>
        <v>0</v>
      </c>
      <c r="AU23" s="97">
        <f t="shared" ca="1" si="40"/>
        <v>13</v>
      </c>
      <c r="AV23" s="179">
        <f t="shared" ca="1" si="41"/>
        <v>1</v>
      </c>
      <c r="AW23" s="162">
        <f t="shared" si="42"/>
        <v>0</v>
      </c>
      <c r="AX23" s="26">
        <f t="shared" si="43"/>
        <v>14</v>
      </c>
      <c r="AY23" s="198">
        <f ca="1">IF(OR(E23="",F23="",ISERROR(AE23)),0,(100000000*MATCH(E23,INDIRECT($AI$1),0)+IF(AE23=1,(16-IF(AO23="M",MATCH(G23,Setup!$K$9:$K$23,0),MATCH(G23,Setup!$M$9:$M$23)))*1000000,0)+IF(AB23&gt;0,IF(AE23=1,RANK(AB23,AB:AB,-1)*1000+AX23,IF(AE23=2,AC23,AD23)),0)))</f>
        <v>0</v>
      </c>
      <c r="AZ23" s="39"/>
      <c r="BA23" s="39"/>
      <c r="BB23" s="39"/>
      <c r="BC23" s="39"/>
      <c r="BD23" s="39"/>
      <c r="BE23" s="39"/>
      <c r="BF23" s="39"/>
      <c r="BG23" s="39"/>
      <c r="BH23" s="84"/>
      <c r="BI23" s="84"/>
      <c r="BJ23" s="84"/>
      <c r="BK23" s="84"/>
      <c r="BL23" s="84"/>
      <c r="BM23" s="84"/>
      <c r="BN23" s="30"/>
      <c r="CJ23" s="28">
        <v>0</v>
      </c>
      <c r="CK23" s="28">
        <v>0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  <c r="CR23" s="28">
        <v>0</v>
      </c>
      <c r="CS23" s="28">
        <v>0</v>
      </c>
      <c r="CT23" s="28">
        <v>0</v>
      </c>
      <c r="CU23" s="28">
        <v>0</v>
      </c>
      <c r="CV23" s="28">
        <v>0</v>
      </c>
      <c r="CW23" s="28">
        <v>0</v>
      </c>
      <c r="CX23" s="28">
        <v>0</v>
      </c>
      <c r="CY23" s="28">
        <v>0</v>
      </c>
      <c r="CZ23" s="28">
        <v>0</v>
      </c>
    </row>
    <row r="24" spans="1:104" s="28" customFormat="1" x14ac:dyDescent="0.2">
      <c r="A24" s="33" t="str">
        <f t="shared" si="22"/>
        <v/>
      </c>
      <c r="B24" s="17" t="s">
        <v>32</v>
      </c>
      <c r="C24" s="200"/>
      <c r="D24" s="17"/>
      <c r="E24" s="17"/>
      <c r="F24" s="17"/>
      <c r="G24" s="39" t="str">
        <f>IF(OR(E24="",F24=""),"",IF(LEFT(E24,1)="M",VLOOKUP(F24,Setup!$J$9:$K$23,2,TRUE),VLOOKUP(F24,Setup!$L$9:$M$23,2,TRUE)))</f>
        <v/>
      </c>
      <c r="H24" s="39">
        <f>IF(F24="",0,VLOOKUP(AL24,DATA!$L$2:$N$1910,IF(LEFT(E24,1)="F",3,2)))</f>
        <v>0</v>
      </c>
      <c r="I24" s="17"/>
      <c r="J24" s="17"/>
      <c r="K24" s="115"/>
      <c r="L24" s="115"/>
      <c r="M24" s="115"/>
      <c r="N24" s="115"/>
      <c r="O24" s="116">
        <f t="shared" si="23"/>
        <v>0</v>
      </c>
      <c r="P24" s="205"/>
      <c r="Q24" s="115"/>
      <c r="R24" s="115"/>
      <c r="S24" s="115"/>
      <c r="T24" s="115"/>
      <c r="U24" s="116">
        <f t="shared" si="24"/>
        <v>0</v>
      </c>
      <c r="V24" s="117">
        <f t="shared" si="25"/>
        <v>0</v>
      </c>
      <c r="W24" s="115"/>
      <c r="X24" s="115"/>
      <c r="Y24" s="115"/>
      <c r="Z24" s="115"/>
      <c r="AA24" s="116">
        <f t="shared" si="26"/>
        <v>0</v>
      </c>
      <c r="AB24" s="117">
        <f t="shared" si="27"/>
        <v>0</v>
      </c>
      <c r="AC24" s="118">
        <f t="shared" si="28"/>
        <v>0</v>
      </c>
      <c r="AD24" s="118">
        <f>IF(OR(AB24=0,D24="",D24&lt;40),0,VLOOKUP($D24,DATA!$A$2:$B$53,2,TRUE)*AC24)</f>
        <v>0</v>
      </c>
      <c r="AE24" s="178" t="str">
        <f ca="1">IF(E24="","",OFFSET(Setup!$Q$1,MATCH(E24,Setup!O:O,0)-1,0))</f>
        <v/>
      </c>
      <c r="AF24" s="116">
        <f t="shared" ca="1" si="29"/>
        <v>0</v>
      </c>
      <c r="AG24" s="39">
        <f>IF(OR(AB24=0),0,VLOOKUP(AV24,Setup!$S$6:$T$15,2,TRUE))</f>
        <v>0</v>
      </c>
      <c r="AH24" s="119"/>
      <c r="AI24" s="114" t="s">
        <v>186</v>
      </c>
      <c r="AJ24" s="106">
        <f t="shared" si="30"/>
        <v>1</v>
      </c>
      <c r="AK24" s="39">
        <f t="shared" si="31"/>
        <v>0</v>
      </c>
      <c r="AL24" s="26">
        <f t="shared" si="32"/>
        <v>0</v>
      </c>
      <c r="AM24" s="26">
        <f t="shared" si="33"/>
        <v>0</v>
      </c>
      <c r="AN24" s="26">
        <f t="shared" si="34"/>
        <v>0</v>
      </c>
      <c r="AO24" s="38" t="str">
        <f t="shared" si="35"/>
        <v/>
      </c>
      <c r="AP24" s="38"/>
      <c r="AQ24" s="28">
        <f t="shared" si="36"/>
        <v>0</v>
      </c>
      <c r="AR24" s="198">
        <f t="shared" ca="1" si="37"/>
        <v>0</v>
      </c>
      <c r="AS24" s="38">
        <f t="shared" ca="1" si="38"/>
        <v>13</v>
      </c>
      <c r="AT24" s="158">
        <f t="shared" ca="1" si="39"/>
        <v>0</v>
      </c>
      <c r="AU24" s="97">
        <f t="shared" ca="1" si="40"/>
        <v>13</v>
      </c>
      <c r="AV24" s="179">
        <f t="shared" ca="1" si="41"/>
        <v>1</v>
      </c>
      <c r="AW24" s="162">
        <f t="shared" si="42"/>
        <v>0</v>
      </c>
      <c r="AX24" s="26">
        <f t="shared" si="43"/>
        <v>14</v>
      </c>
      <c r="AY24" s="198">
        <f ca="1">IF(OR(E24="",F24="",ISERROR(AE24)),0,(100000000*MATCH(E24,INDIRECT($AI$1),0)+IF(AE24=1,(16-IF(AO24="M",MATCH(G24,Setup!$K$9:$K$23,0),MATCH(G24,Setup!$M$9:$M$23)))*1000000,0)+IF(AB24&gt;0,IF(AE24=1,RANK(AB24,AB:AB,-1)*1000+AX24,IF(AE24=2,AC24,AD24)),0)))</f>
        <v>0</v>
      </c>
      <c r="AZ24" s="39"/>
      <c r="BA24" s="39"/>
      <c r="BB24" s="39"/>
      <c r="BC24" s="39"/>
      <c r="BD24" s="39"/>
      <c r="BE24" s="39"/>
      <c r="BF24" s="39"/>
      <c r="BG24" s="39"/>
      <c r="BH24" s="84"/>
      <c r="BI24" s="84"/>
      <c r="BJ24" s="84"/>
      <c r="BK24" s="84"/>
      <c r="BL24" s="84"/>
      <c r="BM24" s="84"/>
      <c r="BN24" s="30"/>
      <c r="CJ24" s="28">
        <v>0</v>
      </c>
      <c r="CK24" s="28">
        <v>0</v>
      </c>
      <c r="CL24" s="28">
        <v>0</v>
      </c>
      <c r="CM24" s="28">
        <v>0</v>
      </c>
      <c r="CN24" s="28">
        <v>0</v>
      </c>
      <c r="CO24" s="28">
        <v>0</v>
      </c>
      <c r="CP24" s="28">
        <v>0</v>
      </c>
      <c r="CQ24" s="28">
        <v>0</v>
      </c>
      <c r="CR24" s="28">
        <v>0</v>
      </c>
      <c r="CS24" s="28">
        <v>0</v>
      </c>
      <c r="CT24" s="28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8">
        <v>0</v>
      </c>
    </row>
    <row r="25" spans="1:104" s="28" customFormat="1" x14ac:dyDescent="0.2">
      <c r="A25" s="33" t="str">
        <f t="shared" si="22"/>
        <v/>
      </c>
      <c r="B25" s="17" t="s">
        <v>32</v>
      </c>
      <c r="C25" s="200"/>
      <c r="D25" s="17"/>
      <c r="E25" s="17"/>
      <c r="F25" s="17"/>
      <c r="G25" s="39" t="str">
        <f>IF(OR(E25="",F25=""),"",IF(LEFT(E25,1)="M",VLOOKUP(F25,Setup!$J$9:$K$23,2,TRUE),VLOOKUP(F25,Setup!$L$9:$M$23,2,TRUE)))</f>
        <v/>
      </c>
      <c r="H25" s="39">
        <f>IF(F25="",0,VLOOKUP(AL25,DATA!$L$2:$N$1910,IF(LEFT(E25,1)="F",3,2)))</f>
        <v>0</v>
      </c>
      <c r="I25" s="17"/>
      <c r="J25" s="17"/>
      <c r="K25" s="115"/>
      <c r="L25" s="115"/>
      <c r="M25" s="115"/>
      <c r="N25" s="115"/>
      <c r="O25" s="116">
        <f t="shared" si="23"/>
        <v>0</v>
      </c>
      <c r="P25" s="205"/>
      <c r="Q25" s="115"/>
      <c r="R25" s="115"/>
      <c r="S25" s="115"/>
      <c r="T25" s="115"/>
      <c r="U25" s="116">
        <f t="shared" si="24"/>
        <v>0</v>
      </c>
      <c r="V25" s="117">
        <f t="shared" si="25"/>
        <v>0</v>
      </c>
      <c r="W25" s="115"/>
      <c r="X25" s="115"/>
      <c r="Y25" s="115"/>
      <c r="Z25" s="115"/>
      <c r="AA25" s="116">
        <f t="shared" si="26"/>
        <v>0</v>
      </c>
      <c r="AB25" s="117">
        <f t="shared" si="27"/>
        <v>0</v>
      </c>
      <c r="AC25" s="118">
        <f t="shared" si="28"/>
        <v>0</v>
      </c>
      <c r="AD25" s="118">
        <f>IF(OR(AB25=0,D25="",D25&lt;40),0,VLOOKUP($D25,DATA!$A$2:$B$53,2,TRUE)*AC25)</f>
        <v>0</v>
      </c>
      <c r="AE25" s="178" t="str">
        <f ca="1">IF(E25="","",OFFSET(Setup!$Q$1,MATCH(E25,Setup!O:O,0)-1,0))</f>
        <v/>
      </c>
      <c r="AF25" s="116">
        <f t="shared" ca="1" si="29"/>
        <v>0</v>
      </c>
      <c r="AG25" s="39">
        <f>IF(OR(AB25=0),0,VLOOKUP(AV25,Setup!$S$6:$T$15,2,TRUE))</f>
        <v>0</v>
      </c>
      <c r="AH25" s="119"/>
      <c r="AI25" s="114" t="s">
        <v>186</v>
      </c>
      <c r="AJ25" s="106">
        <f t="shared" si="30"/>
        <v>1</v>
      </c>
      <c r="AK25" s="39">
        <f t="shared" si="31"/>
        <v>0</v>
      </c>
      <c r="AL25" s="26">
        <f t="shared" si="32"/>
        <v>0</v>
      </c>
      <c r="AM25" s="26">
        <f t="shared" si="33"/>
        <v>0</v>
      </c>
      <c r="AN25" s="26">
        <f t="shared" si="34"/>
        <v>0</v>
      </c>
      <c r="AO25" s="38" t="str">
        <f t="shared" si="35"/>
        <v/>
      </c>
      <c r="AP25" s="38"/>
      <c r="AQ25" s="28">
        <f t="shared" si="36"/>
        <v>0</v>
      </c>
      <c r="AR25" s="198">
        <f t="shared" ca="1" si="37"/>
        <v>0</v>
      </c>
      <c r="AS25" s="38">
        <f t="shared" ca="1" si="38"/>
        <v>13</v>
      </c>
      <c r="AT25" s="158">
        <f t="shared" ca="1" si="39"/>
        <v>0</v>
      </c>
      <c r="AU25" s="97">
        <f t="shared" ca="1" si="40"/>
        <v>13</v>
      </c>
      <c r="AV25" s="179">
        <f t="shared" ca="1" si="41"/>
        <v>1</v>
      </c>
      <c r="AW25" s="162">
        <f t="shared" si="42"/>
        <v>0</v>
      </c>
      <c r="AX25" s="26">
        <f t="shared" si="43"/>
        <v>14</v>
      </c>
      <c r="AY25" s="198">
        <f ca="1">IF(OR(E25="",F25="",ISERROR(AE25)),0,(100000000*MATCH(E25,INDIRECT($AI$1),0)+IF(AE25=1,(16-IF(AO25="M",MATCH(G25,Setup!$K$9:$K$23,0),MATCH(G25,Setup!$M$9:$M$23)))*1000000,0)+IF(AB25&gt;0,IF(AE25=1,RANK(AB25,AB:AB,-1)*1000+AX25,IF(AE25=2,AC25,AD25)),0)))</f>
        <v>0</v>
      </c>
      <c r="AZ25" s="39"/>
      <c r="BA25" s="39"/>
      <c r="BB25" s="39"/>
      <c r="BC25" s="39"/>
      <c r="BD25" s="39"/>
      <c r="BE25" s="39"/>
      <c r="BF25" s="39"/>
      <c r="BG25" s="39"/>
      <c r="BH25" s="84"/>
      <c r="BI25" s="84"/>
      <c r="BJ25" s="84"/>
      <c r="BK25" s="84"/>
      <c r="BL25" s="84"/>
      <c r="BM25" s="84"/>
      <c r="BN25" s="30"/>
      <c r="CJ25" s="28">
        <v>0</v>
      </c>
      <c r="CK25" s="28">
        <v>0</v>
      </c>
      <c r="CL25" s="28">
        <v>0</v>
      </c>
      <c r="CM25" s="28">
        <v>0</v>
      </c>
      <c r="CN25" s="28">
        <v>0</v>
      </c>
      <c r="CO25" s="28">
        <v>0</v>
      </c>
      <c r="CP25" s="28">
        <v>0</v>
      </c>
      <c r="CQ25" s="28">
        <v>0</v>
      </c>
      <c r="CR25" s="28">
        <v>0</v>
      </c>
      <c r="CS25" s="28">
        <v>0</v>
      </c>
      <c r="CT25" s="28">
        <v>0</v>
      </c>
      <c r="CU25" s="28">
        <v>0</v>
      </c>
      <c r="CV25" s="28">
        <v>0</v>
      </c>
      <c r="CW25" s="28">
        <v>0</v>
      </c>
      <c r="CX25" s="28">
        <v>0</v>
      </c>
      <c r="CY25" s="28">
        <v>0</v>
      </c>
      <c r="CZ25" s="28">
        <v>0</v>
      </c>
    </row>
    <row r="26" spans="1:104" s="28" customFormat="1" x14ac:dyDescent="0.2">
      <c r="A26" s="33" t="str">
        <f t="shared" si="22"/>
        <v/>
      </c>
      <c r="B26" s="17" t="s">
        <v>32</v>
      </c>
      <c r="C26" s="200"/>
      <c r="D26" s="17"/>
      <c r="E26" s="17"/>
      <c r="F26" s="17"/>
      <c r="G26" s="39" t="str">
        <f>IF(OR(E26="",F26=""),"",IF(LEFT(E26,1)="M",VLOOKUP(F26,Setup!$J$9:$K$23,2,TRUE),VLOOKUP(F26,Setup!$L$9:$M$23,2,TRUE)))</f>
        <v/>
      </c>
      <c r="H26" s="39">
        <f>IF(F26="",0,VLOOKUP(AL26,DATA!$L$2:$N$1910,IF(LEFT(E26,1)="F",3,2)))</f>
        <v>0</v>
      </c>
      <c r="I26" s="17"/>
      <c r="J26" s="17"/>
      <c r="K26" s="115"/>
      <c r="L26" s="115"/>
      <c r="M26" s="115"/>
      <c r="N26" s="115"/>
      <c r="O26" s="116">
        <f t="shared" si="23"/>
        <v>0</v>
      </c>
      <c r="P26" s="205"/>
      <c r="Q26" s="115"/>
      <c r="R26" s="115"/>
      <c r="S26" s="115"/>
      <c r="T26" s="115"/>
      <c r="U26" s="116">
        <f t="shared" si="24"/>
        <v>0</v>
      </c>
      <c r="V26" s="117">
        <f t="shared" si="25"/>
        <v>0</v>
      </c>
      <c r="W26" s="115"/>
      <c r="X26" s="115"/>
      <c r="Y26" s="115"/>
      <c r="Z26" s="115"/>
      <c r="AA26" s="116">
        <f t="shared" si="26"/>
        <v>0</v>
      </c>
      <c r="AB26" s="117">
        <f t="shared" si="27"/>
        <v>0</v>
      </c>
      <c r="AC26" s="118">
        <f t="shared" si="28"/>
        <v>0</v>
      </c>
      <c r="AD26" s="118">
        <f>IF(OR(AB26=0,D26="",D26&lt;40),0,VLOOKUP($D26,DATA!$A$2:$B$53,2,TRUE)*AC26)</f>
        <v>0</v>
      </c>
      <c r="AE26" s="178" t="str">
        <f ca="1">IF(E26="","",OFFSET(Setup!$Q$1,MATCH(E26,Setup!O:O,0)-1,0))</f>
        <v/>
      </c>
      <c r="AF26" s="116">
        <f t="shared" ca="1" si="29"/>
        <v>0</v>
      </c>
      <c r="AG26" s="39">
        <f>IF(OR(AB26=0),0,VLOOKUP(AV26,Setup!$S$6:$T$15,2,TRUE))</f>
        <v>0</v>
      </c>
      <c r="AH26" s="119"/>
      <c r="AI26" s="114" t="s">
        <v>186</v>
      </c>
      <c r="AJ26" s="106">
        <f t="shared" si="30"/>
        <v>1</v>
      </c>
      <c r="AK26" s="39">
        <f t="shared" si="31"/>
        <v>0</v>
      </c>
      <c r="AL26" s="26">
        <f t="shared" si="32"/>
        <v>0</v>
      </c>
      <c r="AM26" s="26">
        <f t="shared" si="33"/>
        <v>0</v>
      </c>
      <c r="AN26" s="26">
        <f t="shared" si="34"/>
        <v>0</v>
      </c>
      <c r="AO26" s="38" t="str">
        <f t="shared" si="35"/>
        <v/>
      </c>
      <c r="AP26" s="38"/>
      <c r="AQ26" s="28">
        <f t="shared" si="36"/>
        <v>0</v>
      </c>
      <c r="AR26" s="198">
        <f t="shared" ca="1" si="37"/>
        <v>0</v>
      </c>
      <c r="AS26" s="38">
        <f t="shared" ca="1" si="38"/>
        <v>13</v>
      </c>
      <c r="AT26" s="158">
        <f t="shared" ca="1" si="39"/>
        <v>0</v>
      </c>
      <c r="AU26" s="97">
        <f t="shared" ca="1" si="40"/>
        <v>13</v>
      </c>
      <c r="AV26" s="179">
        <f t="shared" ca="1" si="41"/>
        <v>1</v>
      </c>
      <c r="AW26" s="162">
        <f t="shared" si="42"/>
        <v>0</v>
      </c>
      <c r="AX26" s="26">
        <f t="shared" si="43"/>
        <v>14</v>
      </c>
      <c r="AY26" s="198">
        <f ca="1">IF(OR(E26="",F26="",ISERROR(AE26)),0,(100000000*MATCH(E26,INDIRECT($AI$1),0)+IF(AE26=1,(16-IF(AO26="M",MATCH(G26,Setup!$K$9:$K$23,0),MATCH(G26,Setup!$M$9:$M$23)))*1000000,0)+IF(AB26&gt;0,IF(AE26=1,RANK(AB26,AB:AB,-1)*1000+AX26,IF(AE26=2,AC26,AD26)),0)))</f>
        <v>0</v>
      </c>
      <c r="AZ26" s="39"/>
      <c r="BA26" s="39"/>
      <c r="BB26" s="39"/>
      <c r="BC26" s="39"/>
      <c r="BD26" s="39"/>
      <c r="BE26" s="39"/>
      <c r="BF26" s="39"/>
      <c r="BG26" s="39"/>
      <c r="BH26" s="84"/>
      <c r="BI26" s="84"/>
      <c r="BJ26" s="84"/>
      <c r="BK26" s="84"/>
      <c r="BL26" s="84"/>
      <c r="BM26" s="84"/>
      <c r="BN26" s="30"/>
      <c r="CJ26" s="28">
        <v>0</v>
      </c>
      <c r="CK26" s="28">
        <v>0</v>
      </c>
      <c r="CL26" s="28">
        <v>0</v>
      </c>
      <c r="CM26" s="28">
        <v>0</v>
      </c>
      <c r="CN26" s="28">
        <v>0</v>
      </c>
      <c r="CO26" s="28">
        <v>0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</row>
    <row r="27" spans="1:104" s="28" customFormat="1" x14ac:dyDescent="0.2">
      <c r="A27" s="33" t="str">
        <f t="shared" si="22"/>
        <v/>
      </c>
      <c r="B27" s="17" t="s">
        <v>32</v>
      </c>
      <c r="C27" s="200"/>
      <c r="D27" s="17"/>
      <c r="E27" s="17"/>
      <c r="F27" s="17"/>
      <c r="G27" s="39" t="str">
        <f>IF(OR(E27="",F27=""),"",IF(LEFT(E27,1)="M",VLOOKUP(F27,Setup!$J$9:$K$23,2,TRUE),VLOOKUP(F27,Setup!$L$9:$M$23,2,TRUE)))</f>
        <v/>
      </c>
      <c r="H27" s="39">
        <f>IF(F27="",0,VLOOKUP(AL27,DATA!$L$2:$N$1910,IF(LEFT(E27,1)="F",3,2)))</f>
        <v>0</v>
      </c>
      <c r="I27" s="17"/>
      <c r="J27" s="17"/>
      <c r="K27" s="115"/>
      <c r="L27" s="115"/>
      <c r="M27" s="115"/>
      <c r="N27" s="115"/>
      <c r="O27" s="116">
        <f t="shared" si="23"/>
        <v>0</v>
      </c>
      <c r="P27" s="205"/>
      <c r="Q27" s="115"/>
      <c r="R27" s="115"/>
      <c r="S27" s="115"/>
      <c r="T27" s="115"/>
      <c r="U27" s="116">
        <f t="shared" si="24"/>
        <v>0</v>
      </c>
      <c r="V27" s="117">
        <f t="shared" si="25"/>
        <v>0</v>
      </c>
      <c r="W27" s="115"/>
      <c r="X27" s="115"/>
      <c r="Y27" s="115"/>
      <c r="Z27" s="115"/>
      <c r="AA27" s="116">
        <f t="shared" si="26"/>
        <v>0</v>
      </c>
      <c r="AB27" s="117">
        <f t="shared" si="27"/>
        <v>0</v>
      </c>
      <c r="AC27" s="118">
        <f t="shared" si="28"/>
        <v>0</v>
      </c>
      <c r="AD27" s="118">
        <f>IF(OR(AB27=0,D27="",D27&lt;40),0,VLOOKUP($D27,DATA!$A$2:$B$53,2,TRUE)*AC27)</f>
        <v>0</v>
      </c>
      <c r="AE27" s="178" t="str">
        <f ca="1">IF(E27="","",OFFSET(Setup!$Q$1,MATCH(E27,Setup!O:O,0)-1,0))</f>
        <v/>
      </c>
      <c r="AF27" s="116">
        <f t="shared" ca="1" si="29"/>
        <v>0</v>
      </c>
      <c r="AG27" s="39">
        <f>IF(OR(AB27=0),0,VLOOKUP(AV27,Setup!$S$6:$T$15,2,TRUE))</f>
        <v>0</v>
      </c>
      <c r="AH27" s="119"/>
      <c r="AI27" s="114" t="s">
        <v>186</v>
      </c>
      <c r="AJ27" s="106">
        <f t="shared" si="30"/>
        <v>1</v>
      </c>
      <c r="AK27" s="39">
        <f t="shared" si="31"/>
        <v>0</v>
      </c>
      <c r="AL27" s="26">
        <f t="shared" si="32"/>
        <v>0</v>
      </c>
      <c r="AM27" s="26">
        <f t="shared" si="33"/>
        <v>0</v>
      </c>
      <c r="AN27" s="26">
        <f t="shared" si="34"/>
        <v>0</v>
      </c>
      <c r="AO27" s="38" t="str">
        <f t="shared" si="35"/>
        <v/>
      </c>
      <c r="AP27" s="38"/>
      <c r="AQ27" s="28">
        <f t="shared" si="36"/>
        <v>0</v>
      </c>
      <c r="AR27" s="198">
        <f t="shared" ca="1" si="37"/>
        <v>0</v>
      </c>
      <c r="AS27" s="38">
        <f t="shared" ca="1" si="38"/>
        <v>13</v>
      </c>
      <c r="AT27" s="158">
        <f t="shared" ca="1" si="39"/>
        <v>0</v>
      </c>
      <c r="AU27" s="97">
        <f t="shared" ca="1" si="40"/>
        <v>13</v>
      </c>
      <c r="AV27" s="179">
        <f t="shared" ca="1" si="41"/>
        <v>1</v>
      </c>
      <c r="AW27" s="162">
        <f t="shared" si="42"/>
        <v>0</v>
      </c>
      <c r="AX27" s="26">
        <f t="shared" si="43"/>
        <v>14</v>
      </c>
      <c r="AY27" s="198">
        <f ca="1">IF(OR(E27="",F27="",ISERROR(AE27)),0,(100000000*MATCH(E27,INDIRECT($AI$1),0)+IF(AE27=1,(16-IF(AO27="M",MATCH(G27,Setup!$K$9:$K$23,0),MATCH(G27,Setup!$M$9:$M$23)))*1000000,0)+IF(AB27&gt;0,IF(AE27=1,RANK(AB27,AB:AB,-1)*1000+AX27,IF(AE27=2,AC27,AD27)),0)))</f>
        <v>0</v>
      </c>
      <c r="AZ27" s="39"/>
      <c r="BA27" s="39"/>
      <c r="BB27" s="39"/>
      <c r="BC27" s="39"/>
      <c r="BD27" s="39"/>
      <c r="BE27" s="39"/>
      <c r="BF27" s="39"/>
      <c r="BG27" s="39"/>
      <c r="BH27" s="84"/>
      <c r="BI27" s="84"/>
      <c r="BJ27" s="84"/>
      <c r="BK27" s="84"/>
      <c r="BL27" s="84"/>
      <c r="BM27" s="84"/>
      <c r="BN27" s="30"/>
      <c r="CJ27" s="28">
        <v>0</v>
      </c>
      <c r="CK27" s="28">
        <v>0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0</v>
      </c>
      <c r="CZ27" s="28">
        <v>0</v>
      </c>
    </row>
    <row r="28" spans="1:104" s="28" customFormat="1" x14ac:dyDescent="0.2">
      <c r="A28" s="33" t="str">
        <f t="shared" si="22"/>
        <v/>
      </c>
      <c r="B28" s="17" t="s">
        <v>32</v>
      </c>
      <c r="C28" s="200"/>
      <c r="D28" s="17"/>
      <c r="E28" s="17"/>
      <c r="F28" s="17"/>
      <c r="G28" s="39" t="str">
        <f>IF(OR(E28="",F28=""),"",IF(LEFT(E28,1)="M",VLOOKUP(F28,Setup!$J$9:$K$23,2,TRUE),VLOOKUP(F28,Setup!$L$9:$M$23,2,TRUE)))</f>
        <v/>
      </c>
      <c r="H28" s="39">
        <f>IF(F28="",0,VLOOKUP(AL28,DATA!$L$2:$N$1910,IF(LEFT(E28,1)="F",3,2)))</f>
        <v>0</v>
      </c>
      <c r="I28" s="17"/>
      <c r="J28" s="17"/>
      <c r="K28" s="115"/>
      <c r="L28" s="115"/>
      <c r="M28" s="115"/>
      <c r="N28" s="115"/>
      <c r="O28" s="116">
        <f t="shared" si="23"/>
        <v>0</v>
      </c>
      <c r="P28" s="205"/>
      <c r="Q28" s="115"/>
      <c r="R28" s="115"/>
      <c r="S28" s="115"/>
      <c r="T28" s="115"/>
      <c r="U28" s="116">
        <f t="shared" si="24"/>
        <v>0</v>
      </c>
      <c r="V28" s="117">
        <f t="shared" si="25"/>
        <v>0</v>
      </c>
      <c r="W28" s="115"/>
      <c r="X28" s="115"/>
      <c r="Y28" s="115"/>
      <c r="Z28" s="115"/>
      <c r="AA28" s="116">
        <f t="shared" si="26"/>
        <v>0</v>
      </c>
      <c r="AB28" s="117">
        <f t="shared" si="27"/>
        <v>0</v>
      </c>
      <c r="AC28" s="118">
        <f t="shared" si="28"/>
        <v>0</v>
      </c>
      <c r="AD28" s="118">
        <f>IF(OR(AB28=0,D28="",D28&lt;40),0,VLOOKUP($D28,DATA!$A$2:$B$53,2,TRUE)*AC28)</f>
        <v>0</v>
      </c>
      <c r="AE28" s="178" t="str">
        <f ca="1">IF(E28="","",OFFSET(Setup!$Q$1,MATCH(E28,Setup!O:O,0)-1,0))</f>
        <v/>
      </c>
      <c r="AF28" s="116">
        <f t="shared" ca="1" si="29"/>
        <v>0</v>
      </c>
      <c r="AG28" s="39">
        <f>IF(OR(AB28=0),0,VLOOKUP(AV28,Setup!$S$6:$T$15,2,TRUE))</f>
        <v>0</v>
      </c>
      <c r="AH28" s="119"/>
      <c r="AI28" s="114" t="s">
        <v>186</v>
      </c>
      <c r="AJ28" s="106">
        <f t="shared" si="30"/>
        <v>1</v>
      </c>
      <c r="AK28" s="39">
        <f t="shared" si="31"/>
        <v>0</v>
      </c>
      <c r="AL28" s="26">
        <f t="shared" si="32"/>
        <v>0</v>
      </c>
      <c r="AM28" s="26">
        <f t="shared" si="33"/>
        <v>0</v>
      </c>
      <c r="AN28" s="26">
        <f t="shared" si="34"/>
        <v>0</v>
      </c>
      <c r="AO28" s="38" t="str">
        <f t="shared" si="35"/>
        <v/>
      </c>
      <c r="AP28" s="38"/>
      <c r="AQ28" s="28">
        <f t="shared" si="36"/>
        <v>0</v>
      </c>
      <c r="AR28" s="198">
        <f t="shared" ca="1" si="37"/>
        <v>0</v>
      </c>
      <c r="AS28" s="38">
        <f t="shared" ca="1" si="38"/>
        <v>13</v>
      </c>
      <c r="AT28" s="158">
        <f t="shared" ca="1" si="39"/>
        <v>0</v>
      </c>
      <c r="AU28" s="97">
        <f t="shared" ca="1" si="40"/>
        <v>13</v>
      </c>
      <c r="AV28" s="179">
        <f t="shared" ca="1" si="41"/>
        <v>1</v>
      </c>
      <c r="AW28" s="162">
        <f t="shared" si="42"/>
        <v>0</v>
      </c>
      <c r="AX28" s="26">
        <f t="shared" si="43"/>
        <v>14</v>
      </c>
      <c r="AY28" s="198">
        <f ca="1">IF(OR(E28="",F28="",ISERROR(AE28)),0,(100000000*MATCH(E28,INDIRECT($AI$1),0)+IF(AE28=1,(16-IF(AO28="M",MATCH(G28,Setup!$K$9:$K$23,0),MATCH(G28,Setup!$M$9:$M$23)))*1000000,0)+IF(AB28&gt;0,IF(AE28=1,RANK(AB28,AB:AB,-1)*1000+AX28,IF(AE28=2,AC28,AD28)),0)))</f>
        <v>0</v>
      </c>
      <c r="AZ28" s="39"/>
      <c r="BA28" s="39"/>
      <c r="BB28" s="39"/>
      <c r="BC28" s="39"/>
      <c r="BD28" s="39"/>
      <c r="BE28" s="39"/>
      <c r="BF28" s="39"/>
      <c r="BG28" s="39"/>
      <c r="BH28" s="84"/>
      <c r="BI28" s="84"/>
      <c r="BJ28" s="84"/>
      <c r="BK28" s="84"/>
      <c r="BL28" s="84"/>
      <c r="BM28" s="84"/>
      <c r="BN28" s="30"/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</row>
    <row r="29" spans="1:104" s="28" customFormat="1" x14ac:dyDescent="0.2">
      <c r="A29" s="33" t="str">
        <f t="shared" si="22"/>
        <v/>
      </c>
      <c r="B29" s="17" t="s">
        <v>32</v>
      </c>
      <c r="C29" s="200"/>
      <c r="D29" s="17"/>
      <c r="E29" s="17"/>
      <c r="F29" s="17"/>
      <c r="G29" s="39" t="str">
        <f>IF(OR(E29="",F29=""),"",IF(LEFT(E29,1)="M",VLOOKUP(F29,Setup!$J$9:$K$23,2,TRUE),VLOOKUP(F29,Setup!$L$9:$M$23,2,TRUE)))</f>
        <v/>
      </c>
      <c r="H29" s="39">
        <f>IF(F29="",0,VLOOKUP(AL29,DATA!$L$2:$N$1910,IF(LEFT(E29,1)="F",3,2)))</f>
        <v>0</v>
      </c>
      <c r="I29" s="17"/>
      <c r="J29" s="17"/>
      <c r="K29" s="115"/>
      <c r="L29" s="115"/>
      <c r="M29" s="115"/>
      <c r="N29" s="115"/>
      <c r="O29" s="116">
        <f t="shared" si="23"/>
        <v>0</v>
      </c>
      <c r="P29" s="205"/>
      <c r="Q29" s="115"/>
      <c r="R29" s="115"/>
      <c r="S29" s="115"/>
      <c r="T29" s="115"/>
      <c r="U29" s="116">
        <f t="shared" si="24"/>
        <v>0</v>
      </c>
      <c r="V29" s="117">
        <f t="shared" si="25"/>
        <v>0</v>
      </c>
      <c r="W29" s="115"/>
      <c r="X29" s="115"/>
      <c r="Y29" s="115"/>
      <c r="Z29" s="115"/>
      <c r="AA29" s="116">
        <f t="shared" si="26"/>
        <v>0</v>
      </c>
      <c r="AB29" s="117">
        <f t="shared" si="27"/>
        <v>0</v>
      </c>
      <c r="AC29" s="118">
        <f t="shared" si="28"/>
        <v>0</v>
      </c>
      <c r="AD29" s="118">
        <f>IF(OR(AB29=0,D29="",D29&lt;40),0,VLOOKUP($D29,DATA!$A$2:$B$53,2,TRUE)*AC29)</f>
        <v>0</v>
      </c>
      <c r="AE29" s="178" t="str">
        <f ca="1">IF(E29="","",OFFSET(Setup!$Q$1,MATCH(E29,Setup!O:O,0)-1,0))</f>
        <v/>
      </c>
      <c r="AF29" s="116">
        <f t="shared" ca="1" si="29"/>
        <v>0</v>
      </c>
      <c r="AG29" s="39">
        <f>IF(OR(AB29=0),0,VLOOKUP(AV29,Setup!$S$6:$T$15,2,TRUE))</f>
        <v>0</v>
      </c>
      <c r="AH29" s="119"/>
      <c r="AI29" s="114" t="s">
        <v>186</v>
      </c>
      <c r="AJ29" s="106">
        <f t="shared" si="30"/>
        <v>1</v>
      </c>
      <c r="AK29" s="39">
        <f t="shared" si="31"/>
        <v>0</v>
      </c>
      <c r="AL29" s="26">
        <f t="shared" si="32"/>
        <v>0</v>
      </c>
      <c r="AM29" s="26">
        <f t="shared" si="33"/>
        <v>0</v>
      </c>
      <c r="AN29" s="26">
        <f t="shared" si="34"/>
        <v>0</v>
      </c>
      <c r="AO29" s="38" t="str">
        <f t="shared" si="35"/>
        <v/>
      </c>
      <c r="AP29" s="38"/>
      <c r="AQ29" s="28">
        <f t="shared" si="36"/>
        <v>0</v>
      </c>
      <c r="AR29" s="198">
        <f t="shared" ca="1" si="37"/>
        <v>0</v>
      </c>
      <c r="AS29" s="38">
        <f t="shared" ca="1" si="38"/>
        <v>13</v>
      </c>
      <c r="AT29" s="158">
        <f t="shared" ca="1" si="39"/>
        <v>0</v>
      </c>
      <c r="AU29" s="97">
        <f t="shared" ca="1" si="40"/>
        <v>13</v>
      </c>
      <c r="AV29" s="179">
        <f t="shared" ca="1" si="41"/>
        <v>1</v>
      </c>
      <c r="AW29" s="162">
        <f t="shared" si="42"/>
        <v>0</v>
      </c>
      <c r="AX29" s="26">
        <f t="shared" si="43"/>
        <v>14</v>
      </c>
      <c r="AY29" s="198">
        <f ca="1">IF(OR(E29="",F29="",ISERROR(AE29)),0,(100000000*MATCH(E29,INDIRECT($AI$1),0)+IF(AE29=1,(16-IF(AO29="M",MATCH(G29,Setup!$K$9:$K$23,0),MATCH(G29,Setup!$M$9:$M$23)))*1000000,0)+IF(AB29&gt;0,IF(AE29=1,RANK(AB29,AB:AB,-1)*1000+AX29,IF(AE29=2,AC29,AD29)),0)))</f>
        <v>0</v>
      </c>
      <c r="AZ29" s="39"/>
      <c r="BA29" s="39"/>
      <c r="BB29" s="39"/>
      <c r="BC29" s="39"/>
      <c r="BD29" s="39"/>
      <c r="BE29" s="39"/>
      <c r="BF29" s="39"/>
      <c r="BG29" s="39"/>
      <c r="BH29" s="84"/>
      <c r="BI29" s="84"/>
      <c r="BJ29" s="84"/>
      <c r="BK29" s="84"/>
      <c r="BL29" s="84"/>
      <c r="BM29" s="84"/>
      <c r="BN29" s="30"/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</row>
    <row r="30" spans="1:104" s="28" customFormat="1" x14ac:dyDescent="0.2">
      <c r="A30" s="33" t="str">
        <f t="shared" si="22"/>
        <v/>
      </c>
      <c r="B30" s="17" t="s">
        <v>32</v>
      </c>
      <c r="C30" s="200"/>
      <c r="D30" s="17"/>
      <c r="E30" s="17"/>
      <c r="F30" s="17"/>
      <c r="G30" s="39" t="str">
        <f>IF(OR(E30="",F30=""),"",IF(LEFT(E30,1)="M",VLOOKUP(F30,Setup!$J$9:$K$23,2,TRUE),VLOOKUP(F30,Setup!$L$9:$M$23,2,TRUE)))</f>
        <v/>
      </c>
      <c r="H30" s="39">
        <f>IF(F30="",0,VLOOKUP(AL30,DATA!$L$2:$N$1910,IF(LEFT(E30,1)="F",3,2)))</f>
        <v>0</v>
      </c>
      <c r="I30" s="17"/>
      <c r="J30" s="17"/>
      <c r="K30" s="115"/>
      <c r="L30" s="115"/>
      <c r="M30" s="115"/>
      <c r="N30" s="115"/>
      <c r="O30" s="116">
        <f t="shared" si="23"/>
        <v>0</v>
      </c>
      <c r="P30" s="205"/>
      <c r="Q30" s="115"/>
      <c r="R30" s="115"/>
      <c r="S30" s="115"/>
      <c r="T30" s="115"/>
      <c r="U30" s="116">
        <f t="shared" si="24"/>
        <v>0</v>
      </c>
      <c r="V30" s="117">
        <f t="shared" si="25"/>
        <v>0</v>
      </c>
      <c r="W30" s="115"/>
      <c r="X30" s="115"/>
      <c r="Y30" s="115"/>
      <c r="Z30" s="115"/>
      <c r="AA30" s="116">
        <f t="shared" si="26"/>
        <v>0</v>
      </c>
      <c r="AB30" s="117">
        <f t="shared" si="27"/>
        <v>0</v>
      </c>
      <c r="AC30" s="118">
        <f t="shared" si="28"/>
        <v>0</v>
      </c>
      <c r="AD30" s="118">
        <f>IF(OR(AB30=0,D30="",D30&lt;40),0,VLOOKUP($D30,DATA!$A$2:$B$53,2,TRUE)*AC30)</f>
        <v>0</v>
      </c>
      <c r="AE30" s="178" t="str">
        <f ca="1">IF(E30="","",OFFSET(Setup!$Q$1,MATCH(E30,Setup!O:O,0)-1,0))</f>
        <v/>
      </c>
      <c r="AF30" s="116">
        <f t="shared" ca="1" si="29"/>
        <v>0</v>
      </c>
      <c r="AG30" s="39">
        <f>IF(OR(AB30=0),0,VLOOKUP(AV30,Setup!$S$6:$T$15,2,TRUE))</f>
        <v>0</v>
      </c>
      <c r="AH30" s="119"/>
      <c r="AI30" s="114" t="s">
        <v>186</v>
      </c>
      <c r="AJ30" s="106">
        <f t="shared" si="30"/>
        <v>1</v>
      </c>
      <c r="AK30" s="39">
        <f t="shared" si="31"/>
        <v>0</v>
      </c>
      <c r="AL30" s="26">
        <f t="shared" si="32"/>
        <v>0</v>
      </c>
      <c r="AM30" s="26">
        <f t="shared" si="33"/>
        <v>0</v>
      </c>
      <c r="AN30" s="26">
        <f t="shared" si="34"/>
        <v>0</v>
      </c>
      <c r="AO30" s="38" t="str">
        <f t="shared" si="35"/>
        <v/>
      </c>
      <c r="AP30" s="38"/>
      <c r="AQ30" s="28">
        <f t="shared" si="36"/>
        <v>0</v>
      </c>
      <c r="AR30" s="198">
        <f t="shared" ca="1" si="37"/>
        <v>0</v>
      </c>
      <c r="AS30" s="38">
        <f t="shared" ca="1" si="38"/>
        <v>13</v>
      </c>
      <c r="AT30" s="158">
        <f t="shared" ca="1" si="39"/>
        <v>0</v>
      </c>
      <c r="AU30" s="97">
        <f t="shared" ca="1" si="40"/>
        <v>13</v>
      </c>
      <c r="AV30" s="179">
        <f t="shared" ca="1" si="41"/>
        <v>1</v>
      </c>
      <c r="AW30" s="162">
        <f t="shared" si="42"/>
        <v>0</v>
      </c>
      <c r="AX30" s="26">
        <f t="shared" si="43"/>
        <v>14</v>
      </c>
      <c r="AY30" s="198">
        <f ca="1">IF(OR(E30="",F30="",ISERROR(AE30)),0,(100000000*MATCH(E30,INDIRECT($AI$1),0)+IF(AE30=1,(16-IF(AO30="M",MATCH(G30,Setup!$K$9:$K$23,0),MATCH(G30,Setup!$M$9:$M$23)))*1000000,0)+IF(AB30&gt;0,IF(AE30=1,RANK(AB30,AB:AB,-1)*1000+AX30,IF(AE30=2,AC30,AD30)),0)))</f>
        <v>0</v>
      </c>
      <c r="AZ30" s="39"/>
      <c r="BA30" s="39"/>
      <c r="BB30" s="39"/>
      <c r="BC30" s="39"/>
      <c r="BD30" s="39"/>
      <c r="BE30" s="39"/>
      <c r="BF30" s="39"/>
      <c r="BG30" s="39"/>
      <c r="BH30" s="84"/>
      <c r="BI30" s="84"/>
      <c r="BJ30" s="84"/>
      <c r="BK30" s="84"/>
      <c r="BL30" s="84"/>
      <c r="BM30" s="84"/>
      <c r="BN30" s="30"/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0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</row>
    <row r="31" spans="1:104" s="28" customFormat="1" x14ac:dyDescent="0.2">
      <c r="A31" s="33" t="str">
        <f t="shared" si="22"/>
        <v/>
      </c>
      <c r="B31" s="17" t="s">
        <v>32</v>
      </c>
      <c r="C31" s="200"/>
      <c r="D31" s="17"/>
      <c r="E31" s="17"/>
      <c r="F31" s="17"/>
      <c r="G31" s="39" t="str">
        <f>IF(OR(E31="",F31=""),"",IF(LEFT(E31,1)="M",VLOOKUP(F31,Setup!$J$9:$K$23,2,TRUE),VLOOKUP(F31,Setup!$L$9:$M$23,2,TRUE)))</f>
        <v/>
      </c>
      <c r="H31" s="39">
        <f>IF(F31="",0,VLOOKUP(AL31,DATA!$L$2:$N$1910,IF(LEFT(E31,1)="F",3,2)))</f>
        <v>0</v>
      </c>
      <c r="I31" s="17"/>
      <c r="J31" s="17"/>
      <c r="K31" s="115"/>
      <c r="L31" s="115"/>
      <c r="M31" s="115"/>
      <c r="N31" s="115"/>
      <c r="O31" s="116">
        <f t="shared" si="23"/>
        <v>0</v>
      </c>
      <c r="P31" s="205"/>
      <c r="Q31" s="115"/>
      <c r="R31" s="115"/>
      <c r="S31" s="115"/>
      <c r="T31" s="115"/>
      <c r="U31" s="116">
        <f t="shared" si="24"/>
        <v>0</v>
      </c>
      <c r="V31" s="117">
        <f t="shared" si="25"/>
        <v>0</v>
      </c>
      <c r="W31" s="115"/>
      <c r="X31" s="115"/>
      <c r="Y31" s="115"/>
      <c r="Z31" s="115"/>
      <c r="AA31" s="116">
        <f t="shared" si="26"/>
        <v>0</v>
      </c>
      <c r="AB31" s="117">
        <f t="shared" si="27"/>
        <v>0</v>
      </c>
      <c r="AC31" s="118">
        <f t="shared" si="28"/>
        <v>0</v>
      </c>
      <c r="AD31" s="118">
        <f>IF(OR(AB31=0,D31="",D31&lt;40),0,VLOOKUP($D31,DATA!$A$2:$B$53,2,TRUE)*AC31)</f>
        <v>0</v>
      </c>
      <c r="AE31" s="178" t="str">
        <f ca="1">IF(E31="","",OFFSET(Setup!$Q$1,MATCH(E31,Setup!O:O,0)-1,0))</f>
        <v/>
      </c>
      <c r="AF31" s="116">
        <f t="shared" ca="1" si="29"/>
        <v>0</v>
      </c>
      <c r="AG31" s="39">
        <f>IF(OR(AB31=0),0,VLOOKUP(AV31,Setup!$S$6:$T$15,2,TRUE))</f>
        <v>0</v>
      </c>
      <c r="AH31" s="119"/>
      <c r="AI31" s="114" t="s">
        <v>186</v>
      </c>
      <c r="AJ31" s="106">
        <f t="shared" si="30"/>
        <v>1</v>
      </c>
      <c r="AK31" s="39">
        <f t="shared" si="31"/>
        <v>0</v>
      </c>
      <c r="AL31" s="26">
        <f t="shared" si="32"/>
        <v>0</v>
      </c>
      <c r="AM31" s="26">
        <f t="shared" si="33"/>
        <v>0</v>
      </c>
      <c r="AN31" s="26">
        <f t="shared" si="34"/>
        <v>0</v>
      </c>
      <c r="AO31" s="38" t="str">
        <f t="shared" si="35"/>
        <v/>
      </c>
      <c r="AP31" s="38"/>
      <c r="AQ31" s="28">
        <f t="shared" si="36"/>
        <v>0</v>
      </c>
      <c r="AR31" s="198">
        <f t="shared" ca="1" si="37"/>
        <v>0</v>
      </c>
      <c r="AS31" s="38">
        <f t="shared" ca="1" si="38"/>
        <v>13</v>
      </c>
      <c r="AT31" s="158">
        <f t="shared" ca="1" si="39"/>
        <v>0</v>
      </c>
      <c r="AU31" s="97">
        <f t="shared" ca="1" si="40"/>
        <v>13</v>
      </c>
      <c r="AV31" s="179">
        <f t="shared" ca="1" si="41"/>
        <v>1</v>
      </c>
      <c r="AW31" s="162">
        <f t="shared" si="42"/>
        <v>0</v>
      </c>
      <c r="AX31" s="26">
        <f t="shared" si="43"/>
        <v>14</v>
      </c>
      <c r="AY31" s="198">
        <f ca="1">IF(OR(E31="",F31="",ISERROR(AE31)),0,(100000000*MATCH(E31,INDIRECT($AI$1),0)+IF(AE31=1,(16-IF(AO31="M",MATCH(G31,Setup!$K$9:$K$23,0),MATCH(G31,Setup!$M$9:$M$23)))*1000000,0)+IF(AB31&gt;0,IF(AE31=1,RANK(AB31,AB:AB,-1)*1000+AX31,IF(AE31=2,AC31,AD31)),0)))</f>
        <v>0</v>
      </c>
      <c r="AZ31" s="39"/>
      <c r="BA31" s="39"/>
      <c r="BB31" s="39"/>
      <c r="BC31" s="39"/>
      <c r="BD31" s="39"/>
      <c r="BE31" s="39"/>
      <c r="BF31" s="39"/>
      <c r="BG31" s="39"/>
      <c r="BH31" s="84"/>
      <c r="BI31" s="84"/>
      <c r="BJ31" s="84"/>
      <c r="BK31" s="84"/>
      <c r="BL31" s="84"/>
      <c r="BM31" s="84"/>
      <c r="BN31" s="30"/>
      <c r="CJ31" s="28">
        <v>0</v>
      </c>
      <c r="CK31" s="28">
        <v>0</v>
      </c>
      <c r="CL31" s="28">
        <v>0</v>
      </c>
      <c r="CM31" s="28">
        <v>0</v>
      </c>
      <c r="CN31" s="28">
        <v>0</v>
      </c>
      <c r="CO31" s="28">
        <v>0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0</v>
      </c>
      <c r="CX31" s="28">
        <v>0</v>
      </c>
      <c r="CY31" s="28">
        <v>0</v>
      </c>
      <c r="CZ31" s="28">
        <v>0</v>
      </c>
    </row>
    <row r="32" spans="1:104" s="28" customFormat="1" x14ac:dyDescent="0.2">
      <c r="A32" s="33" t="str">
        <f t="shared" si="22"/>
        <v/>
      </c>
      <c r="B32" s="17" t="s">
        <v>32</v>
      </c>
      <c r="C32" s="200"/>
      <c r="D32" s="17"/>
      <c r="E32" s="17"/>
      <c r="F32" s="17"/>
      <c r="G32" s="39" t="str">
        <f>IF(OR(E32="",F32=""),"",IF(LEFT(E32,1)="M",VLOOKUP(F32,Setup!$J$9:$K$23,2,TRUE),VLOOKUP(F32,Setup!$L$9:$M$23,2,TRUE)))</f>
        <v/>
      </c>
      <c r="H32" s="39">
        <f>IF(F32="",0,VLOOKUP(AL32,DATA!$L$2:$N$1910,IF(LEFT(E32,1)="F",3,2)))</f>
        <v>0</v>
      </c>
      <c r="I32" s="17"/>
      <c r="J32" s="17"/>
      <c r="K32" s="115"/>
      <c r="L32" s="115"/>
      <c r="M32" s="115"/>
      <c r="N32" s="115"/>
      <c r="O32" s="116">
        <f t="shared" si="23"/>
        <v>0</v>
      </c>
      <c r="P32" s="205"/>
      <c r="Q32" s="115"/>
      <c r="R32" s="115"/>
      <c r="S32" s="115"/>
      <c r="T32" s="115"/>
      <c r="U32" s="116">
        <f t="shared" si="24"/>
        <v>0</v>
      </c>
      <c r="V32" s="117">
        <f t="shared" si="25"/>
        <v>0</v>
      </c>
      <c r="W32" s="115"/>
      <c r="X32" s="115"/>
      <c r="Y32" s="115"/>
      <c r="Z32" s="115"/>
      <c r="AA32" s="116">
        <f t="shared" si="26"/>
        <v>0</v>
      </c>
      <c r="AB32" s="117">
        <f t="shared" si="27"/>
        <v>0</v>
      </c>
      <c r="AC32" s="118">
        <f t="shared" si="28"/>
        <v>0</v>
      </c>
      <c r="AD32" s="118">
        <f>IF(OR(AB32=0,D32="",D32&lt;40),0,VLOOKUP($D32,DATA!$A$2:$B$53,2,TRUE)*AC32)</f>
        <v>0</v>
      </c>
      <c r="AE32" s="178" t="str">
        <f ca="1">IF(E32="","",OFFSET(Setup!$Q$1,MATCH(E32,Setup!O:O,0)-1,0))</f>
        <v/>
      </c>
      <c r="AF32" s="116">
        <f t="shared" ca="1" si="29"/>
        <v>0</v>
      </c>
      <c r="AG32" s="39">
        <f>IF(OR(AB32=0),0,VLOOKUP(AV32,Setup!$S$6:$T$15,2,TRUE))</f>
        <v>0</v>
      </c>
      <c r="AH32" s="119"/>
      <c r="AI32" s="114" t="s">
        <v>186</v>
      </c>
      <c r="AJ32" s="106">
        <f t="shared" si="30"/>
        <v>1</v>
      </c>
      <c r="AK32" s="39">
        <f t="shared" si="31"/>
        <v>0</v>
      </c>
      <c r="AL32" s="26">
        <f t="shared" si="32"/>
        <v>0</v>
      </c>
      <c r="AM32" s="26">
        <f t="shared" si="33"/>
        <v>0</v>
      </c>
      <c r="AN32" s="26">
        <f t="shared" si="34"/>
        <v>0</v>
      </c>
      <c r="AO32" s="38" t="str">
        <f t="shared" si="35"/>
        <v/>
      </c>
      <c r="AP32" s="38"/>
      <c r="AQ32" s="28">
        <f t="shared" si="36"/>
        <v>0</v>
      </c>
      <c r="AR32" s="198">
        <f t="shared" ca="1" si="37"/>
        <v>0</v>
      </c>
      <c r="AS32" s="38">
        <f t="shared" ca="1" si="38"/>
        <v>13</v>
      </c>
      <c r="AT32" s="158">
        <f t="shared" ca="1" si="39"/>
        <v>0</v>
      </c>
      <c r="AU32" s="97">
        <f t="shared" ca="1" si="40"/>
        <v>13</v>
      </c>
      <c r="AV32" s="179">
        <f t="shared" ca="1" si="41"/>
        <v>1</v>
      </c>
      <c r="AW32" s="162">
        <f t="shared" si="42"/>
        <v>0</v>
      </c>
      <c r="AX32" s="26">
        <f t="shared" si="43"/>
        <v>14</v>
      </c>
      <c r="AY32" s="198">
        <f ca="1">IF(OR(E32="",F32="",ISERROR(AE32)),0,(100000000*MATCH(E32,INDIRECT($AI$1),0)+IF(AE32=1,(16-IF(AO32="M",MATCH(G32,Setup!$K$9:$K$23,0),MATCH(G32,Setup!$M$9:$M$23)))*1000000,0)+IF(AB32&gt;0,IF(AE32=1,RANK(AB32,AB:AB,-1)*1000+AX32,IF(AE32=2,AC32,AD32)),0)))</f>
        <v>0</v>
      </c>
      <c r="AZ32" s="39"/>
      <c r="BA32" s="39"/>
      <c r="BB32" s="39"/>
      <c r="BC32" s="39"/>
      <c r="BD32" s="39"/>
      <c r="BE32" s="39"/>
      <c r="BF32" s="39"/>
      <c r="BG32" s="39"/>
      <c r="BH32" s="84"/>
      <c r="BI32" s="84"/>
      <c r="BJ32" s="84"/>
      <c r="BK32" s="84"/>
      <c r="BL32" s="84"/>
      <c r="BM32" s="84"/>
      <c r="BN32" s="30"/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</row>
    <row r="33" spans="1:104" s="28" customFormat="1" x14ac:dyDescent="0.2">
      <c r="A33" s="33" t="str">
        <f t="shared" si="22"/>
        <v/>
      </c>
      <c r="B33" s="17" t="s">
        <v>32</v>
      </c>
      <c r="C33" s="200"/>
      <c r="D33" s="17"/>
      <c r="E33" s="17"/>
      <c r="F33" s="17"/>
      <c r="G33" s="39" t="str">
        <f>IF(OR(E33="",F33=""),"",IF(LEFT(E33,1)="M",VLOOKUP(F33,Setup!$J$9:$K$23,2,TRUE),VLOOKUP(F33,Setup!$L$9:$M$23,2,TRUE)))</f>
        <v/>
      </c>
      <c r="H33" s="39">
        <f>IF(F33="",0,VLOOKUP(AL33,DATA!$L$2:$N$1910,IF(LEFT(E33,1)="F",3,2)))</f>
        <v>0</v>
      </c>
      <c r="I33" s="17"/>
      <c r="J33" s="17"/>
      <c r="K33" s="115"/>
      <c r="L33" s="115"/>
      <c r="M33" s="115"/>
      <c r="N33" s="115"/>
      <c r="O33" s="116">
        <f t="shared" si="23"/>
        <v>0</v>
      </c>
      <c r="P33" s="205"/>
      <c r="Q33" s="115"/>
      <c r="R33" s="115"/>
      <c r="S33" s="115"/>
      <c r="T33" s="115"/>
      <c r="U33" s="116">
        <f t="shared" si="24"/>
        <v>0</v>
      </c>
      <c r="V33" s="117">
        <f t="shared" si="25"/>
        <v>0</v>
      </c>
      <c r="W33" s="115"/>
      <c r="X33" s="115"/>
      <c r="Y33" s="115"/>
      <c r="Z33" s="115"/>
      <c r="AA33" s="116">
        <f t="shared" si="26"/>
        <v>0</v>
      </c>
      <c r="AB33" s="117">
        <f t="shared" si="27"/>
        <v>0</v>
      </c>
      <c r="AC33" s="118">
        <f t="shared" si="28"/>
        <v>0</v>
      </c>
      <c r="AD33" s="118">
        <f>IF(OR(AB33=0,D33="",D33&lt;40),0,VLOOKUP($D33,DATA!$A$2:$B$53,2,TRUE)*AC33)</f>
        <v>0</v>
      </c>
      <c r="AE33" s="178" t="str">
        <f ca="1">IF(E33="","",OFFSET(Setup!$Q$1,MATCH(E33,Setup!O:O,0)-1,0))</f>
        <v/>
      </c>
      <c r="AF33" s="116">
        <f t="shared" ca="1" si="29"/>
        <v>0</v>
      </c>
      <c r="AG33" s="39">
        <f>IF(OR(AB33=0),0,VLOOKUP(AV33,Setup!$S$6:$T$15,2,TRUE))</f>
        <v>0</v>
      </c>
      <c r="AH33" s="119"/>
      <c r="AI33" s="114" t="s">
        <v>186</v>
      </c>
      <c r="AJ33" s="106">
        <f t="shared" si="30"/>
        <v>1</v>
      </c>
      <c r="AK33" s="39">
        <f t="shared" si="31"/>
        <v>0</v>
      </c>
      <c r="AL33" s="26">
        <f t="shared" si="32"/>
        <v>0</v>
      </c>
      <c r="AM33" s="26">
        <f t="shared" si="33"/>
        <v>0</v>
      </c>
      <c r="AN33" s="26">
        <f t="shared" si="34"/>
        <v>0</v>
      </c>
      <c r="AO33" s="38" t="str">
        <f t="shared" si="35"/>
        <v/>
      </c>
      <c r="AP33" s="38"/>
      <c r="AQ33" s="28">
        <f t="shared" si="36"/>
        <v>0</v>
      </c>
      <c r="AR33" s="198">
        <f t="shared" ca="1" si="37"/>
        <v>0</v>
      </c>
      <c r="AS33" s="38">
        <f t="shared" ca="1" si="38"/>
        <v>13</v>
      </c>
      <c r="AT33" s="158">
        <f t="shared" ca="1" si="39"/>
        <v>0</v>
      </c>
      <c r="AU33" s="97">
        <f t="shared" ca="1" si="40"/>
        <v>13</v>
      </c>
      <c r="AV33" s="179">
        <f t="shared" ca="1" si="41"/>
        <v>1</v>
      </c>
      <c r="AW33" s="162">
        <f t="shared" si="42"/>
        <v>0</v>
      </c>
      <c r="AX33" s="26">
        <f t="shared" si="43"/>
        <v>14</v>
      </c>
      <c r="AY33" s="198">
        <f ca="1">IF(OR(E33="",F33="",ISERROR(AE33)),0,(100000000*MATCH(E33,INDIRECT($AI$1),0)+IF(AE33=1,(16-IF(AO33="M",MATCH(G33,Setup!$K$9:$K$23,0),MATCH(G33,Setup!$M$9:$M$23)))*1000000,0)+IF(AB33&gt;0,IF(AE33=1,RANK(AB33,AB:AB,-1)*1000+AX33,IF(AE33=2,AC33,AD33)),0)))</f>
        <v>0</v>
      </c>
      <c r="AZ33" s="39"/>
      <c r="BA33" s="39"/>
      <c r="BB33" s="39"/>
      <c r="BC33" s="39"/>
      <c r="BD33" s="39"/>
      <c r="BE33" s="39"/>
      <c r="BF33" s="39"/>
      <c r="BG33" s="39"/>
      <c r="BH33" s="84"/>
      <c r="BI33" s="84"/>
      <c r="BJ33" s="84"/>
      <c r="BK33" s="84"/>
      <c r="BL33" s="84"/>
      <c r="BM33" s="84"/>
      <c r="BN33" s="30"/>
      <c r="CJ33" s="28">
        <v>0</v>
      </c>
      <c r="CK33" s="28">
        <v>0</v>
      </c>
      <c r="CL33" s="28">
        <v>0</v>
      </c>
      <c r="CM33" s="28">
        <v>0</v>
      </c>
      <c r="CN33" s="28">
        <v>0</v>
      </c>
      <c r="CO33" s="28">
        <v>0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</row>
    <row r="34" spans="1:104" s="28" customFormat="1" x14ac:dyDescent="0.2">
      <c r="A34" s="33" t="str">
        <f t="shared" si="22"/>
        <v/>
      </c>
      <c r="B34" s="17" t="s">
        <v>32</v>
      </c>
      <c r="C34" s="200"/>
      <c r="D34" s="17"/>
      <c r="E34" s="17"/>
      <c r="F34" s="17"/>
      <c r="G34" s="39" t="str">
        <f>IF(OR(E34="",F34=""),"",IF(LEFT(E34,1)="M",VLOOKUP(F34,Setup!$J$9:$K$23,2,TRUE),VLOOKUP(F34,Setup!$L$9:$M$23,2,TRUE)))</f>
        <v/>
      </c>
      <c r="H34" s="39">
        <f>IF(F34="",0,VLOOKUP(AL34,DATA!$L$2:$N$1910,IF(LEFT(E34,1)="F",3,2)))</f>
        <v>0</v>
      </c>
      <c r="I34" s="17"/>
      <c r="J34" s="17"/>
      <c r="K34" s="115"/>
      <c r="L34" s="115"/>
      <c r="M34" s="115"/>
      <c r="N34" s="115"/>
      <c r="O34" s="116">
        <f t="shared" si="23"/>
        <v>0</v>
      </c>
      <c r="P34" s="205"/>
      <c r="Q34" s="115"/>
      <c r="R34" s="115"/>
      <c r="S34" s="115"/>
      <c r="T34" s="115"/>
      <c r="U34" s="116">
        <f t="shared" si="24"/>
        <v>0</v>
      </c>
      <c r="V34" s="117">
        <f t="shared" si="25"/>
        <v>0</v>
      </c>
      <c r="W34" s="115"/>
      <c r="X34" s="115"/>
      <c r="Y34" s="115"/>
      <c r="Z34" s="115"/>
      <c r="AA34" s="116">
        <f t="shared" si="26"/>
        <v>0</v>
      </c>
      <c r="AB34" s="117">
        <f t="shared" si="27"/>
        <v>0</v>
      </c>
      <c r="AC34" s="118">
        <f t="shared" si="28"/>
        <v>0</v>
      </c>
      <c r="AD34" s="118">
        <f>IF(OR(AB34=0,D34="",D34&lt;40),0,VLOOKUP($D34,DATA!$A$2:$B$53,2,TRUE)*AC34)</f>
        <v>0</v>
      </c>
      <c r="AE34" s="178" t="str">
        <f ca="1">IF(E34="","",OFFSET(Setup!$Q$1,MATCH(E34,Setup!O:O,0)-1,0))</f>
        <v/>
      </c>
      <c r="AF34" s="116">
        <f t="shared" ca="1" si="29"/>
        <v>0</v>
      </c>
      <c r="AG34" s="39">
        <f>IF(OR(AB34=0),0,VLOOKUP(AV34,Setup!$S$6:$T$15,2,TRUE))</f>
        <v>0</v>
      </c>
      <c r="AH34" s="119"/>
      <c r="AI34" s="114"/>
      <c r="AJ34" s="106">
        <f t="shared" si="30"/>
        <v>0</v>
      </c>
      <c r="AK34" s="39">
        <f t="shared" si="31"/>
        <v>0</v>
      </c>
      <c r="AL34" s="26">
        <f t="shared" si="32"/>
        <v>0</v>
      </c>
      <c r="AM34" s="26">
        <f t="shared" si="33"/>
        <v>0</v>
      </c>
      <c r="AN34" s="26">
        <f t="shared" si="34"/>
        <v>0</v>
      </c>
      <c r="AO34" s="38" t="str">
        <f t="shared" si="35"/>
        <v/>
      </c>
      <c r="AP34" s="38"/>
      <c r="AQ34" s="28">
        <f t="shared" si="36"/>
        <v>0</v>
      </c>
      <c r="AR34" s="198">
        <f t="shared" ca="1" si="37"/>
        <v>0</v>
      </c>
      <c r="AS34" s="38">
        <f t="shared" ca="1" si="38"/>
        <v>13</v>
      </c>
      <c r="AT34" s="158">
        <f t="shared" ca="1" si="39"/>
        <v>0</v>
      </c>
      <c r="AU34" s="97">
        <f t="shared" ca="1" si="40"/>
        <v>13</v>
      </c>
      <c r="AV34" s="179">
        <f t="shared" ca="1" si="41"/>
        <v>1</v>
      </c>
      <c r="AW34" s="162">
        <f t="shared" si="42"/>
        <v>0</v>
      </c>
      <c r="AX34" s="26">
        <f t="shared" si="43"/>
        <v>14</v>
      </c>
      <c r="AY34" s="198">
        <f ca="1">IF(OR(E34="",F34="",ISERROR(AE34)),0,(100000000*MATCH(E34,INDIRECT($AI$1),0)+IF(AE34=1,(16-IF(AO34="M",MATCH(G34,Setup!$K$9:$K$23,0),MATCH(G34,Setup!$M$9:$M$23)))*1000000,0)+IF(AB34&gt;0,IF(AE34=1,RANK(AB34,AB:AB,-1)*1000+AX34,IF(AE34=2,AC34,AD34)),0)))</f>
        <v>0</v>
      </c>
      <c r="AZ34" s="39"/>
      <c r="BA34" s="39"/>
      <c r="BB34" s="39"/>
      <c r="BC34" s="39"/>
      <c r="BD34" s="39"/>
      <c r="BE34" s="39"/>
      <c r="BF34" s="39"/>
      <c r="BG34" s="39"/>
      <c r="BH34" s="84"/>
      <c r="BI34" s="84"/>
      <c r="BJ34" s="84"/>
      <c r="BK34" s="84"/>
      <c r="BL34" s="84"/>
      <c r="BM34" s="84"/>
      <c r="BN34" s="30"/>
      <c r="CJ34" s="28">
        <v>0</v>
      </c>
      <c r="CK34" s="28">
        <v>0</v>
      </c>
      <c r="CL34" s="28">
        <v>0</v>
      </c>
      <c r="CM34" s="28">
        <v>0</v>
      </c>
      <c r="CN34" s="28">
        <v>0</v>
      </c>
      <c r="CO34" s="28">
        <v>0</v>
      </c>
      <c r="CP34" s="28">
        <v>0</v>
      </c>
      <c r="CQ34" s="28">
        <v>0</v>
      </c>
      <c r="CR34" s="28">
        <v>0</v>
      </c>
      <c r="CS34" s="28">
        <v>0</v>
      </c>
      <c r="CT34" s="28">
        <v>0</v>
      </c>
      <c r="CU34" s="28">
        <v>0</v>
      </c>
      <c r="CV34" s="28">
        <v>0</v>
      </c>
      <c r="CW34" s="28">
        <v>0</v>
      </c>
      <c r="CX34" s="28">
        <v>0</v>
      </c>
      <c r="CY34" s="28">
        <v>0</v>
      </c>
      <c r="CZ34" s="28">
        <v>0</v>
      </c>
    </row>
    <row r="35" spans="1:104" s="28" customFormat="1" x14ac:dyDescent="0.2">
      <c r="A35" s="33" t="str">
        <f t="shared" si="22"/>
        <v/>
      </c>
      <c r="B35" s="17" t="s">
        <v>32</v>
      </c>
      <c r="C35" s="200"/>
      <c r="D35" s="17"/>
      <c r="E35" s="17"/>
      <c r="F35" s="17"/>
      <c r="G35" s="39" t="str">
        <f>IF(OR(E35="",F35=""),"",IF(LEFT(E35,1)="M",VLOOKUP(F35,Setup!$J$9:$K$23,2,TRUE),VLOOKUP(F35,Setup!$L$9:$M$23,2,TRUE)))</f>
        <v/>
      </c>
      <c r="H35" s="39">
        <f>IF(F35="",0,VLOOKUP(AL35,DATA!$L$2:$N$1910,IF(LEFT(E35,1)="F",3,2)))</f>
        <v>0</v>
      </c>
      <c r="I35" s="17"/>
      <c r="J35" s="17"/>
      <c r="K35" s="115"/>
      <c r="L35" s="115"/>
      <c r="M35" s="115"/>
      <c r="N35" s="115"/>
      <c r="O35" s="116">
        <f t="shared" si="23"/>
        <v>0</v>
      </c>
      <c r="P35" s="205"/>
      <c r="Q35" s="115"/>
      <c r="R35" s="115"/>
      <c r="S35" s="115"/>
      <c r="T35" s="115"/>
      <c r="U35" s="116">
        <f t="shared" si="24"/>
        <v>0</v>
      </c>
      <c r="V35" s="117">
        <f t="shared" si="25"/>
        <v>0</v>
      </c>
      <c r="W35" s="115"/>
      <c r="X35" s="115"/>
      <c r="Y35" s="115"/>
      <c r="Z35" s="115"/>
      <c r="AA35" s="116">
        <f t="shared" si="26"/>
        <v>0</v>
      </c>
      <c r="AB35" s="117">
        <f t="shared" si="27"/>
        <v>0</v>
      </c>
      <c r="AC35" s="118">
        <f t="shared" si="28"/>
        <v>0</v>
      </c>
      <c r="AD35" s="118">
        <f>IF(OR(AB35=0,D35="",D35&lt;40),0,VLOOKUP($D35,DATA!$A$2:$B$53,2,TRUE)*AC35)</f>
        <v>0</v>
      </c>
      <c r="AE35" s="178" t="str">
        <f ca="1">IF(E35="","",OFFSET(Setup!$Q$1,MATCH(E35,Setup!O:O,0)-1,0))</f>
        <v/>
      </c>
      <c r="AF35" s="116">
        <f t="shared" ca="1" si="29"/>
        <v>0</v>
      </c>
      <c r="AG35" s="39">
        <f>IF(OR(AB35=0),0,VLOOKUP(AV35,Setup!$S$6:$T$15,2,TRUE))</f>
        <v>0</v>
      </c>
      <c r="AH35" s="119"/>
      <c r="AI35" s="114"/>
      <c r="AJ35" s="106">
        <f t="shared" si="30"/>
        <v>0</v>
      </c>
      <c r="AK35" s="39">
        <f t="shared" si="31"/>
        <v>0</v>
      </c>
      <c r="AL35" s="26">
        <f t="shared" si="32"/>
        <v>0</v>
      </c>
      <c r="AM35" s="26">
        <f t="shared" si="33"/>
        <v>0</v>
      </c>
      <c r="AN35" s="26">
        <f t="shared" si="34"/>
        <v>0</v>
      </c>
      <c r="AO35" s="38" t="str">
        <f t="shared" si="35"/>
        <v/>
      </c>
      <c r="AP35" s="38"/>
      <c r="AQ35" s="28">
        <f t="shared" si="36"/>
        <v>0</v>
      </c>
      <c r="AR35" s="198">
        <f t="shared" ca="1" si="37"/>
        <v>0</v>
      </c>
      <c r="AS35" s="38">
        <f t="shared" ca="1" si="38"/>
        <v>13</v>
      </c>
      <c r="AT35" s="158">
        <f t="shared" ca="1" si="39"/>
        <v>0</v>
      </c>
      <c r="AU35" s="97">
        <f t="shared" ca="1" si="40"/>
        <v>13</v>
      </c>
      <c r="AV35" s="179">
        <f t="shared" ca="1" si="41"/>
        <v>1</v>
      </c>
      <c r="AW35" s="162">
        <f t="shared" si="42"/>
        <v>0</v>
      </c>
      <c r="AX35" s="26">
        <f t="shared" si="43"/>
        <v>14</v>
      </c>
      <c r="AY35" s="198">
        <f ca="1">IF(OR(E35="",F35="",ISERROR(AE35)),0,(100000000*MATCH(E35,INDIRECT($AI$1),0)+IF(AE35=1,(16-IF(AO35="M",MATCH(G35,Setup!$K$9:$K$23,0),MATCH(G35,Setup!$M$9:$M$23)))*1000000,0)+IF(AB35&gt;0,IF(AE35=1,RANK(AB35,AB:AB,-1)*1000+AX35,IF(AE35=2,AC35,AD35)),0)))</f>
        <v>0</v>
      </c>
      <c r="AZ35" s="39"/>
      <c r="BA35" s="39"/>
      <c r="BB35" s="39"/>
      <c r="BC35" s="39"/>
      <c r="BD35" s="39"/>
      <c r="BE35" s="39"/>
      <c r="BF35" s="39"/>
      <c r="BG35" s="39"/>
      <c r="BH35" s="84"/>
      <c r="BI35" s="84"/>
      <c r="BJ35" s="84"/>
      <c r="BK35" s="84"/>
      <c r="BL35" s="84"/>
      <c r="BM35" s="84"/>
      <c r="BN35" s="30"/>
      <c r="CJ35" s="28">
        <v>0</v>
      </c>
      <c r="CK35" s="28">
        <v>0</v>
      </c>
      <c r="CL35" s="28">
        <v>0</v>
      </c>
      <c r="CM35" s="28">
        <v>0</v>
      </c>
      <c r="CN35" s="28">
        <v>0</v>
      </c>
      <c r="CO35" s="28">
        <v>0</v>
      </c>
      <c r="CP35" s="28">
        <v>0</v>
      </c>
      <c r="CQ35" s="28">
        <v>0</v>
      </c>
      <c r="CR35" s="28">
        <v>0</v>
      </c>
      <c r="CS35" s="28">
        <v>0</v>
      </c>
      <c r="CT35" s="28">
        <v>0</v>
      </c>
      <c r="CU35" s="28">
        <v>0</v>
      </c>
      <c r="CV35" s="28">
        <v>0</v>
      </c>
      <c r="CW35" s="28">
        <v>0</v>
      </c>
      <c r="CX35" s="28">
        <v>0</v>
      </c>
      <c r="CY35" s="28">
        <v>0</v>
      </c>
      <c r="CZ35" s="28">
        <v>0</v>
      </c>
    </row>
    <row r="36" spans="1:104" s="28" customFormat="1" x14ac:dyDescent="0.2">
      <c r="A36" s="33" t="str">
        <f t="shared" si="22"/>
        <v/>
      </c>
      <c r="B36" s="17" t="s">
        <v>32</v>
      </c>
      <c r="C36" s="200"/>
      <c r="D36" s="17"/>
      <c r="E36" s="17"/>
      <c r="F36" s="17"/>
      <c r="G36" s="39" t="str">
        <f>IF(OR(E36="",F36=""),"",IF(LEFT(E36,1)="M",VLOOKUP(F36,Setup!$J$9:$K$23,2,TRUE),VLOOKUP(F36,Setup!$L$9:$M$23,2,TRUE)))</f>
        <v/>
      </c>
      <c r="H36" s="39">
        <f>IF(F36="",0,VLOOKUP(AL36,DATA!$L$2:$N$1910,IF(LEFT(E36,1)="F",3,2)))</f>
        <v>0</v>
      </c>
      <c r="I36" s="17"/>
      <c r="J36" s="17"/>
      <c r="K36" s="115"/>
      <c r="L36" s="115"/>
      <c r="M36" s="115"/>
      <c r="N36" s="115"/>
      <c r="O36" s="116">
        <f t="shared" si="23"/>
        <v>0</v>
      </c>
      <c r="P36" s="205"/>
      <c r="Q36" s="115"/>
      <c r="R36" s="115"/>
      <c r="S36" s="115"/>
      <c r="T36" s="115"/>
      <c r="U36" s="116">
        <f t="shared" si="24"/>
        <v>0</v>
      </c>
      <c r="V36" s="117">
        <f t="shared" si="25"/>
        <v>0</v>
      </c>
      <c r="W36" s="115"/>
      <c r="X36" s="115"/>
      <c r="Y36" s="115"/>
      <c r="Z36" s="115"/>
      <c r="AA36" s="116">
        <f t="shared" si="26"/>
        <v>0</v>
      </c>
      <c r="AB36" s="117">
        <f t="shared" si="27"/>
        <v>0</v>
      </c>
      <c r="AC36" s="118">
        <f t="shared" si="28"/>
        <v>0</v>
      </c>
      <c r="AD36" s="118">
        <f>IF(OR(AB36=0,D36="",D36&lt;40),0,VLOOKUP($D36,DATA!$A$2:$B$53,2,TRUE)*AC36)</f>
        <v>0</v>
      </c>
      <c r="AE36" s="178" t="str">
        <f ca="1">IF(E36="","",OFFSET(Setup!$Q$1,MATCH(E36,Setup!O:O,0)-1,0))</f>
        <v/>
      </c>
      <c r="AF36" s="116">
        <f t="shared" ca="1" si="29"/>
        <v>0</v>
      </c>
      <c r="AG36" s="39">
        <f>IF(OR(AB36=0),0,VLOOKUP(AV36,Setup!$S$6:$T$15,2,TRUE))</f>
        <v>0</v>
      </c>
      <c r="AH36" s="119"/>
      <c r="AI36" s="114"/>
      <c r="AJ36" s="106">
        <f t="shared" si="30"/>
        <v>0</v>
      </c>
      <c r="AK36" s="39">
        <f t="shared" si="31"/>
        <v>0</v>
      </c>
      <c r="AL36" s="26">
        <f t="shared" si="32"/>
        <v>0</v>
      </c>
      <c r="AM36" s="26">
        <f t="shared" si="33"/>
        <v>0</v>
      </c>
      <c r="AN36" s="26">
        <f t="shared" si="34"/>
        <v>0</v>
      </c>
      <c r="AO36" s="38" t="str">
        <f t="shared" si="35"/>
        <v/>
      </c>
      <c r="AP36" s="38"/>
      <c r="AQ36" s="28">
        <f t="shared" si="36"/>
        <v>0</v>
      </c>
      <c r="AR36" s="198">
        <f t="shared" ca="1" si="37"/>
        <v>0</v>
      </c>
      <c r="AS36" s="38">
        <f t="shared" ca="1" si="38"/>
        <v>13</v>
      </c>
      <c r="AT36" s="158">
        <f t="shared" ca="1" si="39"/>
        <v>0</v>
      </c>
      <c r="AU36" s="97">
        <f t="shared" ca="1" si="40"/>
        <v>13</v>
      </c>
      <c r="AV36" s="179">
        <f t="shared" ca="1" si="41"/>
        <v>1</v>
      </c>
      <c r="AW36" s="162">
        <f t="shared" si="42"/>
        <v>0</v>
      </c>
      <c r="AX36" s="26">
        <f t="shared" si="43"/>
        <v>14</v>
      </c>
      <c r="AY36" s="198">
        <f ca="1">IF(OR(E36="",F36="",ISERROR(AE36)),0,(100000000*MATCH(E36,INDIRECT($AI$1),0)+IF(AE36=1,(16-IF(AO36="M",MATCH(G36,Setup!$K$9:$K$23,0),MATCH(G36,Setup!$M$9:$M$23)))*1000000,0)+IF(AB36&gt;0,IF(AE36=1,RANK(AB36,AB:AB,-1)*1000+AX36,IF(AE36=2,AC36,AD36)),0)))</f>
        <v>0</v>
      </c>
      <c r="AZ36" s="39"/>
      <c r="BA36" s="39"/>
      <c r="BB36" s="39"/>
      <c r="BC36" s="39"/>
      <c r="BD36" s="39"/>
      <c r="BE36" s="39"/>
      <c r="BF36" s="39"/>
      <c r="BG36" s="39"/>
      <c r="BH36" s="84"/>
      <c r="BI36" s="84"/>
      <c r="BJ36" s="84"/>
      <c r="BK36" s="84"/>
      <c r="BL36" s="84"/>
      <c r="BM36" s="84"/>
      <c r="BN36" s="30"/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</row>
    <row r="37" spans="1:104" s="28" customFormat="1" x14ac:dyDescent="0.2">
      <c r="A37" s="33" t="str">
        <f t="shared" si="22"/>
        <v/>
      </c>
      <c r="B37" s="17" t="s">
        <v>32</v>
      </c>
      <c r="C37" s="200"/>
      <c r="D37" s="17"/>
      <c r="E37" s="17"/>
      <c r="F37" s="17"/>
      <c r="G37" s="39" t="str">
        <f>IF(OR(E37="",F37=""),"",IF(LEFT(E37,1)="M",VLOOKUP(F37,Setup!$J$9:$K$23,2,TRUE),VLOOKUP(F37,Setup!$L$9:$M$23,2,TRUE)))</f>
        <v/>
      </c>
      <c r="H37" s="39">
        <f>IF(F37="",0,VLOOKUP(AL37,DATA!$L$2:$N$1910,IF(LEFT(E37,1)="F",3,2)))</f>
        <v>0</v>
      </c>
      <c r="I37" s="17"/>
      <c r="J37" s="17"/>
      <c r="K37" s="115"/>
      <c r="L37" s="115"/>
      <c r="M37" s="115"/>
      <c r="N37" s="115"/>
      <c r="O37" s="116">
        <f t="shared" si="23"/>
        <v>0</v>
      </c>
      <c r="P37" s="205"/>
      <c r="Q37" s="115"/>
      <c r="R37" s="115"/>
      <c r="S37" s="115"/>
      <c r="T37" s="115"/>
      <c r="U37" s="116">
        <f t="shared" si="24"/>
        <v>0</v>
      </c>
      <c r="V37" s="117">
        <f t="shared" si="25"/>
        <v>0</v>
      </c>
      <c r="W37" s="115"/>
      <c r="X37" s="115"/>
      <c r="Y37" s="115"/>
      <c r="Z37" s="115"/>
      <c r="AA37" s="116">
        <f t="shared" si="26"/>
        <v>0</v>
      </c>
      <c r="AB37" s="117">
        <f t="shared" si="27"/>
        <v>0</v>
      </c>
      <c r="AC37" s="118">
        <f t="shared" si="28"/>
        <v>0</v>
      </c>
      <c r="AD37" s="118">
        <f>IF(OR(AB37=0,D37="",D37&lt;40),0,VLOOKUP($D37,DATA!$A$2:$B$53,2,TRUE)*AC37)</f>
        <v>0</v>
      </c>
      <c r="AE37" s="178" t="str">
        <f ca="1">IF(E37="","",OFFSET(Setup!$Q$1,MATCH(E37,Setup!O:O,0)-1,0))</f>
        <v/>
      </c>
      <c r="AF37" s="116">
        <f t="shared" ca="1" si="29"/>
        <v>0</v>
      </c>
      <c r="AG37" s="39">
        <f>IF(OR(AB37=0),0,VLOOKUP(AV37,Setup!$S$6:$T$15,2,TRUE))</f>
        <v>0</v>
      </c>
      <c r="AH37" s="119"/>
      <c r="AI37" s="114"/>
      <c r="AJ37" s="106">
        <f t="shared" si="30"/>
        <v>0</v>
      </c>
      <c r="AK37" s="39">
        <f t="shared" si="31"/>
        <v>0</v>
      </c>
      <c r="AL37" s="26">
        <f t="shared" si="32"/>
        <v>0</v>
      </c>
      <c r="AM37" s="26">
        <f t="shared" si="33"/>
        <v>0</v>
      </c>
      <c r="AN37" s="26">
        <f t="shared" si="34"/>
        <v>0</v>
      </c>
      <c r="AO37" s="38" t="str">
        <f t="shared" si="35"/>
        <v/>
      </c>
      <c r="AP37" s="38"/>
      <c r="AQ37" s="28">
        <f t="shared" si="36"/>
        <v>0</v>
      </c>
      <c r="AR37" s="198">
        <f t="shared" ca="1" si="37"/>
        <v>0</v>
      </c>
      <c r="AS37" s="38">
        <f t="shared" ca="1" si="38"/>
        <v>13</v>
      </c>
      <c r="AT37" s="158">
        <f t="shared" ca="1" si="39"/>
        <v>0</v>
      </c>
      <c r="AU37" s="97">
        <f t="shared" ca="1" si="40"/>
        <v>13</v>
      </c>
      <c r="AV37" s="179">
        <f t="shared" ca="1" si="41"/>
        <v>1</v>
      </c>
      <c r="AW37" s="162">
        <f t="shared" si="42"/>
        <v>0</v>
      </c>
      <c r="AX37" s="26">
        <f t="shared" si="43"/>
        <v>14</v>
      </c>
      <c r="AY37" s="198">
        <f ca="1">IF(OR(E37="",F37="",ISERROR(AE37)),0,(100000000*MATCH(E37,INDIRECT($AI$1),0)+IF(AE37=1,(16-IF(AO37="M",MATCH(G37,Setup!$K$9:$K$23,0),MATCH(G37,Setup!$M$9:$M$23)))*1000000,0)+IF(AB37&gt;0,IF(AE37=1,RANK(AB37,AB:AB,-1)*1000+AX37,IF(AE37=2,AC37,AD37)),0)))</f>
        <v>0</v>
      </c>
      <c r="AZ37" s="39"/>
      <c r="BA37" s="39"/>
      <c r="BB37" s="39"/>
      <c r="BC37" s="39"/>
      <c r="BD37" s="39"/>
      <c r="BE37" s="39"/>
      <c r="BF37" s="39"/>
      <c r="BG37" s="39"/>
      <c r="BH37" s="84"/>
      <c r="BI37" s="84"/>
      <c r="BJ37" s="84"/>
      <c r="BK37" s="84"/>
      <c r="BL37" s="84"/>
      <c r="BM37" s="84"/>
      <c r="BN37" s="30"/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</row>
    <row r="38" spans="1:104" s="28" customFormat="1" x14ac:dyDescent="0.2">
      <c r="A38" s="33" t="str">
        <f t="shared" si="22"/>
        <v/>
      </c>
      <c r="B38" s="17" t="s">
        <v>32</v>
      </c>
      <c r="C38" s="200"/>
      <c r="D38" s="17"/>
      <c r="E38" s="17"/>
      <c r="F38" s="17"/>
      <c r="G38" s="39" t="str">
        <f>IF(OR(E38="",F38=""),"",IF(LEFT(E38,1)="M",VLOOKUP(F38,Setup!$J$9:$K$23,2,TRUE),VLOOKUP(F38,Setup!$L$9:$M$23,2,TRUE)))</f>
        <v/>
      </c>
      <c r="H38" s="39">
        <f>IF(F38="",0,VLOOKUP(AL38,DATA!$L$2:$N$1910,IF(LEFT(E38,1)="F",3,2)))</f>
        <v>0</v>
      </c>
      <c r="I38" s="17"/>
      <c r="J38" s="17"/>
      <c r="K38" s="115"/>
      <c r="L38" s="115"/>
      <c r="M38" s="115"/>
      <c r="N38" s="115"/>
      <c r="O38" s="116">
        <f t="shared" si="23"/>
        <v>0</v>
      </c>
      <c r="P38" s="205"/>
      <c r="Q38" s="115"/>
      <c r="R38" s="115"/>
      <c r="S38" s="115"/>
      <c r="T38" s="115"/>
      <c r="U38" s="116">
        <f t="shared" si="24"/>
        <v>0</v>
      </c>
      <c r="V38" s="117">
        <f t="shared" si="25"/>
        <v>0</v>
      </c>
      <c r="W38" s="115"/>
      <c r="X38" s="115"/>
      <c r="Y38" s="115"/>
      <c r="Z38" s="115"/>
      <c r="AA38" s="116">
        <f t="shared" si="26"/>
        <v>0</v>
      </c>
      <c r="AB38" s="117">
        <f t="shared" si="27"/>
        <v>0</v>
      </c>
      <c r="AC38" s="118">
        <f t="shared" si="28"/>
        <v>0</v>
      </c>
      <c r="AD38" s="118">
        <f>IF(OR(AB38=0,D38="",D38&lt;40),0,VLOOKUP($D38,DATA!$A$2:$B$53,2,TRUE)*AC38)</f>
        <v>0</v>
      </c>
      <c r="AE38" s="178" t="str">
        <f ca="1">IF(E38="","",OFFSET(Setup!$Q$1,MATCH(E38,Setup!O:O,0)-1,0))</f>
        <v/>
      </c>
      <c r="AF38" s="116">
        <f t="shared" ca="1" si="29"/>
        <v>0</v>
      </c>
      <c r="AG38" s="39">
        <f>IF(OR(AB38=0),0,VLOOKUP(AV38,Setup!$S$6:$T$15,2,TRUE))</f>
        <v>0</v>
      </c>
      <c r="AH38" s="119"/>
      <c r="AI38" s="114"/>
      <c r="AJ38" s="106">
        <f t="shared" si="30"/>
        <v>0</v>
      </c>
      <c r="AK38" s="39">
        <f t="shared" si="31"/>
        <v>0</v>
      </c>
      <c r="AL38" s="26">
        <f t="shared" si="32"/>
        <v>0</v>
      </c>
      <c r="AM38" s="26">
        <f t="shared" si="33"/>
        <v>0</v>
      </c>
      <c r="AN38" s="26">
        <f t="shared" si="34"/>
        <v>0</v>
      </c>
      <c r="AO38" s="38" t="str">
        <f t="shared" si="35"/>
        <v/>
      </c>
      <c r="AP38" s="38"/>
      <c r="AQ38" s="28">
        <f t="shared" si="36"/>
        <v>0</v>
      </c>
      <c r="AR38" s="198">
        <f t="shared" ca="1" si="37"/>
        <v>0</v>
      </c>
      <c r="AS38" s="38">
        <f t="shared" ca="1" si="38"/>
        <v>13</v>
      </c>
      <c r="AT38" s="158">
        <f t="shared" ca="1" si="39"/>
        <v>0</v>
      </c>
      <c r="AU38" s="97">
        <f t="shared" ca="1" si="40"/>
        <v>13</v>
      </c>
      <c r="AV38" s="179">
        <f t="shared" ca="1" si="41"/>
        <v>1</v>
      </c>
      <c r="AW38" s="162">
        <f t="shared" si="42"/>
        <v>0</v>
      </c>
      <c r="AX38" s="26">
        <f t="shared" si="43"/>
        <v>14</v>
      </c>
      <c r="AY38" s="198">
        <f ca="1">IF(OR(E38="",F38="",ISERROR(AE38)),0,(100000000*MATCH(E38,INDIRECT($AI$1),0)+IF(AE38=1,(16-IF(AO38="M",MATCH(G38,Setup!$K$9:$K$23,0),MATCH(G38,Setup!$M$9:$M$23)))*1000000,0)+IF(AB38&gt;0,IF(AE38=1,RANK(AB38,AB:AB,-1)*1000+AX38,IF(AE38=2,AC38,AD38)),0)))</f>
        <v>0</v>
      </c>
      <c r="AZ38" s="39"/>
      <c r="BA38" s="39"/>
      <c r="BB38" s="39"/>
      <c r="BC38" s="39"/>
      <c r="BD38" s="39"/>
      <c r="BE38" s="39"/>
      <c r="BF38" s="39"/>
      <c r="BG38" s="39"/>
      <c r="BH38" s="84"/>
      <c r="BI38" s="84"/>
      <c r="BJ38" s="84"/>
      <c r="BK38" s="84"/>
      <c r="BL38" s="84"/>
      <c r="BM38" s="84"/>
      <c r="BN38" s="30"/>
      <c r="CJ38" s="28">
        <v>0</v>
      </c>
      <c r="CK38" s="28">
        <v>0</v>
      </c>
      <c r="CL38" s="28">
        <v>0</v>
      </c>
      <c r="CM38" s="28">
        <v>0</v>
      </c>
      <c r="CN38" s="28">
        <v>0</v>
      </c>
      <c r="CO38" s="28">
        <v>0</v>
      </c>
      <c r="CP38" s="28">
        <v>0</v>
      </c>
      <c r="CQ38" s="28">
        <v>0</v>
      </c>
      <c r="CR38" s="28">
        <v>0</v>
      </c>
      <c r="CS38" s="28">
        <v>0</v>
      </c>
      <c r="CT38" s="28">
        <v>0</v>
      </c>
      <c r="CU38" s="28">
        <v>0</v>
      </c>
      <c r="CV38" s="28">
        <v>0</v>
      </c>
      <c r="CW38" s="28">
        <v>0</v>
      </c>
      <c r="CX38" s="28">
        <v>0</v>
      </c>
      <c r="CY38" s="28">
        <v>0</v>
      </c>
      <c r="CZ38" s="28">
        <v>0</v>
      </c>
    </row>
    <row r="39" spans="1:104" s="28" customFormat="1" x14ac:dyDescent="0.2">
      <c r="A39" s="33" t="str">
        <f t="shared" si="22"/>
        <v/>
      </c>
      <c r="B39" s="17" t="s">
        <v>32</v>
      </c>
      <c r="C39" s="200"/>
      <c r="D39" s="17"/>
      <c r="E39" s="17"/>
      <c r="F39" s="17"/>
      <c r="G39" s="39" t="str">
        <f>IF(OR(E39="",F39=""),"",IF(LEFT(E39,1)="M",VLOOKUP(F39,Setup!$J$9:$K$23,2,TRUE),VLOOKUP(F39,Setup!$L$9:$M$23,2,TRUE)))</f>
        <v/>
      </c>
      <c r="H39" s="39">
        <f>IF(F39="",0,VLOOKUP(AL39,DATA!$L$2:$N$1910,IF(LEFT(E39,1)="F",3,2)))</f>
        <v>0</v>
      </c>
      <c r="I39" s="17"/>
      <c r="J39" s="17"/>
      <c r="K39" s="115"/>
      <c r="L39" s="115"/>
      <c r="M39" s="115"/>
      <c r="N39" s="115"/>
      <c r="O39" s="116">
        <f t="shared" si="23"/>
        <v>0</v>
      </c>
      <c r="P39" s="205"/>
      <c r="Q39" s="115"/>
      <c r="R39" s="115"/>
      <c r="S39" s="115"/>
      <c r="T39" s="115"/>
      <c r="U39" s="116">
        <f t="shared" si="24"/>
        <v>0</v>
      </c>
      <c r="V39" s="117">
        <f t="shared" si="25"/>
        <v>0</v>
      </c>
      <c r="W39" s="115"/>
      <c r="X39" s="115"/>
      <c r="Y39" s="115"/>
      <c r="Z39" s="115"/>
      <c r="AA39" s="116">
        <f t="shared" si="26"/>
        <v>0</v>
      </c>
      <c r="AB39" s="117">
        <f t="shared" si="27"/>
        <v>0</v>
      </c>
      <c r="AC39" s="118">
        <f t="shared" si="28"/>
        <v>0</v>
      </c>
      <c r="AD39" s="118">
        <f>IF(OR(AB39=0,D39="",D39&lt;40),0,VLOOKUP($D39,DATA!$A$2:$B$53,2,TRUE)*AC39)</f>
        <v>0</v>
      </c>
      <c r="AE39" s="178" t="str">
        <f ca="1">IF(E39="","",OFFSET(Setup!$Q$1,MATCH(E39,Setup!O:O,0)-1,0))</f>
        <v/>
      </c>
      <c r="AF39" s="116">
        <f t="shared" ca="1" si="29"/>
        <v>0</v>
      </c>
      <c r="AG39" s="39">
        <f>IF(OR(AB39=0),0,VLOOKUP(AV39,Setup!$S$6:$T$15,2,TRUE))</f>
        <v>0</v>
      </c>
      <c r="AH39" s="119"/>
      <c r="AI39" s="114"/>
      <c r="AJ39" s="106">
        <f t="shared" si="30"/>
        <v>0</v>
      </c>
      <c r="AK39" s="39">
        <f t="shared" si="31"/>
        <v>0</v>
      </c>
      <c r="AL39" s="26">
        <f t="shared" si="32"/>
        <v>0</v>
      </c>
      <c r="AM39" s="26">
        <f t="shared" si="33"/>
        <v>0</v>
      </c>
      <c r="AN39" s="26">
        <f t="shared" si="34"/>
        <v>0</v>
      </c>
      <c r="AO39" s="38" t="str">
        <f t="shared" si="35"/>
        <v/>
      </c>
      <c r="AP39" s="38"/>
      <c r="AQ39" s="28">
        <f t="shared" si="36"/>
        <v>0</v>
      </c>
      <c r="AR39" s="198">
        <f t="shared" ca="1" si="37"/>
        <v>0</v>
      </c>
      <c r="AS39" s="38">
        <f t="shared" ca="1" si="38"/>
        <v>13</v>
      </c>
      <c r="AT39" s="158">
        <f t="shared" ca="1" si="39"/>
        <v>0</v>
      </c>
      <c r="AU39" s="97">
        <f t="shared" ca="1" si="40"/>
        <v>13</v>
      </c>
      <c r="AV39" s="179">
        <f t="shared" ca="1" si="41"/>
        <v>1</v>
      </c>
      <c r="AW39" s="162">
        <f t="shared" si="42"/>
        <v>0</v>
      </c>
      <c r="AX39" s="26">
        <f t="shared" si="43"/>
        <v>14</v>
      </c>
      <c r="AY39" s="198">
        <f ca="1">IF(OR(E39="",F39="",ISERROR(AE39)),0,(100000000*MATCH(E39,INDIRECT($AI$1),0)+IF(AE39=1,(16-IF(AO39="M",MATCH(G39,Setup!$K$9:$K$23,0),MATCH(G39,Setup!$M$9:$M$23)))*1000000,0)+IF(AB39&gt;0,IF(AE39=1,RANK(AB39,AB:AB,-1)*1000+AX39,IF(AE39=2,AC39,AD39)),0)))</f>
        <v>0</v>
      </c>
      <c r="AZ39" s="39"/>
      <c r="BA39" s="39"/>
      <c r="BB39" s="39"/>
      <c r="BC39" s="39"/>
      <c r="BD39" s="39"/>
      <c r="BE39" s="39"/>
      <c r="BF39" s="39"/>
      <c r="BG39" s="39"/>
      <c r="BH39" s="84"/>
      <c r="BI39" s="84"/>
      <c r="BJ39" s="84"/>
      <c r="BK39" s="84"/>
      <c r="BL39" s="84"/>
      <c r="BM39" s="84"/>
      <c r="BN39" s="30"/>
      <c r="CJ39" s="28">
        <v>0</v>
      </c>
      <c r="CK39" s="28">
        <v>0</v>
      </c>
      <c r="CL39" s="28">
        <v>0</v>
      </c>
      <c r="CM39" s="28">
        <v>0</v>
      </c>
      <c r="CN39" s="28">
        <v>0</v>
      </c>
      <c r="CO39" s="28">
        <v>0</v>
      </c>
      <c r="CP39" s="28">
        <v>0</v>
      </c>
      <c r="CQ39" s="28">
        <v>0</v>
      </c>
      <c r="CR39" s="28">
        <v>0</v>
      </c>
      <c r="CS39" s="28">
        <v>0</v>
      </c>
      <c r="CT39" s="28">
        <v>0</v>
      </c>
      <c r="CU39" s="28">
        <v>0</v>
      </c>
      <c r="CV39" s="28">
        <v>0</v>
      </c>
      <c r="CW39" s="28">
        <v>0</v>
      </c>
      <c r="CX39" s="28">
        <v>0</v>
      </c>
      <c r="CY39" s="28">
        <v>0</v>
      </c>
      <c r="CZ39" s="28">
        <v>0</v>
      </c>
    </row>
    <row r="40" spans="1:104" s="28" customFormat="1" x14ac:dyDescent="0.2">
      <c r="A40" s="33" t="str">
        <f t="shared" si="22"/>
        <v/>
      </c>
      <c r="B40" s="17" t="s">
        <v>32</v>
      </c>
      <c r="C40" s="200"/>
      <c r="D40" s="17"/>
      <c r="E40" s="17"/>
      <c r="F40" s="17"/>
      <c r="G40" s="39" t="str">
        <f>IF(OR(E40="",F40=""),"",IF(LEFT(E40,1)="M",VLOOKUP(F40,Setup!$J$9:$K$23,2,TRUE),VLOOKUP(F40,Setup!$L$9:$M$23,2,TRUE)))</f>
        <v/>
      </c>
      <c r="H40" s="39">
        <f>IF(F40="",0,VLOOKUP(AL40,DATA!$L$2:$N$1910,IF(LEFT(E40,1)="F",3,2)))</f>
        <v>0</v>
      </c>
      <c r="I40" s="17"/>
      <c r="J40" s="17"/>
      <c r="K40" s="115"/>
      <c r="L40" s="115"/>
      <c r="M40" s="115"/>
      <c r="N40" s="115"/>
      <c r="O40" s="116">
        <f t="shared" si="23"/>
        <v>0</v>
      </c>
      <c r="P40" s="205"/>
      <c r="Q40" s="115"/>
      <c r="R40" s="115"/>
      <c r="S40" s="115"/>
      <c r="T40" s="115"/>
      <c r="U40" s="116">
        <f t="shared" si="24"/>
        <v>0</v>
      </c>
      <c r="V40" s="117">
        <f t="shared" si="25"/>
        <v>0</v>
      </c>
      <c r="W40" s="115"/>
      <c r="X40" s="115"/>
      <c r="Y40" s="115"/>
      <c r="Z40" s="115"/>
      <c r="AA40" s="116">
        <f t="shared" si="26"/>
        <v>0</v>
      </c>
      <c r="AB40" s="117">
        <f t="shared" si="27"/>
        <v>0</v>
      </c>
      <c r="AC40" s="118">
        <f t="shared" si="28"/>
        <v>0</v>
      </c>
      <c r="AD40" s="118">
        <f>IF(OR(AB40=0,D40="",D40&lt;40),0,VLOOKUP($D40,DATA!$A$2:$B$53,2,TRUE)*AC40)</f>
        <v>0</v>
      </c>
      <c r="AE40" s="178" t="str">
        <f ca="1">IF(E40="","",OFFSET(Setup!$Q$1,MATCH(E40,Setup!O:O,0)-1,0))</f>
        <v/>
      </c>
      <c r="AF40" s="116">
        <f t="shared" ca="1" si="29"/>
        <v>0</v>
      </c>
      <c r="AG40" s="39">
        <f>IF(OR(AB40=0),0,VLOOKUP(AV40,Setup!$S$6:$T$15,2,TRUE))</f>
        <v>0</v>
      </c>
      <c r="AH40" s="119"/>
      <c r="AI40" s="114"/>
      <c r="AJ40" s="106">
        <f t="shared" si="30"/>
        <v>0</v>
      </c>
      <c r="AK40" s="39">
        <f t="shared" si="31"/>
        <v>0</v>
      </c>
      <c r="AL40" s="26">
        <f t="shared" si="32"/>
        <v>0</v>
      </c>
      <c r="AM40" s="26">
        <f t="shared" si="33"/>
        <v>0</v>
      </c>
      <c r="AN40" s="26">
        <f t="shared" si="34"/>
        <v>0</v>
      </c>
      <c r="AO40" s="38" t="str">
        <f t="shared" si="35"/>
        <v/>
      </c>
      <c r="AP40" s="38"/>
      <c r="AQ40" s="28">
        <f t="shared" si="36"/>
        <v>0</v>
      </c>
      <c r="AR40" s="198">
        <f t="shared" ca="1" si="37"/>
        <v>0</v>
      </c>
      <c r="AS40" s="38">
        <f t="shared" ca="1" si="38"/>
        <v>13</v>
      </c>
      <c r="AT40" s="158">
        <f t="shared" ca="1" si="39"/>
        <v>0</v>
      </c>
      <c r="AU40" s="97">
        <f t="shared" ca="1" si="40"/>
        <v>13</v>
      </c>
      <c r="AV40" s="179">
        <f t="shared" ca="1" si="41"/>
        <v>1</v>
      </c>
      <c r="AW40" s="162">
        <f t="shared" si="42"/>
        <v>0</v>
      </c>
      <c r="AX40" s="26">
        <f t="shared" si="43"/>
        <v>14</v>
      </c>
      <c r="AY40" s="198">
        <f ca="1">IF(OR(E40="",F40="",ISERROR(AE40)),0,(100000000*MATCH(E40,INDIRECT($AI$1),0)+IF(AE40=1,(16-IF(AO40="M",MATCH(G40,Setup!$K$9:$K$23,0),MATCH(G40,Setup!$M$9:$M$23)))*1000000,0)+IF(AB40&gt;0,IF(AE40=1,RANK(AB40,AB:AB,-1)*1000+AX40,IF(AE40=2,AC40,AD40)),0)))</f>
        <v>0</v>
      </c>
      <c r="AZ40" s="39"/>
      <c r="BA40" s="39"/>
      <c r="BB40" s="39"/>
      <c r="BC40" s="39"/>
      <c r="BD40" s="39"/>
      <c r="BE40" s="39"/>
      <c r="BF40" s="39"/>
      <c r="BG40" s="39"/>
      <c r="BH40" s="84"/>
      <c r="BI40" s="84"/>
      <c r="BJ40" s="84"/>
      <c r="BK40" s="84"/>
      <c r="BL40" s="84"/>
      <c r="BM40" s="84"/>
      <c r="BN40" s="30"/>
      <c r="CJ40" s="28">
        <v>0</v>
      </c>
      <c r="CK40" s="28">
        <v>0</v>
      </c>
      <c r="CL40" s="28">
        <v>0</v>
      </c>
      <c r="CM40" s="28">
        <v>0</v>
      </c>
      <c r="CN40" s="28">
        <v>0</v>
      </c>
      <c r="CO40" s="28">
        <v>0</v>
      </c>
      <c r="CP40" s="28">
        <v>0</v>
      </c>
      <c r="CQ40" s="28">
        <v>0</v>
      </c>
      <c r="CR40" s="28">
        <v>0</v>
      </c>
      <c r="CS40" s="28">
        <v>0</v>
      </c>
      <c r="CT40" s="28">
        <v>0</v>
      </c>
      <c r="CU40" s="28">
        <v>0</v>
      </c>
      <c r="CV40" s="28">
        <v>0</v>
      </c>
      <c r="CW40" s="28">
        <v>0</v>
      </c>
      <c r="CX40" s="28">
        <v>0</v>
      </c>
      <c r="CY40" s="28">
        <v>0</v>
      </c>
      <c r="CZ40" s="28">
        <v>0</v>
      </c>
    </row>
    <row r="41" spans="1:104" s="28" customFormat="1" x14ac:dyDescent="0.2">
      <c r="A41" s="33" t="str">
        <f t="shared" si="22"/>
        <v/>
      </c>
      <c r="B41" s="17" t="s">
        <v>32</v>
      </c>
      <c r="C41" s="200"/>
      <c r="D41" s="17"/>
      <c r="E41" s="17"/>
      <c r="F41" s="17"/>
      <c r="G41" s="39" t="str">
        <f>IF(OR(E41="",F41=""),"",IF(LEFT(E41,1)="M",VLOOKUP(F41,Setup!$J$9:$K$23,2,TRUE),VLOOKUP(F41,Setup!$L$9:$M$23,2,TRUE)))</f>
        <v/>
      </c>
      <c r="H41" s="39">
        <f>IF(F41="",0,VLOOKUP(AL41,DATA!$L$2:$N$1910,IF(LEFT(E41,1)="F",3,2)))</f>
        <v>0</v>
      </c>
      <c r="I41" s="17"/>
      <c r="J41" s="17"/>
      <c r="K41" s="115"/>
      <c r="L41" s="115"/>
      <c r="M41" s="115"/>
      <c r="N41" s="115"/>
      <c r="O41" s="116">
        <f t="shared" si="23"/>
        <v>0</v>
      </c>
      <c r="P41" s="205"/>
      <c r="Q41" s="115"/>
      <c r="R41" s="115"/>
      <c r="S41" s="115"/>
      <c r="T41" s="115"/>
      <c r="U41" s="116">
        <f t="shared" si="24"/>
        <v>0</v>
      </c>
      <c r="V41" s="117">
        <f t="shared" si="25"/>
        <v>0</v>
      </c>
      <c r="W41" s="115"/>
      <c r="X41" s="115"/>
      <c r="Y41" s="115"/>
      <c r="Z41" s="115"/>
      <c r="AA41" s="116">
        <f t="shared" si="26"/>
        <v>0</v>
      </c>
      <c r="AB41" s="117">
        <f t="shared" si="27"/>
        <v>0</v>
      </c>
      <c r="AC41" s="118">
        <f t="shared" si="28"/>
        <v>0</v>
      </c>
      <c r="AD41" s="118">
        <f>IF(OR(AB41=0,D41="",D41&lt;40),0,VLOOKUP($D41,DATA!$A$2:$B$53,2,TRUE)*AC41)</f>
        <v>0</v>
      </c>
      <c r="AE41" s="178" t="str">
        <f ca="1">IF(E41="","",OFFSET(Setup!$Q$1,MATCH(E41,Setup!O:O,0)-1,0))</f>
        <v/>
      </c>
      <c r="AF41" s="116">
        <f t="shared" ca="1" si="29"/>
        <v>0</v>
      </c>
      <c r="AG41" s="39">
        <f>IF(OR(AB41=0),0,VLOOKUP(AV41,Setup!$S$6:$T$15,2,TRUE))</f>
        <v>0</v>
      </c>
      <c r="AH41" s="119"/>
      <c r="AI41" s="114"/>
      <c r="AJ41" s="106">
        <f t="shared" si="30"/>
        <v>0</v>
      </c>
      <c r="AK41" s="39">
        <f t="shared" si="31"/>
        <v>0</v>
      </c>
      <c r="AL41" s="26">
        <f t="shared" si="32"/>
        <v>0</v>
      </c>
      <c r="AM41" s="26">
        <f t="shared" si="33"/>
        <v>0</v>
      </c>
      <c r="AN41" s="26">
        <f t="shared" si="34"/>
        <v>0</v>
      </c>
      <c r="AO41" s="38" t="str">
        <f t="shared" si="35"/>
        <v/>
      </c>
      <c r="AP41" s="38"/>
      <c r="AQ41" s="28">
        <f t="shared" si="36"/>
        <v>0</v>
      </c>
      <c r="AR41" s="198">
        <f t="shared" ca="1" si="37"/>
        <v>0</v>
      </c>
      <c r="AS41" s="38">
        <f t="shared" ca="1" si="38"/>
        <v>13</v>
      </c>
      <c r="AT41" s="158">
        <f t="shared" ca="1" si="39"/>
        <v>0</v>
      </c>
      <c r="AU41" s="97">
        <f t="shared" ca="1" si="40"/>
        <v>13</v>
      </c>
      <c r="AV41" s="179">
        <f t="shared" ca="1" si="41"/>
        <v>1</v>
      </c>
      <c r="AW41" s="162">
        <f t="shared" si="42"/>
        <v>0</v>
      </c>
      <c r="AX41" s="26">
        <f t="shared" si="43"/>
        <v>14</v>
      </c>
      <c r="AY41" s="198">
        <f ca="1">IF(OR(E41="",F41="",ISERROR(AE41)),0,(100000000*MATCH(E41,INDIRECT($AI$1),0)+IF(AE41=1,(16-IF(AO41="M",MATCH(G41,Setup!$K$9:$K$23,0),MATCH(G41,Setup!$M$9:$M$23)))*1000000,0)+IF(AB41&gt;0,IF(AE41=1,RANK(AB41,AB:AB,-1)*1000+AX41,IF(AE41=2,AC41,AD41)),0)))</f>
        <v>0</v>
      </c>
      <c r="AZ41" s="39"/>
      <c r="BA41" s="39"/>
      <c r="BB41" s="39"/>
      <c r="BC41" s="39"/>
      <c r="BD41" s="39"/>
      <c r="BE41" s="39"/>
      <c r="BF41" s="39"/>
      <c r="BG41" s="39"/>
      <c r="BH41" s="84"/>
      <c r="BI41" s="84"/>
      <c r="BJ41" s="84"/>
      <c r="BK41" s="84"/>
      <c r="BL41" s="84"/>
      <c r="BM41" s="84"/>
      <c r="BN41" s="30"/>
      <c r="CJ41" s="28">
        <v>0</v>
      </c>
      <c r="CK41" s="28">
        <v>0</v>
      </c>
      <c r="CL41" s="28">
        <v>0</v>
      </c>
      <c r="CM41" s="28">
        <v>0</v>
      </c>
      <c r="CN41" s="28">
        <v>0</v>
      </c>
      <c r="CO41" s="28">
        <v>0</v>
      </c>
      <c r="CP41" s="28">
        <v>0</v>
      </c>
      <c r="CQ41" s="28">
        <v>0</v>
      </c>
      <c r="CR41" s="28">
        <v>0</v>
      </c>
      <c r="CS41" s="28">
        <v>0</v>
      </c>
      <c r="CT41" s="28">
        <v>0</v>
      </c>
      <c r="CU41" s="28">
        <v>0</v>
      </c>
      <c r="CV41" s="28">
        <v>0</v>
      </c>
      <c r="CW41" s="28">
        <v>0</v>
      </c>
      <c r="CX41" s="28">
        <v>0</v>
      </c>
      <c r="CY41" s="28">
        <v>0</v>
      </c>
      <c r="CZ41" s="28">
        <v>0</v>
      </c>
    </row>
    <row r="42" spans="1:104" s="28" customFormat="1" x14ac:dyDescent="0.2">
      <c r="A42" s="33" t="str">
        <f t="shared" si="22"/>
        <v/>
      </c>
      <c r="B42" s="17" t="s">
        <v>32</v>
      </c>
      <c r="C42" s="200"/>
      <c r="D42" s="17"/>
      <c r="E42" s="17"/>
      <c r="F42" s="17"/>
      <c r="G42" s="39" t="str">
        <f>IF(OR(E42="",F42=""),"",IF(LEFT(E42,1)="M",VLOOKUP(F42,Setup!$J$9:$K$23,2,TRUE),VLOOKUP(F42,Setup!$L$9:$M$23,2,TRUE)))</f>
        <v/>
      </c>
      <c r="H42" s="39">
        <f>IF(F42="",0,VLOOKUP(AL42,DATA!$L$2:$N$1910,IF(LEFT(E42,1)="F",3,2)))</f>
        <v>0</v>
      </c>
      <c r="I42" s="17"/>
      <c r="J42" s="17"/>
      <c r="K42" s="115"/>
      <c r="L42" s="115"/>
      <c r="M42" s="115"/>
      <c r="N42" s="115"/>
      <c r="O42" s="116">
        <f t="shared" si="23"/>
        <v>0</v>
      </c>
      <c r="P42" s="205"/>
      <c r="Q42" s="115"/>
      <c r="R42" s="115"/>
      <c r="S42" s="115"/>
      <c r="T42" s="115"/>
      <c r="U42" s="116">
        <f t="shared" si="24"/>
        <v>0</v>
      </c>
      <c r="V42" s="117">
        <f t="shared" si="25"/>
        <v>0</v>
      </c>
      <c r="W42" s="115"/>
      <c r="X42" s="115"/>
      <c r="Y42" s="115"/>
      <c r="Z42" s="115"/>
      <c r="AA42" s="116">
        <f t="shared" si="26"/>
        <v>0</v>
      </c>
      <c r="AB42" s="117">
        <f t="shared" si="27"/>
        <v>0</v>
      </c>
      <c r="AC42" s="118">
        <f t="shared" si="28"/>
        <v>0</v>
      </c>
      <c r="AD42" s="118">
        <f>IF(OR(AB42=0,D42="",D42&lt;40),0,VLOOKUP($D42,DATA!$A$2:$B$53,2,TRUE)*AC42)</f>
        <v>0</v>
      </c>
      <c r="AE42" s="178" t="str">
        <f ca="1">IF(E42="","",OFFSET(Setup!$Q$1,MATCH(E42,Setup!O:O,0)-1,0))</f>
        <v/>
      </c>
      <c r="AF42" s="116">
        <f t="shared" ca="1" si="29"/>
        <v>0</v>
      </c>
      <c r="AG42" s="39">
        <f>IF(OR(AB42=0),0,VLOOKUP(AV42,Setup!$S$6:$T$15,2,TRUE))</f>
        <v>0</v>
      </c>
      <c r="AH42" s="119"/>
      <c r="AI42" s="114"/>
      <c r="AJ42" s="106">
        <f t="shared" si="30"/>
        <v>0</v>
      </c>
      <c r="AK42" s="39">
        <f t="shared" si="31"/>
        <v>0</v>
      </c>
      <c r="AL42" s="26">
        <f t="shared" si="32"/>
        <v>0</v>
      </c>
      <c r="AM42" s="26">
        <f t="shared" si="33"/>
        <v>0</v>
      </c>
      <c r="AN42" s="26">
        <f t="shared" si="34"/>
        <v>0</v>
      </c>
      <c r="AO42" s="38" t="str">
        <f t="shared" si="35"/>
        <v/>
      </c>
      <c r="AP42" s="38"/>
      <c r="AQ42" s="28">
        <f t="shared" si="36"/>
        <v>0</v>
      </c>
      <c r="AR42" s="198">
        <f t="shared" ca="1" si="37"/>
        <v>0</v>
      </c>
      <c r="AS42" s="38">
        <f t="shared" ca="1" si="38"/>
        <v>13</v>
      </c>
      <c r="AT42" s="158">
        <f t="shared" ca="1" si="39"/>
        <v>0</v>
      </c>
      <c r="AU42" s="97">
        <f t="shared" ca="1" si="40"/>
        <v>13</v>
      </c>
      <c r="AV42" s="179">
        <f t="shared" ca="1" si="41"/>
        <v>1</v>
      </c>
      <c r="AW42" s="162">
        <f t="shared" si="42"/>
        <v>0</v>
      </c>
      <c r="AX42" s="26">
        <f t="shared" si="43"/>
        <v>14</v>
      </c>
      <c r="AY42" s="198">
        <f ca="1">IF(OR(E42="",F42="",ISERROR(AE42)),0,(100000000*MATCH(E42,INDIRECT($AI$1),0)+IF(AE42=1,(16-IF(AO42="M",MATCH(G42,Setup!$K$9:$K$23,0),MATCH(G42,Setup!$M$9:$M$23)))*1000000,0)+IF(AB42&gt;0,IF(AE42=1,RANK(AB42,AB:AB,-1)*1000+AX42,IF(AE42=2,AC42,AD42)),0)))</f>
        <v>0</v>
      </c>
      <c r="AZ42" s="39"/>
      <c r="BA42" s="39"/>
      <c r="BB42" s="39"/>
      <c r="BC42" s="39"/>
      <c r="BD42" s="39"/>
      <c r="BE42" s="39"/>
      <c r="BF42" s="39"/>
      <c r="BG42" s="39"/>
      <c r="BH42" s="84"/>
      <c r="BI42" s="84"/>
      <c r="BJ42" s="84"/>
      <c r="BK42" s="84"/>
      <c r="BL42" s="84"/>
      <c r="BM42" s="84"/>
      <c r="BN42" s="30"/>
      <c r="CJ42" s="28">
        <v>0</v>
      </c>
      <c r="CK42" s="28">
        <v>0</v>
      </c>
      <c r="CL42" s="28">
        <v>0</v>
      </c>
      <c r="CM42" s="28">
        <v>0</v>
      </c>
      <c r="CN42" s="28">
        <v>0</v>
      </c>
      <c r="CO42" s="28">
        <v>0</v>
      </c>
      <c r="CP42" s="28">
        <v>0</v>
      </c>
      <c r="CQ42" s="28">
        <v>0</v>
      </c>
      <c r="CR42" s="28">
        <v>0</v>
      </c>
      <c r="CS42" s="28">
        <v>0</v>
      </c>
      <c r="CT42" s="28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</row>
    <row r="43" spans="1:104" s="28" customFormat="1" x14ac:dyDescent="0.2">
      <c r="A43" s="33" t="str">
        <f t="shared" si="22"/>
        <v/>
      </c>
      <c r="B43" s="17" t="s">
        <v>32</v>
      </c>
      <c r="C43" s="200"/>
      <c r="D43" s="17"/>
      <c r="E43" s="17"/>
      <c r="F43" s="17"/>
      <c r="G43" s="39" t="str">
        <f>IF(OR(E43="",F43=""),"",IF(LEFT(E43,1)="M",VLOOKUP(F43,Setup!$J$9:$K$23,2,TRUE),VLOOKUP(F43,Setup!$L$9:$M$23,2,TRUE)))</f>
        <v/>
      </c>
      <c r="H43" s="39">
        <f>IF(F43="",0,VLOOKUP(AL43,DATA!$L$2:$N$1910,IF(LEFT(E43,1)="F",3,2)))</f>
        <v>0</v>
      </c>
      <c r="I43" s="17"/>
      <c r="J43" s="17"/>
      <c r="K43" s="115"/>
      <c r="L43" s="115"/>
      <c r="M43" s="115"/>
      <c r="N43" s="115"/>
      <c r="O43" s="116">
        <f t="shared" si="23"/>
        <v>0</v>
      </c>
      <c r="P43" s="205"/>
      <c r="Q43" s="115"/>
      <c r="R43" s="115"/>
      <c r="S43" s="115"/>
      <c r="T43" s="115"/>
      <c r="U43" s="116">
        <f t="shared" si="24"/>
        <v>0</v>
      </c>
      <c r="V43" s="117">
        <f t="shared" si="25"/>
        <v>0</v>
      </c>
      <c r="W43" s="115"/>
      <c r="X43" s="115"/>
      <c r="Y43" s="115"/>
      <c r="Z43" s="115"/>
      <c r="AA43" s="116">
        <f t="shared" si="26"/>
        <v>0</v>
      </c>
      <c r="AB43" s="117">
        <f t="shared" si="27"/>
        <v>0</v>
      </c>
      <c r="AC43" s="118">
        <f t="shared" si="28"/>
        <v>0</v>
      </c>
      <c r="AD43" s="118">
        <f>IF(OR(AB43=0,D43="",D43&lt;40),0,VLOOKUP($D43,DATA!$A$2:$B$53,2,TRUE)*AC43)</f>
        <v>0</v>
      </c>
      <c r="AE43" s="178" t="str">
        <f ca="1">IF(E43="","",OFFSET(Setup!$Q$1,MATCH(E43,Setup!O:O,0)-1,0))</f>
        <v/>
      </c>
      <c r="AF43" s="116">
        <f t="shared" ca="1" si="29"/>
        <v>0</v>
      </c>
      <c r="AG43" s="39">
        <f>IF(OR(AB43=0),0,VLOOKUP(AV43,Setup!$S$6:$T$15,2,TRUE))</f>
        <v>0</v>
      </c>
      <c r="AH43" s="119"/>
      <c r="AI43" s="114"/>
      <c r="AJ43" s="106">
        <f t="shared" si="30"/>
        <v>0</v>
      </c>
      <c r="AK43" s="39">
        <f t="shared" si="31"/>
        <v>0</v>
      </c>
      <c r="AL43" s="26">
        <f t="shared" si="32"/>
        <v>0</v>
      </c>
      <c r="AM43" s="26">
        <f t="shared" si="33"/>
        <v>0</v>
      </c>
      <c r="AN43" s="26">
        <f t="shared" si="34"/>
        <v>0</v>
      </c>
      <c r="AO43" s="38" t="str">
        <f t="shared" si="35"/>
        <v/>
      </c>
      <c r="AP43" s="38"/>
      <c r="AQ43" s="28">
        <f t="shared" si="36"/>
        <v>0</v>
      </c>
      <c r="AR43" s="198">
        <f t="shared" ca="1" si="37"/>
        <v>0</v>
      </c>
      <c r="AS43" s="38">
        <f t="shared" ca="1" si="38"/>
        <v>13</v>
      </c>
      <c r="AT43" s="158">
        <f t="shared" ca="1" si="39"/>
        <v>0</v>
      </c>
      <c r="AU43" s="97">
        <f t="shared" ca="1" si="40"/>
        <v>13</v>
      </c>
      <c r="AV43" s="179">
        <f t="shared" ca="1" si="41"/>
        <v>1</v>
      </c>
      <c r="AW43" s="162">
        <f t="shared" si="42"/>
        <v>0</v>
      </c>
      <c r="AX43" s="26">
        <f t="shared" si="43"/>
        <v>14</v>
      </c>
      <c r="AY43" s="198">
        <f ca="1">IF(OR(E43="",F43="",ISERROR(AE43)),0,(100000000*MATCH(E43,INDIRECT($AI$1),0)+IF(AE43=1,(16-IF(AO43="M",MATCH(G43,Setup!$K$9:$K$23,0),MATCH(G43,Setup!$M$9:$M$23)))*1000000,0)+IF(AB43&gt;0,IF(AE43=1,RANK(AB43,AB:AB,-1)*1000+AX43,IF(AE43=2,AC43,AD43)),0)))</f>
        <v>0</v>
      </c>
      <c r="AZ43" s="39"/>
      <c r="BA43" s="39"/>
      <c r="BB43" s="39"/>
      <c r="BC43" s="39"/>
      <c r="BD43" s="39"/>
      <c r="BE43" s="39"/>
      <c r="BF43" s="39"/>
      <c r="BG43" s="39"/>
      <c r="BH43" s="84"/>
      <c r="BI43" s="84"/>
      <c r="BJ43" s="84"/>
      <c r="BK43" s="84"/>
      <c r="BL43" s="84"/>
      <c r="BM43" s="84"/>
      <c r="BN43" s="30"/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</row>
    <row r="44" spans="1:104" s="28" customFormat="1" x14ac:dyDescent="0.2">
      <c r="A44" s="33" t="str">
        <f t="shared" si="22"/>
        <v/>
      </c>
      <c r="B44" s="17" t="s">
        <v>32</v>
      </c>
      <c r="C44" s="200"/>
      <c r="D44" s="17"/>
      <c r="E44" s="17"/>
      <c r="F44" s="17"/>
      <c r="G44" s="39" t="str">
        <f>IF(OR(E44="",F44=""),"",IF(LEFT(E44,1)="M",VLOOKUP(F44,Setup!$J$9:$K$23,2,TRUE),VLOOKUP(F44,Setup!$L$9:$M$23,2,TRUE)))</f>
        <v/>
      </c>
      <c r="H44" s="39">
        <f>IF(F44="",0,VLOOKUP(AL44,DATA!$L$2:$N$1910,IF(LEFT(E44,1)="F",3,2)))</f>
        <v>0</v>
      </c>
      <c r="I44" s="17"/>
      <c r="J44" s="17"/>
      <c r="K44" s="115"/>
      <c r="L44" s="115"/>
      <c r="M44" s="115"/>
      <c r="N44" s="115"/>
      <c r="O44" s="116">
        <f t="shared" si="23"/>
        <v>0</v>
      </c>
      <c r="P44" s="205"/>
      <c r="Q44" s="115"/>
      <c r="R44" s="115"/>
      <c r="S44" s="115"/>
      <c r="T44" s="115"/>
      <c r="U44" s="116">
        <f t="shared" si="24"/>
        <v>0</v>
      </c>
      <c r="V44" s="117">
        <f t="shared" si="25"/>
        <v>0</v>
      </c>
      <c r="W44" s="115"/>
      <c r="X44" s="115"/>
      <c r="Y44" s="115"/>
      <c r="Z44" s="115"/>
      <c r="AA44" s="116">
        <f t="shared" si="26"/>
        <v>0</v>
      </c>
      <c r="AB44" s="117">
        <f t="shared" si="27"/>
        <v>0</v>
      </c>
      <c r="AC44" s="118">
        <f t="shared" si="28"/>
        <v>0</v>
      </c>
      <c r="AD44" s="118">
        <f>IF(OR(AB44=0,D44="",D44&lt;40),0,VLOOKUP($D44,DATA!$A$2:$B$53,2,TRUE)*AC44)</f>
        <v>0</v>
      </c>
      <c r="AE44" s="178" t="str">
        <f ca="1">IF(E44="","",OFFSET(Setup!$Q$1,MATCH(E44,Setup!O:O,0)-1,0))</f>
        <v/>
      </c>
      <c r="AF44" s="116">
        <f t="shared" ca="1" si="29"/>
        <v>0</v>
      </c>
      <c r="AG44" s="39">
        <f>IF(OR(AB44=0),0,VLOOKUP(AV44,Setup!$S$6:$T$15,2,TRUE))</f>
        <v>0</v>
      </c>
      <c r="AH44" s="119"/>
      <c r="AI44" s="114"/>
      <c r="AJ44" s="106">
        <f t="shared" si="30"/>
        <v>0</v>
      </c>
      <c r="AK44" s="39">
        <f t="shared" si="31"/>
        <v>0</v>
      </c>
      <c r="AL44" s="26">
        <f t="shared" si="32"/>
        <v>0</v>
      </c>
      <c r="AM44" s="26">
        <f t="shared" si="33"/>
        <v>0</v>
      </c>
      <c r="AN44" s="26">
        <f t="shared" si="34"/>
        <v>0</v>
      </c>
      <c r="AO44" s="38" t="str">
        <f t="shared" si="35"/>
        <v/>
      </c>
      <c r="AP44" s="38"/>
      <c r="AQ44" s="28">
        <f t="shared" si="36"/>
        <v>0</v>
      </c>
      <c r="AR44" s="198">
        <f t="shared" ca="1" si="37"/>
        <v>0</v>
      </c>
      <c r="AS44" s="38">
        <f t="shared" ca="1" si="38"/>
        <v>13</v>
      </c>
      <c r="AT44" s="158">
        <f t="shared" ca="1" si="39"/>
        <v>0</v>
      </c>
      <c r="AU44" s="97">
        <f t="shared" ca="1" si="40"/>
        <v>13</v>
      </c>
      <c r="AV44" s="179">
        <f t="shared" ca="1" si="41"/>
        <v>1</v>
      </c>
      <c r="AW44" s="162">
        <f t="shared" si="42"/>
        <v>0</v>
      </c>
      <c r="AX44" s="26">
        <f t="shared" si="43"/>
        <v>14</v>
      </c>
      <c r="AY44" s="198">
        <f ca="1">IF(OR(E44="",F44="",ISERROR(AE44)),0,(100000000*MATCH(E44,INDIRECT($AI$1),0)+IF(AE44=1,(16-IF(AO44="M",MATCH(G44,Setup!$K$9:$K$23,0),MATCH(G44,Setup!$M$9:$M$23)))*1000000,0)+IF(AB44&gt;0,IF(AE44=1,RANK(AB44,AB:AB,-1)*1000+AX44,IF(AE44=2,AC44,AD44)),0)))</f>
        <v>0</v>
      </c>
      <c r="AZ44" s="39"/>
      <c r="BA44" s="39"/>
      <c r="BB44" s="39"/>
      <c r="BC44" s="39"/>
      <c r="BD44" s="39"/>
      <c r="BE44" s="39"/>
      <c r="BF44" s="39"/>
      <c r="BG44" s="39"/>
      <c r="BH44" s="84"/>
      <c r="BI44" s="84"/>
      <c r="BJ44" s="84"/>
      <c r="BK44" s="84"/>
      <c r="BL44" s="84"/>
      <c r="BM44" s="84"/>
      <c r="BN44" s="30"/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  <c r="CR44" s="28">
        <v>0</v>
      </c>
      <c r="CS44" s="28">
        <v>0</v>
      </c>
      <c r="CT44" s="28">
        <v>0</v>
      </c>
      <c r="CU44" s="28">
        <v>0</v>
      </c>
      <c r="CV44" s="28">
        <v>0</v>
      </c>
      <c r="CW44" s="28">
        <v>0</v>
      </c>
      <c r="CX44" s="28">
        <v>0</v>
      </c>
      <c r="CY44" s="28">
        <v>0</v>
      </c>
      <c r="CZ44" s="28">
        <v>0</v>
      </c>
    </row>
    <row r="45" spans="1:104" s="28" customFormat="1" x14ac:dyDescent="0.2">
      <c r="A45" s="33" t="str">
        <f t="shared" si="22"/>
        <v/>
      </c>
      <c r="B45" s="17" t="s">
        <v>32</v>
      </c>
      <c r="C45" s="200"/>
      <c r="D45" s="17"/>
      <c r="E45" s="17"/>
      <c r="F45" s="17"/>
      <c r="G45" s="39" t="str">
        <f>IF(OR(E45="",F45=""),"",IF(LEFT(E45,1)="M",VLOOKUP(F45,Setup!$J$9:$K$23,2,TRUE),VLOOKUP(F45,Setup!$L$9:$M$23,2,TRUE)))</f>
        <v/>
      </c>
      <c r="H45" s="39">
        <f>IF(F45="",0,VLOOKUP(AL45,DATA!$L$2:$N$1910,IF(LEFT(E45,1)="F",3,2)))</f>
        <v>0</v>
      </c>
      <c r="I45" s="17"/>
      <c r="J45" s="17"/>
      <c r="K45" s="115"/>
      <c r="L45" s="115"/>
      <c r="M45" s="115"/>
      <c r="N45" s="115"/>
      <c r="O45" s="116">
        <f t="shared" si="23"/>
        <v>0</v>
      </c>
      <c r="P45" s="205"/>
      <c r="Q45" s="115"/>
      <c r="R45" s="115"/>
      <c r="S45" s="115"/>
      <c r="T45" s="115"/>
      <c r="U45" s="116">
        <f t="shared" si="24"/>
        <v>0</v>
      </c>
      <c r="V45" s="117">
        <f t="shared" si="25"/>
        <v>0</v>
      </c>
      <c r="W45" s="115"/>
      <c r="X45" s="115"/>
      <c r="Y45" s="115"/>
      <c r="Z45" s="115"/>
      <c r="AA45" s="116">
        <f t="shared" si="26"/>
        <v>0</v>
      </c>
      <c r="AB45" s="117">
        <f t="shared" si="27"/>
        <v>0</v>
      </c>
      <c r="AC45" s="118">
        <f t="shared" si="28"/>
        <v>0</v>
      </c>
      <c r="AD45" s="118">
        <f>IF(OR(AB45=0,D45="",D45&lt;40),0,VLOOKUP($D45,DATA!$A$2:$B$53,2,TRUE)*AC45)</f>
        <v>0</v>
      </c>
      <c r="AE45" s="178" t="str">
        <f ca="1">IF(E45="","",OFFSET(Setup!$Q$1,MATCH(E45,Setup!O:O,0)-1,0))</f>
        <v/>
      </c>
      <c r="AF45" s="116">
        <f t="shared" ca="1" si="29"/>
        <v>0</v>
      </c>
      <c r="AG45" s="39">
        <f>IF(OR(AB45=0),0,VLOOKUP(AV45,Setup!$S$6:$T$15,2,TRUE))</f>
        <v>0</v>
      </c>
      <c r="AH45" s="119"/>
      <c r="AI45" s="114"/>
      <c r="AJ45" s="106">
        <f t="shared" si="30"/>
        <v>0</v>
      </c>
      <c r="AK45" s="39">
        <f t="shared" si="31"/>
        <v>0</v>
      </c>
      <c r="AL45" s="26">
        <f t="shared" si="32"/>
        <v>0</v>
      </c>
      <c r="AM45" s="26">
        <f t="shared" si="33"/>
        <v>0</v>
      </c>
      <c r="AN45" s="26">
        <f t="shared" si="34"/>
        <v>0</v>
      </c>
      <c r="AO45" s="38" t="str">
        <f t="shared" si="35"/>
        <v/>
      </c>
      <c r="AP45" s="38"/>
      <c r="AQ45" s="28">
        <f t="shared" si="36"/>
        <v>0</v>
      </c>
      <c r="AR45" s="198">
        <f t="shared" ca="1" si="37"/>
        <v>0</v>
      </c>
      <c r="AS45" s="38">
        <f t="shared" ca="1" si="38"/>
        <v>13</v>
      </c>
      <c r="AT45" s="158">
        <f t="shared" ca="1" si="39"/>
        <v>0</v>
      </c>
      <c r="AU45" s="97">
        <f t="shared" ca="1" si="40"/>
        <v>13</v>
      </c>
      <c r="AV45" s="179">
        <f t="shared" ca="1" si="41"/>
        <v>1</v>
      </c>
      <c r="AW45" s="162">
        <f t="shared" si="42"/>
        <v>0</v>
      </c>
      <c r="AX45" s="26">
        <f t="shared" si="43"/>
        <v>14</v>
      </c>
      <c r="AY45" s="198">
        <f ca="1">IF(OR(E45="",F45="",ISERROR(AE45)),0,(100000000*MATCH(E45,INDIRECT($AI$1),0)+IF(AE45=1,(16-IF(AO45="M",MATCH(G45,Setup!$K$9:$K$23,0),MATCH(G45,Setup!$M$9:$M$23)))*1000000,0)+IF(AB45&gt;0,IF(AE45=1,RANK(AB45,AB:AB,-1)*1000+AX45,IF(AE45=2,AC45,AD45)),0)))</f>
        <v>0</v>
      </c>
      <c r="AZ45" s="39"/>
      <c r="BA45" s="39"/>
      <c r="BB45" s="39"/>
      <c r="BC45" s="39"/>
      <c r="BD45" s="39"/>
      <c r="BE45" s="39"/>
      <c r="BF45" s="39"/>
      <c r="BG45" s="39"/>
      <c r="BH45" s="84"/>
      <c r="BI45" s="84"/>
      <c r="BJ45" s="84"/>
      <c r="BK45" s="84"/>
      <c r="BL45" s="84"/>
      <c r="BM45" s="84"/>
      <c r="BN45" s="30"/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0</v>
      </c>
      <c r="CQ45" s="28">
        <v>0</v>
      </c>
      <c r="CR45" s="28">
        <v>0</v>
      </c>
      <c r="CS45" s="28">
        <v>0</v>
      </c>
      <c r="CT45" s="28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8">
        <v>0</v>
      </c>
    </row>
    <row r="46" spans="1:104" s="28" customFormat="1" x14ac:dyDescent="0.2">
      <c r="A46" s="33" t="str">
        <f t="shared" si="22"/>
        <v/>
      </c>
      <c r="B46" s="17" t="s">
        <v>32</v>
      </c>
      <c r="C46" s="200"/>
      <c r="D46" s="17"/>
      <c r="E46" s="17"/>
      <c r="F46" s="17"/>
      <c r="G46" s="39" t="str">
        <f>IF(OR(E46="",F46=""),"",IF(LEFT(E46,1)="M",VLOOKUP(F46,Setup!$J$9:$K$23,2,TRUE),VLOOKUP(F46,Setup!$L$9:$M$23,2,TRUE)))</f>
        <v/>
      </c>
      <c r="H46" s="39">
        <f>IF(F46="",0,VLOOKUP(AL46,DATA!$L$2:$N$1910,IF(LEFT(E46,1)="F",3,2)))</f>
        <v>0</v>
      </c>
      <c r="I46" s="17"/>
      <c r="J46" s="17"/>
      <c r="K46" s="115"/>
      <c r="L46" s="115"/>
      <c r="M46" s="115"/>
      <c r="N46" s="115"/>
      <c r="O46" s="116">
        <f t="shared" si="23"/>
        <v>0</v>
      </c>
      <c r="P46" s="205"/>
      <c r="Q46" s="115"/>
      <c r="R46" s="115"/>
      <c r="S46" s="115"/>
      <c r="T46" s="115"/>
      <c r="U46" s="116">
        <f t="shared" si="24"/>
        <v>0</v>
      </c>
      <c r="V46" s="117">
        <f t="shared" si="25"/>
        <v>0</v>
      </c>
      <c r="W46" s="115"/>
      <c r="X46" s="115"/>
      <c r="Y46" s="115"/>
      <c r="Z46" s="115"/>
      <c r="AA46" s="116">
        <f t="shared" si="26"/>
        <v>0</v>
      </c>
      <c r="AB46" s="117">
        <f t="shared" si="27"/>
        <v>0</v>
      </c>
      <c r="AC46" s="118">
        <f t="shared" si="28"/>
        <v>0</v>
      </c>
      <c r="AD46" s="118">
        <f>IF(OR(AB46=0,D46="",D46&lt;40),0,VLOOKUP($D46,DATA!$A$2:$B$53,2,TRUE)*AC46)</f>
        <v>0</v>
      </c>
      <c r="AE46" s="178" t="str">
        <f ca="1">IF(E46="","",OFFSET(Setup!$Q$1,MATCH(E46,Setup!O:O,0)-1,0))</f>
        <v/>
      </c>
      <c r="AF46" s="116">
        <f t="shared" ca="1" si="29"/>
        <v>0</v>
      </c>
      <c r="AG46" s="39">
        <f>IF(OR(AB46=0),0,VLOOKUP(AV46,Setup!$S$6:$T$15,2,TRUE))</f>
        <v>0</v>
      </c>
      <c r="AH46" s="119"/>
      <c r="AI46" s="114"/>
      <c r="AJ46" s="106">
        <f t="shared" si="30"/>
        <v>0</v>
      </c>
      <c r="AK46" s="39">
        <f t="shared" si="31"/>
        <v>0</v>
      </c>
      <c r="AL46" s="26">
        <f t="shared" si="32"/>
        <v>0</v>
      </c>
      <c r="AM46" s="26">
        <f t="shared" si="33"/>
        <v>0</v>
      </c>
      <c r="AN46" s="26">
        <f t="shared" si="34"/>
        <v>0</v>
      </c>
      <c r="AO46" s="38" t="str">
        <f t="shared" si="35"/>
        <v/>
      </c>
      <c r="AP46" s="38"/>
      <c r="AQ46" s="28">
        <f t="shared" si="36"/>
        <v>0</v>
      </c>
      <c r="AR46" s="198">
        <f t="shared" ca="1" si="37"/>
        <v>0</v>
      </c>
      <c r="AS46" s="38">
        <f t="shared" ca="1" si="38"/>
        <v>13</v>
      </c>
      <c r="AT46" s="158">
        <f t="shared" ca="1" si="39"/>
        <v>0</v>
      </c>
      <c r="AU46" s="97">
        <f t="shared" ca="1" si="40"/>
        <v>13</v>
      </c>
      <c r="AV46" s="179">
        <f t="shared" ca="1" si="41"/>
        <v>1</v>
      </c>
      <c r="AW46" s="162">
        <f t="shared" si="42"/>
        <v>0</v>
      </c>
      <c r="AX46" s="26">
        <f t="shared" si="43"/>
        <v>14</v>
      </c>
      <c r="AY46" s="198">
        <f ca="1">IF(OR(E46="",F46="",ISERROR(AE46)),0,(100000000*MATCH(E46,INDIRECT($AI$1),0)+IF(AE46=1,(16-IF(AO46="M",MATCH(G46,Setup!$K$9:$K$23,0),MATCH(G46,Setup!$M$9:$M$23)))*1000000,0)+IF(AB46&gt;0,IF(AE46=1,RANK(AB46,AB:AB,-1)*1000+AX46,IF(AE46=2,AC46,AD46)),0)))</f>
        <v>0</v>
      </c>
      <c r="AZ46" s="39"/>
      <c r="BA46" s="39"/>
      <c r="BB46" s="39"/>
      <c r="BC46" s="39"/>
      <c r="BD46" s="39"/>
      <c r="BE46" s="39"/>
      <c r="BF46" s="39"/>
      <c r="BG46" s="39"/>
      <c r="BH46" s="84"/>
      <c r="BI46" s="84"/>
      <c r="BJ46" s="84"/>
      <c r="BK46" s="84"/>
      <c r="BL46" s="84"/>
      <c r="BM46" s="84"/>
      <c r="BN46" s="30"/>
      <c r="CJ46" s="28">
        <v>0</v>
      </c>
      <c r="CK46" s="28">
        <v>0</v>
      </c>
      <c r="CL46" s="28">
        <v>0</v>
      </c>
      <c r="CM46" s="28">
        <v>0</v>
      </c>
      <c r="CN46" s="28">
        <v>0</v>
      </c>
      <c r="CO46" s="28">
        <v>0</v>
      </c>
      <c r="CP46" s="28">
        <v>0</v>
      </c>
      <c r="CQ46" s="28">
        <v>0</v>
      </c>
      <c r="CR46" s="28">
        <v>0</v>
      </c>
      <c r="CS46" s="28">
        <v>0</v>
      </c>
      <c r="CT46" s="28">
        <v>0</v>
      </c>
      <c r="CU46" s="28">
        <v>0</v>
      </c>
      <c r="CV46" s="28">
        <v>0</v>
      </c>
      <c r="CW46" s="28">
        <v>0</v>
      </c>
      <c r="CX46" s="28">
        <v>0</v>
      </c>
      <c r="CY46" s="28">
        <v>0</v>
      </c>
      <c r="CZ46" s="28">
        <v>0</v>
      </c>
    </row>
  </sheetData>
  <sheetProtection sheet="1" objects="1" scenarios="1"/>
  <sortState xmlns:xlrd2="http://schemas.microsoft.com/office/spreadsheetml/2017/richdata2" ref="A10:XFD46">
    <sortCondition ref="AK10"/>
    <sortCondition ref="A10"/>
  </sortState>
  <customSheetViews>
    <customSheetView guid="{07CDF5D6-CF56-477A-AAD4-2986DB622B49}" showRuler="0">
      <selection activeCell="N2" sqref="N2"/>
      <pageMargins left="0.75" right="0.75" top="1" bottom="1" header="0.5" footer="0.5"/>
      <pageSetup orientation="portrait" r:id="rId1"/>
      <headerFooter alignWithMargins="0"/>
    </customSheetView>
  </customSheetViews>
  <mergeCells count="11">
    <mergeCell ref="AE2:AE6"/>
    <mergeCell ref="D3:F3"/>
    <mergeCell ref="B3:C3"/>
    <mergeCell ref="B4:C4"/>
    <mergeCell ref="B2:E2"/>
    <mergeCell ref="F5:G5"/>
    <mergeCell ref="H1:I1"/>
    <mergeCell ref="F2:G2"/>
    <mergeCell ref="D4:F4"/>
    <mergeCell ref="B1:E1"/>
    <mergeCell ref="F1:G1"/>
  </mergeCells>
  <phoneticPr fontId="0" type="noConversion"/>
  <conditionalFormatting sqref="B9">
    <cfRule type="expression" dxfId="69" priority="897" stopIfTrue="1">
      <formula>AND($B9&lt;&gt;RIGHT($B$8,1))</formula>
    </cfRule>
  </conditionalFormatting>
  <conditionalFormatting sqref="K9:N9 Q9:T9 W9:Z9">
    <cfRule type="expression" dxfId="68" priority="900" stopIfTrue="1">
      <formula>AND(COLUMN(K9)=$A$3,ROW(K9)=$A$4)</formula>
    </cfRule>
    <cfRule type="cellIs" dxfId="67" priority="901" stopIfTrue="1" operator="lessThan">
      <formula>0</formula>
    </cfRule>
    <cfRule type="expression" dxfId="66" priority="902" stopIfTrue="1">
      <formula>OR(AND(ROW(K9)=$A$4,COLUMN(K9)&lt;$A$3,CK9=1),AND(ROW(K9)&lt;$A$4,COLUMN(K9)=$A$3,CK9=1))</formula>
    </cfRule>
  </conditionalFormatting>
  <conditionalFormatting sqref="I9:J9 D9:F9">
    <cfRule type="expression" dxfId="65" priority="903" stopIfTrue="1">
      <formula>AND(ROW(D9)=$A$4)</formula>
    </cfRule>
    <cfRule type="expression" dxfId="64" priority="904" stopIfTrue="1">
      <formula>AND($B9&lt;&gt;RIGHT($B$8,1))</formula>
    </cfRule>
  </conditionalFormatting>
  <conditionalFormatting sqref="O9:P9 U9">
    <cfRule type="expression" dxfId="63" priority="905" stopIfTrue="1">
      <formula>AND(ROW(K9)=$A$4,COLUMN(K9)&lt;$A$3)</formula>
    </cfRule>
  </conditionalFormatting>
  <conditionalFormatting sqref="V9">
    <cfRule type="expression" dxfId="62" priority="906" stopIfTrue="1">
      <formula>AND(ROW(R9)=$A$4,COLUMN(R9)&lt;$A$3)</formula>
    </cfRule>
  </conditionalFormatting>
  <conditionalFormatting sqref="AA9">
    <cfRule type="expression" dxfId="61" priority="907" stopIfTrue="1">
      <formula>AND(ROW(W9)=$A$4,$A$3&gt;21)</formula>
    </cfRule>
  </conditionalFormatting>
  <conditionalFormatting sqref="AB9">
    <cfRule type="expression" dxfId="60" priority="914" stopIfTrue="1">
      <formula>AND(ROW(X9)=$A$4)</formula>
    </cfRule>
    <cfRule type="expression" dxfId="59" priority="915" stopIfTrue="1">
      <formula>AND(AE9=1)</formula>
    </cfRule>
  </conditionalFormatting>
  <conditionalFormatting sqref="AC9">
    <cfRule type="expression" dxfId="58" priority="916" stopIfTrue="1">
      <formula>AND(AE9=2)</formula>
    </cfRule>
  </conditionalFormatting>
  <conditionalFormatting sqref="AD9">
    <cfRule type="expression" dxfId="57" priority="917" stopIfTrue="1">
      <formula>AND(AE9=3)</formula>
    </cfRule>
  </conditionalFormatting>
  <conditionalFormatting sqref="H3:I4">
    <cfRule type="expression" dxfId="56" priority="908" stopIfTrue="1">
      <formula>AND(COLUMN(H3)=$K$3,ROW(H3)=VALUE(RIGHT(#REF!,1)))</formula>
    </cfRule>
  </conditionalFormatting>
  <conditionalFormatting sqref="D3:F4">
    <cfRule type="expression" dxfId="55" priority="909" stopIfTrue="1">
      <formula>NOT($A$2=$H$4)</formula>
    </cfRule>
    <cfRule type="cellIs" dxfId="54" priority="910" stopIfTrue="1" operator="lessThan">
      <formula>0</formula>
    </cfRule>
    <cfRule type="expression" dxfId="53" priority="911" stopIfTrue="1">
      <formula>OR($A$2=$H$4)</formula>
    </cfRule>
  </conditionalFormatting>
  <conditionalFormatting sqref="K8:N8 Q8:T8 W8:Z8">
    <cfRule type="cellIs" dxfId="52" priority="912" stopIfTrue="1" operator="equal">
      <formula>$B$3</formula>
    </cfRule>
  </conditionalFormatting>
  <conditionalFormatting sqref="G9:H9">
    <cfRule type="expression" dxfId="51" priority="913" stopIfTrue="1">
      <formula>AND(ROW(G9)=$A$4)</formula>
    </cfRule>
  </conditionalFormatting>
  <conditionalFormatting sqref="C9">
    <cfRule type="cellIs" dxfId="50" priority="923" stopIfTrue="1" operator="equal">
      <formula>$B$2</formula>
    </cfRule>
    <cfRule type="expression" dxfId="49" priority="924" stopIfTrue="1">
      <formula>AND($B9&lt;&gt;RIGHT($B$8,1))</formula>
    </cfRule>
  </conditionalFormatting>
  <conditionalFormatting sqref="B44:B46">
    <cfRule type="expression" dxfId="48" priority="33" stopIfTrue="1">
      <formula>AND($B44&lt;&gt;RIGHT($B$8,1))</formula>
    </cfRule>
  </conditionalFormatting>
  <conditionalFormatting sqref="K44:N46 Q44:T46 W44:Z46">
    <cfRule type="expression" dxfId="47" priority="34" stopIfTrue="1">
      <formula>AND(COLUMN(K44)=$A$3,ROW(K44)=$A$4)</formula>
    </cfRule>
    <cfRule type="cellIs" dxfId="46" priority="35" stopIfTrue="1" operator="lessThan">
      <formula>0</formula>
    </cfRule>
    <cfRule type="expression" dxfId="45" priority="36" stopIfTrue="1">
      <formula>OR(AND(ROW(K44)=$A$4,COLUMN(K44)&lt;$A$3,CK44=1),AND(ROW(K44)&lt;$A$4,COLUMN(K44)=$A$3,CK44=1))</formula>
    </cfRule>
  </conditionalFormatting>
  <conditionalFormatting sqref="I44:J46 D44:F46">
    <cfRule type="expression" dxfId="44" priority="37" stopIfTrue="1">
      <formula>AND(ROW(D44)=$A$4)</formula>
    </cfRule>
    <cfRule type="expression" dxfId="43" priority="38" stopIfTrue="1">
      <formula>AND($B44&lt;&gt;RIGHT($B$8,1))</formula>
    </cfRule>
  </conditionalFormatting>
  <conditionalFormatting sqref="O44:P46 U44:U46">
    <cfRule type="expression" dxfId="42" priority="39" stopIfTrue="1">
      <formula>AND(ROW(K44)=$A$4,COLUMN(K44)&lt;$A$3)</formula>
    </cfRule>
  </conditionalFormatting>
  <conditionalFormatting sqref="V44:V46">
    <cfRule type="expression" dxfId="41" priority="40" stopIfTrue="1">
      <formula>AND(ROW(R44)=$A$4,COLUMN(R44)&lt;$A$3)</formula>
    </cfRule>
  </conditionalFormatting>
  <conditionalFormatting sqref="AA44:AA46">
    <cfRule type="expression" dxfId="40" priority="41" stopIfTrue="1">
      <formula>AND(ROW(W44)=$A$4,$A$3&gt;21)</formula>
    </cfRule>
  </conditionalFormatting>
  <conditionalFormatting sqref="AB44:AB46">
    <cfRule type="expression" dxfId="39" priority="43" stopIfTrue="1">
      <formula>AND(ROW(X44)=$A$4)</formula>
    </cfRule>
    <cfRule type="expression" dxfId="38" priority="44" stopIfTrue="1">
      <formula>AND(AE44=1)</formula>
    </cfRule>
  </conditionalFormatting>
  <conditionalFormatting sqref="AC44:AC46">
    <cfRule type="expression" dxfId="37" priority="45" stopIfTrue="1">
      <formula>AND(AE44=2)</formula>
    </cfRule>
  </conditionalFormatting>
  <conditionalFormatting sqref="AD44:AD46">
    <cfRule type="expression" dxfId="36" priority="46" stopIfTrue="1">
      <formula>AND(AE44=3)</formula>
    </cfRule>
  </conditionalFormatting>
  <conditionalFormatting sqref="G44:H46">
    <cfRule type="expression" dxfId="35" priority="42" stopIfTrue="1">
      <formula>AND(ROW(G44)=$A$4)</formula>
    </cfRule>
  </conditionalFormatting>
  <conditionalFormatting sqref="C44:C46">
    <cfRule type="cellIs" dxfId="34" priority="47" stopIfTrue="1" operator="equal">
      <formula>$B$2</formula>
    </cfRule>
    <cfRule type="expression" dxfId="33" priority="48" stopIfTrue="1">
      <formula>AND($B44&lt;&gt;RIGHT($B$8,1))</formula>
    </cfRule>
  </conditionalFormatting>
  <conditionalFormatting sqref="B10:B43">
    <cfRule type="expression" dxfId="32" priority="1" stopIfTrue="1">
      <formula>AND($B10&lt;&gt;RIGHT($B$8,1))</formula>
    </cfRule>
  </conditionalFormatting>
  <conditionalFormatting sqref="K10:N43 Q10:T43 W10:Z43">
    <cfRule type="expression" dxfId="31" priority="2" stopIfTrue="1">
      <formula>AND(COLUMN(K10)=$A$3,ROW(K10)=$A$4)</formula>
    </cfRule>
    <cfRule type="cellIs" dxfId="30" priority="3" stopIfTrue="1" operator="lessThan">
      <formula>0</formula>
    </cfRule>
    <cfRule type="expression" dxfId="29" priority="4" stopIfTrue="1">
      <formula>OR(AND(ROW(K10)=$A$4,COLUMN(K10)&lt;$A$3,CK10=1),AND(ROW(K10)&lt;$A$4,COLUMN(K10)=$A$3,CK10=1))</formula>
    </cfRule>
  </conditionalFormatting>
  <conditionalFormatting sqref="I10:J43 D10:F43">
    <cfRule type="expression" dxfId="28" priority="5" stopIfTrue="1">
      <formula>AND(ROW(D10)=$A$4)</formula>
    </cfRule>
    <cfRule type="expression" dxfId="27" priority="6" stopIfTrue="1">
      <formula>AND($B10&lt;&gt;RIGHT($B$8,1))</formula>
    </cfRule>
  </conditionalFormatting>
  <conditionalFormatting sqref="O10:P43 U10:U43">
    <cfRule type="expression" dxfId="26" priority="7" stopIfTrue="1">
      <formula>AND(ROW(K10)=$A$4,COLUMN(K10)&lt;$A$3)</formula>
    </cfRule>
  </conditionalFormatting>
  <conditionalFormatting sqref="V10:V43">
    <cfRule type="expression" dxfId="25" priority="8" stopIfTrue="1">
      <formula>AND(ROW(R10)=$A$4,COLUMN(R10)&lt;$A$3)</formula>
    </cfRule>
  </conditionalFormatting>
  <conditionalFormatting sqref="AA10:AA43">
    <cfRule type="expression" dxfId="24" priority="9" stopIfTrue="1">
      <formula>AND(ROW(W10)=$A$4,$A$3&gt;21)</formula>
    </cfRule>
  </conditionalFormatting>
  <conditionalFormatting sqref="AB10:AB43">
    <cfRule type="expression" dxfId="23" priority="11" stopIfTrue="1">
      <formula>AND(ROW(X10)=$A$4)</formula>
    </cfRule>
    <cfRule type="expression" dxfId="22" priority="12" stopIfTrue="1">
      <formula>AND(AE10=1)</formula>
    </cfRule>
  </conditionalFormatting>
  <conditionalFormatting sqref="AC10:AC43">
    <cfRule type="expression" dxfId="21" priority="13" stopIfTrue="1">
      <formula>AND(AE10=2)</formula>
    </cfRule>
  </conditionalFormatting>
  <conditionalFormatting sqref="AD10:AD43">
    <cfRule type="expression" dxfId="20" priority="14" stopIfTrue="1">
      <formula>AND(AE10=3)</formula>
    </cfRule>
  </conditionalFormatting>
  <conditionalFormatting sqref="G10:H43">
    <cfRule type="expression" dxfId="19" priority="10" stopIfTrue="1">
      <formula>AND(ROW(G10)=$A$4)</formula>
    </cfRule>
  </conditionalFormatting>
  <conditionalFormatting sqref="C10:C43">
    <cfRule type="cellIs" dxfId="18" priority="15" stopIfTrue="1" operator="equal">
      <formula>$B$2</formula>
    </cfRule>
    <cfRule type="expression" dxfId="17" priority="16" stopIfTrue="1">
      <formula>AND($B10&lt;&gt;RIGHT($B$8,1))</formula>
    </cfRule>
  </conditionalFormatting>
  <dataValidations count="12">
    <dataValidation type="list" allowBlank="1" showInputMessage="1" showErrorMessage="1" sqref="F5:G5" xr:uid="{00000000-0002-0000-0300-000000000000}">
      <formula1>"automatic, manual"</formula1>
    </dataValidation>
    <dataValidation type="list" allowBlank="1" showInputMessage="1" showErrorMessage="1" promptTitle="Changing Flights" prompt="Select the next flight from the dropdown list to move it to the top of the lifting order.  Then select Squat 1, Bench 1, or Deadlift 1 from the pulldown list in block C3 above." sqref="B8" xr:uid="{00000000-0002-0000-0300-000001000000}">
      <formula1>"Flt A,Flt B,Flt C,Flt D,Flt E,Flt F, Flt G,Flt H"</formula1>
    </dataValidation>
    <dataValidation type="list" allowBlank="1" showInputMessage="1" showErrorMessage="1" sqref="B2:E2" xr:uid="{00000000-0002-0000-0300-000002000000}">
      <formula1>INDIRECT($A$7)</formula1>
    </dataValidation>
    <dataValidation type="list" allowBlank="1" showInputMessage="1" showErrorMessage="1" sqref="AB8" xr:uid="{00000000-0002-0000-0300-000003000000}">
      <formula1>"PL Total, Best Squat, Best Bench, Best Deadlift, Push Pull Total"</formula1>
    </dataValidation>
    <dataValidation type="list" allowBlank="1" showInputMessage="1" showErrorMessage="1" promptTitle="Changing attempts" prompt="The flight at the top of the lifting order is sorted by the selected attempt and lot #.  The first lifter in the flight is selected in the name block." sqref="B3:C3" xr:uid="{00000000-0002-0000-0300-000004000000}">
      <formula1>INDIRECT($BA$1)</formula1>
    </dataValidation>
    <dataValidation allowBlank="1" showInputMessage="1" showErrorMessage="1" prompt="Don't enter anything here, these are calculated automatically." sqref="AG9:AG46 V9:V46 AU9:AU46 AB9:AD46 G9:H46" xr:uid="{00000000-0002-0000-0300-000005000000}"/>
    <dataValidation type="custom" errorStyle="warning" allowBlank="1" showInputMessage="1" showErrorMessage="1" error="Must be a multiple of 2.5 unless record attempt" sqref="W9:W46 K9:K46 Q9:Q46" xr:uid="{00000000-0002-0000-0300-000006000000}">
      <formula1>AND(MOD(K9,2.5)=0)</formula1>
    </dataValidation>
    <dataValidation type="list" allowBlank="1" showInputMessage="1" showErrorMessage="1" sqref="B9:B46" xr:uid="{00000000-0002-0000-0300-000007000000}">
      <formula1>"A,B,C,D,E,F,G,H"</formula1>
    </dataValidation>
    <dataValidation type="list" allowBlank="1" showInputMessage="1" showErrorMessage="1" prompt="1st Character must be M or F to designate male/female to compute Wilks Coef.  Examples:  M-O = open male, F-M1 = female master" sqref="E9:E46" xr:uid="{00000000-0002-0000-0300-000008000000}">
      <formula1>INDIRECT($AI$1)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AI9:AI46" xr:uid="{00000000-0002-0000-0300-000009000000}"/>
    <dataValidation type="list" errorStyle="warning" allowBlank="1" showInputMessage="1" showErrorMessage="1" promptTitle="Determine place using" prompt="1 = Division, Wt Class &amp; total_x000a_2 = Division &amp; Total x Coef_x000a_3 = Division &amp; Total x Coef x Age Coef" sqref="AE9:AE46" xr:uid="{00000000-0002-0000-0300-00000A000000}">
      <formula1>"1,2,3"</formula1>
    </dataValidation>
    <dataValidation type="custom" errorStyle="warning" allowBlank="1" showInputMessage="1" showErrorMessage="1" error="- Must be a multiple of 2.5 except for record attempts_x000a_- Must be greater than previous good attempt_x000a_- Must be &gt; or = to previous missed attempt" sqref="L9:N46 X9:Z46 R9:T46" xr:uid="{00000000-0002-0000-0300-00000B000000}">
      <formula1>AND(MOD(L9,2.5)=0,L9&gt;=ABS(K9),L9&gt;K9)</formula1>
    </dataValidation>
  </dataValidations>
  <pageMargins left="0.75" right="0.75" top="1" bottom="1" header="0.5" footer="0.5"/>
  <pageSetup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68" r:id="rId5" name="Button 96">
              <controlPr defaultSize="0" print="0" autoFill="0" autoPict="0" macro="[0]!NextFlights">
                <anchor moveWithCells="1" sizeWithCells="1">
                  <from>
                    <xdr:col>2</xdr:col>
                    <xdr:colOff>76200</xdr:colOff>
                    <xdr:row>5</xdr:row>
                    <xdr:rowOff>38100</xdr:rowOff>
                  </from>
                  <to>
                    <xdr:col>2</xdr:col>
                    <xdr:colOff>1038225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6" name="Button 100">
              <controlPr defaultSize="0" print="0" autoFill="0" autoPict="0" macro="[0]!BarLoadUpLoad">
                <anchor moveWithCells="1" sizeWithCells="1">
                  <from>
                    <xdr:col>3</xdr:col>
                    <xdr:colOff>238125</xdr:colOff>
                    <xdr:row>5</xdr:row>
                    <xdr:rowOff>38100</xdr:rowOff>
                  </from>
                  <to>
                    <xdr:col>7</xdr:col>
                    <xdr:colOff>400050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R17"/>
  <sheetViews>
    <sheetView zoomScale="70" zoomScaleNormal="70" workbookViewId="0">
      <selection activeCell="T15" sqref="T15"/>
    </sheetView>
  </sheetViews>
  <sheetFormatPr defaultColWidth="9.140625" defaultRowHeight="36" customHeight="1" x14ac:dyDescent="0.2"/>
  <cols>
    <col min="2" max="2" width="10" customWidth="1"/>
    <col min="3" max="3" width="9.140625" customWidth="1"/>
    <col min="8" max="8" width="9.5703125" customWidth="1"/>
  </cols>
  <sheetData>
    <row r="1" spans="1:18" ht="36" customHeight="1" x14ac:dyDescent="0.2">
      <c r="A1" s="404">
        <f>IF(RIGHT(Lifting!$B$2,1) = ")",MID(Lifting!$B$2,1,(SEARCH("(",Lifting!$B$2,1)-2)),Lifting!$B$2)</f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6"/>
      <c r="Q1" s="221"/>
    </row>
    <row r="2" spans="1:18" ht="36" customHeight="1" x14ac:dyDescent="0.2">
      <c r="A2" s="407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9"/>
      <c r="Q2" s="221"/>
    </row>
    <row r="3" spans="1:18" ht="48.75" customHeight="1" x14ac:dyDescent="0.2">
      <c r="A3" s="416" t="e">
        <f ca="1">IF(ISBLANK(INDIRECT("Lifting!AH"&amp;Lifting!A4)),"",INDIRECT("Lifting!AH"&amp;Lifting!A4))</f>
        <v>#N/A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Q3" s="221"/>
    </row>
    <row r="4" spans="1:18" ht="33" customHeight="1" x14ac:dyDescent="0.2">
      <c r="A4" s="410" t="str">
        <f>Lifting!B8</f>
        <v>Flt A</v>
      </c>
      <c r="B4" s="411"/>
      <c r="C4" s="411" t="str">
        <f>Lifting!B3</f>
        <v>Deadlift 3</v>
      </c>
      <c r="D4" s="411"/>
      <c r="E4" s="411"/>
      <c r="F4" s="418" t="s">
        <v>168</v>
      </c>
      <c r="G4" s="418"/>
      <c r="H4" s="418" t="e">
        <f ca="1">Lifting!H2</f>
        <v>#N/A</v>
      </c>
      <c r="I4" s="418"/>
      <c r="J4" s="259"/>
      <c r="K4" s="259"/>
      <c r="L4" s="412" t="str">
        <f ca="1">Lifting!B4</f>
        <v/>
      </c>
      <c r="M4" s="412"/>
      <c r="N4" s="412"/>
      <c r="O4" s="412"/>
      <c r="P4" s="413"/>
      <c r="Q4" s="221"/>
    </row>
    <row r="5" spans="1:18" ht="36" customHeight="1" x14ac:dyDescent="0.2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7"/>
      <c r="L5" s="412" t="e">
        <f ca="1">CONCATENATE("#25 - ",Setup!H12)</f>
        <v>#N/A</v>
      </c>
      <c r="M5" s="412"/>
      <c r="N5" s="412"/>
      <c r="O5" s="412"/>
      <c r="P5" s="413"/>
      <c r="Q5" s="221"/>
    </row>
    <row r="6" spans="1:18" ht="36" customHeight="1" x14ac:dyDescent="0.2">
      <c r="A6" s="414" t="e">
        <f ca="1">Lifting!D3</f>
        <v>#N/A</v>
      </c>
      <c r="B6" s="415"/>
      <c r="C6" s="415"/>
      <c r="D6" s="415"/>
      <c r="E6" s="415"/>
      <c r="F6" s="415"/>
      <c r="G6" s="415"/>
      <c r="H6" s="415"/>
      <c r="I6" s="226"/>
      <c r="J6" s="400" t="str">
        <f xml:space="preserve"> Lifting!G3</f>
        <v>Kg</v>
      </c>
      <c r="K6" s="400"/>
      <c r="L6" s="400"/>
      <c r="M6" s="400"/>
      <c r="N6" s="400"/>
      <c r="O6" s="400"/>
      <c r="P6" s="401"/>
      <c r="Q6" s="221"/>
    </row>
    <row r="7" spans="1:18" ht="50.25" customHeight="1" x14ac:dyDescent="0.2">
      <c r="A7" s="414"/>
      <c r="B7" s="415"/>
      <c r="C7" s="415"/>
      <c r="D7" s="415"/>
      <c r="E7" s="415"/>
      <c r="F7" s="415"/>
      <c r="G7" s="415"/>
      <c r="H7" s="415"/>
      <c r="I7" s="227"/>
      <c r="J7" s="400"/>
      <c r="K7" s="400"/>
      <c r="L7" s="400"/>
      <c r="M7" s="400"/>
      <c r="N7" s="400"/>
      <c r="O7" s="400"/>
      <c r="P7" s="401"/>
      <c r="Q7" s="221"/>
    </row>
    <row r="8" spans="1:18" ht="36" customHeight="1" x14ac:dyDescent="0.2">
      <c r="A8" s="221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240"/>
      <c r="Q8" s="221"/>
      <c r="R8" s="5"/>
    </row>
    <row r="9" spans="1:18" ht="36" customHeight="1" x14ac:dyDescent="0.2">
      <c r="A9" s="221"/>
      <c r="B9" s="64"/>
      <c r="C9" s="64"/>
      <c r="D9" s="64"/>
      <c r="E9" s="64"/>
      <c r="F9" s="64"/>
      <c r="G9" s="64"/>
      <c r="H9" s="64"/>
      <c r="I9" s="226"/>
      <c r="J9" s="64"/>
      <c r="K9" s="64"/>
      <c r="L9" s="64"/>
      <c r="M9" s="64"/>
      <c r="N9" s="64"/>
      <c r="O9" s="64"/>
      <c r="P9" s="240"/>
      <c r="Q9" s="221"/>
    </row>
    <row r="10" spans="1:18" ht="36" customHeight="1" x14ac:dyDescent="0.2">
      <c r="A10" s="221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240"/>
      <c r="Q10" s="221"/>
    </row>
    <row r="11" spans="1:18" ht="36" customHeight="1" x14ac:dyDescent="0.2">
      <c r="A11" s="221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240"/>
      <c r="Q11" s="221"/>
    </row>
    <row r="12" spans="1:18" ht="36" customHeight="1" x14ac:dyDescent="0.2">
      <c r="A12" s="221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240"/>
      <c r="Q12" s="221"/>
    </row>
    <row r="13" spans="1:18" ht="36" customHeight="1" x14ac:dyDescent="0.2">
      <c r="A13" s="221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240"/>
      <c r="Q13" s="221"/>
    </row>
    <row r="14" spans="1:18" ht="36" customHeight="1" x14ac:dyDescent="0.2">
      <c r="A14" s="221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240"/>
      <c r="Q14" s="221"/>
    </row>
    <row r="15" spans="1:18" ht="36" customHeight="1" x14ac:dyDescent="0.2">
      <c r="A15" s="221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240"/>
      <c r="Q15" s="221"/>
    </row>
    <row r="16" spans="1:18" ht="36" customHeight="1" x14ac:dyDescent="0.2">
      <c r="A16" s="396" t="e">
        <f ca="1">Lifting!D4</f>
        <v>#N/A</v>
      </c>
      <c r="B16" s="397"/>
      <c r="C16" s="397"/>
      <c r="D16" s="397"/>
      <c r="E16" s="397"/>
      <c r="F16" s="397"/>
      <c r="G16" s="397"/>
      <c r="H16" s="397"/>
      <c r="I16" s="226"/>
      <c r="J16" s="400" t="str">
        <f>Lifting!G4</f>
        <v>Lb</v>
      </c>
      <c r="K16" s="400"/>
      <c r="L16" s="400"/>
      <c r="M16" s="400"/>
      <c r="N16" s="400"/>
      <c r="O16" s="400"/>
      <c r="P16" s="401"/>
      <c r="Q16" s="221"/>
    </row>
    <row r="17" spans="1:17" ht="36" customHeight="1" x14ac:dyDescent="0.2">
      <c r="A17" s="398"/>
      <c r="B17" s="399"/>
      <c r="C17" s="399"/>
      <c r="D17" s="399"/>
      <c r="E17" s="399"/>
      <c r="F17" s="399"/>
      <c r="G17" s="399"/>
      <c r="H17" s="399"/>
      <c r="I17" s="228"/>
      <c r="J17" s="402"/>
      <c r="K17" s="402"/>
      <c r="L17" s="402"/>
      <c r="M17" s="402"/>
      <c r="N17" s="402"/>
      <c r="O17" s="402"/>
      <c r="P17" s="403"/>
      <c r="Q17" s="221"/>
    </row>
  </sheetData>
  <mergeCells count="12">
    <mergeCell ref="A16:H17"/>
    <mergeCell ref="J6:P7"/>
    <mergeCell ref="J16:P17"/>
    <mergeCell ref="A1:P2"/>
    <mergeCell ref="A4:B4"/>
    <mergeCell ref="L4:P4"/>
    <mergeCell ref="A6:H7"/>
    <mergeCell ref="A3:K3"/>
    <mergeCell ref="L5:P5"/>
    <mergeCell ref="C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/>
  <dimension ref="A1:M199"/>
  <sheetViews>
    <sheetView zoomScale="90" zoomScaleNormal="90" workbookViewId="0">
      <selection activeCell="A4" sqref="A4:C5"/>
    </sheetView>
  </sheetViews>
  <sheetFormatPr defaultRowHeight="12.75" x14ac:dyDescent="0.2"/>
  <cols>
    <col min="1" max="1" width="4.42578125" style="7" customWidth="1"/>
    <col min="2" max="2" width="26.85546875" style="7" customWidth="1"/>
    <col min="3" max="3" width="9.140625" style="7" customWidth="1"/>
    <col min="4" max="4" width="6.5703125" style="7" customWidth="1"/>
    <col min="5" max="5" width="21" style="7" customWidth="1"/>
    <col min="6" max="6" width="9.7109375" style="7" customWidth="1"/>
    <col min="7" max="7" width="9.140625" style="7"/>
    <col min="8" max="8" width="5" style="7" customWidth="1"/>
    <col min="9" max="9" width="5.140625" style="7" customWidth="1"/>
    <col min="10" max="10" width="22.7109375" style="7" customWidth="1"/>
    <col min="11" max="11" width="5.140625" style="7" hidden="1" customWidth="1"/>
    <col min="12" max="12" width="13.85546875" style="7" customWidth="1"/>
    <col min="13" max="13" width="0.140625" style="7" hidden="1" customWidth="1"/>
    <col min="14" max="14" width="9.42578125" style="7" customWidth="1"/>
    <col min="15" max="15" width="9.5703125" style="7" customWidth="1"/>
    <col min="16" max="16384" width="9.140625" style="7"/>
  </cols>
  <sheetData>
    <row r="1" spans="1:4" ht="23.25" x14ac:dyDescent="0.35">
      <c r="A1" s="419" t="s">
        <v>196</v>
      </c>
      <c r="B1" s="419"/>
      <c r="C1" s="419"/>
      <c r="D1" s="419"/>
    </row>
    <row r="2" spans="1:4" ht="23.25" customHeight="1" x14ac:dyDescent="0.3">
      <c r="A2" s="420" t="s">
        <v>197</v>
      </c>
      <c r="B2" s="420"/>
      <c r="C2" s="421">
        <f>Lifting!J5</f>
        <v>2.9826388888888892E-2</v>
      </c>
      <c r="D2" s="421"/>
    </row>
    <row r="4" spans="1:4" s="291" customFormat="1" x14ac:dyDescent="0.2">
      <c r="A4" s="292" t="s">
        <v>195</v>
      </c>
      <c r="B4" s="292" t="s">
        <v>0</v>
      </c>
      <c r="C4" s="292" t="s">
        <v>17</v>
      </c>
    </row>
    <row r="5" spans="1:4" s="290" customFormat="1" x14ac:dyDescent="0.2"/>
    <row r="6" spans="1:4" s="290" customFormat="1" x14ac:dyDescent="0.2"/>
    <row r="7" spans="1:4" s="290" customFormat="1" x14ac:dyDescent="0.2"/>
    <row r="8" spans="1:4" s="290" customFormat="1" x14ac:dyDescent="0.2"/>
    <row r="9" spans="1:4" s="290" customFormat="1" x14ac:dyDescent="0.2"/>
    <row r="10" spans="1:4" s="290" customFormat="1" x14ac:dyDescent="0.2"/>
    <row r="11" spans="1:4" s="290" customFormat="1" x14ac:dyDescent="0.2"/>
    <row r="12" spans="1:4" s="290" customFormat="1" x14ac:dyDescent="0.2"/>
    <row r="13" spans="1:4" s="290" customFormat="1" x14ac:dyDescent="0.2"/>
    <row r="14" spans="1:4" s="290" customFormat="1" x14ac:dyDescent="0.2"/>
    <row r="15" spans="1:4" s="290" customFormat="1" x14ac:dyDescent="0.2"/>
    <row r="16" spans="1:4" s="290" customFormat="1" x14ac:dyDescent="0.2"/>
    <row r="17" s="290" customFormat="1" x14ac:dyDescent="0.2"/>
    <row r="18" s="290" customFormat="1" x14ac:dyDescent="0.2"/>
    <row r="19" s="290" customFormat="1" x14ac:dyDescent="0.2"/>
    <row r="20" s="290" customFormat="1" x14ac:dyDescent="0.2"/>
    <row r="21" s="290" customFormat="1" x14ac:dyDescent="0.2"/>
    <row r="22" s="290" customFormat="1" x14ac:dyDescent="0.2"/>
    <row r="23" s="290" customFormat="1" x14ac:dyDescent="0.2"/>
    <row r="24" s="290" customFormat="1" x14ac:dyDescent="0.2"/>
    <row r="25" s="290" customFormat="1" x14ac:dyDescent="0.2"/>
    <row r="26" s="290" customFormat="1" x14ac:dyDescent="0.2"/>
    <row r="27" s="290" customFormat="1" x14ac:dyDescent="0.2"/>
    <row r="28" s="290" customFormat="1" x14ac:dyDescent="0.2"/>
    <row r="29" s="290" customFormat="1" x14ac:dyDescent="0.2"/>
    <row r="30" s="290" customFormat="1" x14ac:dyDescent="0.2"/>
    <row r="31" s="290" customFormat="1" x14ac:dyDescent="0.2"/>
    <row r="32" s="290" customFormat="1" x14ac:dyDescent="0.2"/>
    <row r="33" s="290" customFormat="1" x14ac:dyDescent="0.2"/>
    <row r="34" s="290" customFormat="1" x14ac:dyDescent="0.2"/>
    <row r="35" s="290" customFormat="1" x14ac:dyDescent="0.2"/>
    <row r="36" s="290" customFormat="1" x14ac:dyDescent="0.2"/>
    <row r="37" s="290" customFormat="1" x14ac:dyDescent="0.2"/>
    <row r="38" s="290" customFormat="1" x14ac:dyDescent="0.2"/>
    <row r="39" s="290" customFormat="1" x14ac:dyDescent="0.2"/>
    <row r="40" s="290" customFormat="1" x14ac:dyDescent="0.2"/>
    <row r="41" s="290" customFormat="1" x14ac:dyDescent="0.2"/>
    <row r="42" s="290" customFormat="1" x14ac:dyDescent="0.2"/>
    <row r="43" s="290" customFormat="1" x14ac:dyDescent="0.2"/>
    <row r="44" s="290" customFormat="1" x14ac:dyDescent="0.2"/>
    <row r="45" s="290" customFormat="1" x14ac:dyDescent="0.2"/>
    <row r="46" s="290" customFormat="1" x14ac:dyDescent="0.2"/>
    <row r="47" s="290" customFormat="1" x14ac:dyDescent="0.2"/>
    <row r="48" s="290" customFormat="1" x14ac:dyDescent="0.2"/>
    <row r="49" s="290" customFormat="1" x14ac:dyDescent="0.2"/>
    <row r="50" s="290" customFormat="1" x14ac:dyDescent="0.2"/>
    <row r="51" s="290" customFormat="1" x14ac:dyDescent="0.2"/>
    <row r="52" s="290" customFormat="1" x14ac:dyDescent="0.2"/>
    <row r="53" s="290" customFormat="1" x14ac:dyDescent="0.2"/>
    <row r="54" s="290" customFormat="1" x14ac:dyDescent="0.2"/>
    <row r="55" s="290" customFormat="1" x14ac:dyDescent="0.2"/>
    <row r="56" s="290" customFormat="1" x14ac:dyDescent="0.2"/>
    <row r="57" s="290" customFormat="1" x14ac:dyDescent="0.2"/>
    <row r="58" s="290" customFormat="1" x14ac:dyDescent="0.2"/>
    <row r="59" s="290" customFormat="1" x14ac:dyDescent="0.2"/>
    <row r="60" s="290" customFormat="1" x14ac:dyDescent="0.2"/>
    <row r="61" s="290" customFormat="1" x14ac:dyDescent="0.2"/>
    <row r="62" s="290" customFormat="1" x14ac:dyDescent="0.2"/>
    <row r="63" s="290" customFormat="1" x14ac:dyDescent="0.2"/>
    <row r="64" s="290" customFormat="1" x14ac:dyDescent="0.2"/>
    <row r="65" s="290" customFormat="1" x14ac:dyDescent="0.2"/>
    <row r="66" s="290" customFormat="1" x14ac:dyDescent="0.2"/>
    <row r="67" s="290" customFormat="1" x14ac:dyDescent="0.2"/>
    <row r="68" s="290" customFormat="1" x14ac:dyDescent="0.2"/>
    <row r="69" s="290" customFormat="1" x14ac:dyDescent="0.2"/>
    <row r="70" s="290" customFormat="1" x14ac:dyDescent="0.2"/>
    <row r="71" s="290" customFormat="1" x14ac:dyDescent="0.2"/>
    <row r="72" s="290" customFormat="1" x14ac:dyDescent="0.2"/>
    <row r="73" s="290" customFormat="1" x14ac:dyDescent="0.2"/>
    <row r="74" s="290" customFormat="1" x14ac:dyDescent="0.2"/>
    <row r="75" s="290" customFormat="1" x14ac:dyDescent="0.2"/>
    <row r="76" s="290" customFormat="1" x14ac:dyDescent="0.2"/>
    <row r="77" s="290" customFormat="1" x14ac:dyDescent="0.2"/>
    <row r="78" s="290" customFormat="1" x14ac:dyDescent="0.2"/>
    <row r="79" s="290" customFormat="1" x14ac:dyDescent="0.2"/>
    <row r="80" s="290" customFormat="1" x14ac:dyDescent="0.2"/>
    <row r="81" s="290" customFormat="1" x14ac:dyDescent="0.2"/>
    <row r="82" s="290" customFormat="1" x14ac:dyDescent="0.2"/>
    <row r="83" s="290" customFormat="1" x14ac:dyDescent="0.2"/>
    <row r="84" s="290" customFormat="1" x14ac:dyDescent="0.2"/>
    <row r="85" s="290" customFormat="1" x14ac:dyDescent="0.2"/>
    <row r="86" s="290" customFormat="1" x14ac:dyDescent="0.2"/>
    <row r="87" s="290" customFormat="1" x14ac:dyDescent="0.2"/>
    <row r="88" s="290" customFormat="1" x14ac:dyDescent="0.2"/>
    <row r="89" s="290" customFormat="1" x14ac:dyDescent="0.2"/>
    <row r="90" s="290" customFormat="1" x14ac:dyDescent="0.2"/>
    <row r="91" s="290" customFormat="1" x14ac:dyDescent="0.2"/>
    <row r="92" s="290" customFormat="1" x14ac:dyDescent="0.2"/>
    <row r="93" s="290" customFormat="1" x14ac:dyDescent="0.2"/>
    <row r="94" s="290" customFormat="1" x14ac:dyDescent="0.2"/>
    <row r="95" s="290" customFormat="1" x14ac:dyDescent="0.2"/>
    <row r="96" s="290" customFormat="1" x14ac:dyDescent="0.2"/>
    <row r="97" s="290" customFormat="1" x14ac:dyDescent="0.2"/>
    <row r="98" s="290" customFormat="1" x14ac:dyDescent="0.2"/>
    <row r="99" s="290" customFormat="1" x14ac:dyDescent="0.2"/>
    <row r="100" s="290" customFormat="1" x14ac:dyDescent="0.2"/>
    <row r="101" s="290" customFormat="1" x14ac:dyDescent="0.2"/>
    <row r="102" s="290" customFormat="1" x14ac:dyDescent="0.2"/>
    <row r="103" s="290" customFormat="1" x14ac:dyDescent="0.2"/>
    <row r="104" s="290" customFormat="1" x14ac:dyDescent="0.2"/>
    <row r="105" s="290" customFormat="1" x14ac:dyDescent="0.2"/>
    <row r="106" s="290" customFormat="1" x14ac:dyDescent="0.2"/>
    <row r="107" s="290" customFormat="1" x14ac:dyDescent="0.2"/>
    <row r="108" s="290" customFormat="1" x14ac:dyDescent="0.2"/>
    <row r="109" s="290" customFormat="1" x14ac:dyDescent="0.2"/>
    <row r="110" s="290" customFormat="1" x14ac:dyDescent="0.2"/>
    <row r="111" s="290" customFormat="1" x14ac:dyDescent="0.2"/>
    <row r="112" s="290" customFormat="1" x14ac:dyDescent="0.2"/>
    <row r="113" s="290" customFormat="1" x14ac:dyDescent="0.2"/>
    <row r="114" s="290" customFormat="1" x14ac:dyDescent="0.2"/>
    <row r="115" s="290" customFormat="1" x14ac:dyDescent="0.2"/>
    <row r="116" s="290" customFormat="1" x14ac:dyDescent="0.2"/>
    <row r="117" s="290" customFormat="1" x14ac:dyDescent="0.2"/>
    <row r="118" s="290" customFormat="1" x14ac:dyDescent="0.2"/>
    <row r="119" s="290" customFormat="1" x14ac:dyDescent="0.2"/>
    <row r="120" s="290" customFormat="1" x14ac:dyDescent="0.2"/>
    <row r="121" s="290" customFormat="1" x14ac:dyDescent="0.2"/>
    <row r="122" s="290" customFormat="1" x14ac:dyDescent="0.2"/>
    <row r="123" s="290" customFormat="1" x14ac:dyDescent="0.2"/>
    <row r="124" s="290" customFormat="1" x14ac:dyDescent="0.2"/>
    <row r="125" s="290" customFormat="1" x14ac:dyDescent="0.2"/>
    <row r="126" s="290" customFormat="1" x14ac:dyDescent="0.2"/>
    <row r="127" s="290" customFormat="1" x14ac:dyDescent="0.2"/>
    <row r="128" s="290" customFormat="1" x14ac:dyDescent="0.2"/>
    <row r="129" s="290" customFormat="1" x14ac:dyDescent="0.2"/>
    <row r="130" s="290" customFormat="1" x14ac:dyDescent="0.2"/>
    <row r="131" s="290" customFormat="1" x14ac:dyDescent="0.2"/>
    <row r="132" s="290" customFormat="1" x14ac:dyDescent="0.2"/>
    <row r="133" s="290" customFormat="1" x14ac:dyDescent="0.2"/>
    <row r="134" s="290" customFormat="1" x14ac:dyDescent="0.2"/>
    <row r="135" s="290" customFormat="1" x14ac:dyDescent="0.2"/>
    <row r="136" s="290" customFormat="1" x14ac:dyDescent="0.2"/>
    <row r="137" s="290" customFormat="1" x14ac:dyDescent="0.2"/>
    <row r="138" s="290" customFormat="1" x14ac:dyDescent="0.2"/>
    <row r="139" s="290" customFormat="1" x14ac:dyDescent="0.2"/>
    <row r="140" s="290" customFormat="1" x14ac:dyDescent="0.2"/>
    <row r="141" s="290" customFormat="1" x14ac:dyDescent="0.2"/>
    <row r="142" s="290" customFormat="1" x14ac:dyDescent="0.2"/>
    <row r="143" s="290" customFormat="1" x14ac:dyDescent="0.2"/>
    <row r="144" s="290" customFormat="1" x14ac:dyDescent="0.2"/>
    <row r="145" s="290" customFormat="1" x14ac:dyDescent="0.2"/>
    <row r="146" s="290" customFormat="1" x14ac:dyDescent="0.2"/>
    <row r="147" s="290" customFormat="1" x14ac:dyDescent="0.2"/>
    <row r="148" s="290" customFormat="1" x14ac:dyDescent="0.2"/>
    <row r="149" s="290" customFormat="1" x14ac:dyDescent="0.2"/>
    <row r="150" s="290" customFormat="1" x14ac:dyDescent="0.2"/>
    <row r="151" s="290" customFormat="1" x14ac:dyDescent="0.2"/>
    <row r="152" s="290" customFormat="1" x14ac:dyDescent="0.2"/>
    <row r="153" s="290" customFormat="1" x14ac:dyDescent="0.2"/>
    <row r="154" s="290" customFormat="1" x14ac:dyDescent="0.2"/>
    <row r="155" s="290" customFormat="1" x14ac:dyDescent="0.2"/>
    <row r="156" s="290" customFormat="1" x14ac:dyDescent="0.2"/>
    <row r="157" s="290" customFormat="1" x14ac:dyDescent="0.2"/>
    <row r="158" s="290" customFormat="1" x14ac:dyDescent="0.2"/>
    <row r="159" s="290" customFormat="1" x14ac:dyDescent="0.2"/>
    <row r="160" s="290" customFormat="1" x14ac:dyDescent="0.2"/>
    <row r="161" s="290" customFormat="1" x14ac:dyDescent="0.2"/>
    <row r="162" s="290" customFormat="1" x14ac:dyDescent="0.2"/>
    <row r="163" s="290" customFormat="1" x14ac:dyDescent="0.2"/>
    <row r="164" s="290" customFormat="1" x14ac:dyDescent="0.2"/>
    <row r="165" s="290" customFormat="1" x14ac:dyDescent="0.2"/>
    <row r="166" s="290" customFormat="1" x14ac:dyDescent="0.2"/>
    <row r="167" s="290" customFormat="1" x14ac:dyDescent="0.2"/>
    <row r="168" s="290" customFormat="1" x14ac:dyDescent="0.2"/>
    <row r="169" s="290" customFormat="1" x14ac:dyDescent="0.2"/>
    <row r="170" s="290" customFormat="1" x14ac:dyDescent="0.2"/>
    <row r="171" s="290" customFormat="1" x14ac:dyDescent="0.2"/>
    <row r="172" s="290" customFormat="1" x14ac:dyDescent="0.2"/>
    <row r="173" s="290" customFormat="1" x14ac:dyDescent="0.2"/>
    <row r="174" s="290" customFormat="1" x14ac:dyDescent="0.2"/>
    <row r="175" s="290" customFormat="1" x14ac:dyDescent="0.2"/>
    <row r="176" s="290" customFormat="1" x14ac:dyDescent="0.2"/>
    <row r="177" s="290" customFormat="1" x14ac:dyDescent="0.2"/>
    <row r="178" s="290" customFormat="1" x14ac:dyDescent="0.2"/>
    <row r="179" s="290" customFormat="1" x14ac:dyDescent="0.2"/>
    <row r="180" s="290" customFormat="1" x14ac:dyDescent="0.2"/>
    <row r="181" s="290" customFormat="1" x14ac:dyDescent="0.2"/>
    <row r="182" s="290" customFormat="1" x14ac:dyDescent="0.2"/>
    <row r="183" s="290" customFormat="1" x14ac:dyDescent="0.2"/>
    <row r="184" s="290" customFormat="1" x14ac:dyDescent="0.2"/>
    <row r="185" s="290" customFormat="1" x14ac:dyDescent="0.2"/>
    <row r="186" s="290" customFormat="1" x14ac:dyDescent="0.2"/>
    <row r="187" s="290" customFormat="1" x14ac:dyDescent="0.2"/>
    <row r="188" s="290" customFormat="1" x14ac:dyDescent="0.2"/>
    <row r="189" s="290" customFormat="1" x14ac:dyDescent="0.2"/>
    <row r="190" s="290" customFormat="1" x14ac:dyDescent="0.2"/>
    <row r="191" s="290" customFormat="1" x14ac:dyDescent="0.2"/>
    <row r="192" s="290" customFormat="1" x14ac:dyDescent="0.2"/>
    <row r="193" s="290" customFormat="1" x14ac:dyDescent="0.2"/>
    <row r="194" s="290" customFormat="1" x14ac:dyDescent="0.2"/>
    <row r="195" s="290" customFormat="1" x14ac:dyDescent="0.2"/>
    <row r="196" s="290" customFormat="1" x14ac:dyDescent="0.2"/>
    <row r="197" s="290" customFormat="1" x14ac:dyDescent="0.2"/>
    <row r="198" s="290" customFormat="1" x14ac:dyDescent="0.2"/>
    <row r="199" s="290" customFormat="1" x14ac:dyDescent="0.2"/>
  </sheetData>
  <mergeCells count="3">
    <mergeCell ref="A1:D1"/>
    <mergeCell ref="A2:B2"/>
    <mergeCell ref="C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AS48"/>
  <sheetViews>
    <sheetView zoomScale="85" zoomScaleNormal="85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22" width="7.5703125" style="5" customWidth="1"/>
    <col min="23" max="25" width="9.7109375" style="281" customWidth="1"/>
    <col min="26" max="27" width="11.7109375" style="277" customWidth="1"/>
    <col min="28" max="29" width="9.140625" style="5"/>
  </cols>
  <sheetData>
    <row r="1" spans="1:45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8"/>
      <c r="X1" s="278"/>
      <c r="Y1" s="278"/>
      <c r="Z1" s="275"/>
      <c r="AA1" s="275"/>
      <c r="AB1" s="274"/>
      <c r="AC1" s="274"/>
    </row>
    <row r="2" spans="1:45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22</v>
      </c>
      <c r="H2" s="90" t="s">
        <v>23</v>
      </c>
      <c r="I2" s="90" t="s">
        <v>24</v>
      </c>
      <c r="J2" s="90" t="s">
        <v>25</v>
      </c>
      <c r="K2" s="89" t="s">
        <v>11</v>
      </c>
      <c r="L2" s="90" t="s">
        <v>12</v>
      </c>
      <c r="M2" s="90" t="s">
        <v>13</v>
      </c>
      <c r="N2" s="90" t="s">
        <v>14</v>
      </c>
      <c r="O2" s="90" t="s">
        <v>113</v>
      </c>
      <c r="P2" s="89" t="s">
        <v>15</v>
      </c>
      <c r="Q2" s="89" t="s">
        <v>16</v>
      </c>
      <c r="R2" s="90" t="s">
        <v>17</v>
      </c>
      <c r="S2" s="90" t="s">
        <v>18</v>
      </c>
      <c r="T2" s="90" t="s">
        <v>19</v>
      </c>
      <c r="U2" s="90" t="s">
        <v>20</v>
      </c>
      <c r="V2" s="90" t="s">
        <v>21</v>
      </c>
      <c r="W2" s="279" t="s">
        <v>68</v>
      </c>
      <c r="X2" s="280" t="s">
        <v>90</v>
      </c>
      <c r="Y2" s="280" t="s">
        <v>95</v>
      </c>
      <c r="Z2" s="276" t="s">
        <v>134</v>
      </c>
      <c r="AA2" s="276" t="s">
        <v>30</v>
      </c>
      <c r="AB2" s="89" t="s">
        <v>135</v>
      </c>
      <c r="AC2" s="105" t="s">
        <v>44</v>
      </c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</row>
    <row r="26" spans="2:29" s="121" customFormat="1" ht="30" customHeight="1" x14ac:dyDescent="0.2"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8"/>
      <c r="X26" s="278"/>
      <c r="Y26" s="278"/>
      <c r="Z26" s="275"/>
      <c r="AA26" s="275"/>
      <c r="AB26" s="274"/>
      <c r="AC26" s="274"/>
    </row>
    <row r="48" spans="2:29" s="121" customFormat="1" ht="12" customHeight="1" x14ac:dyDescent="0.2"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8"/>
      <c r="X48" s="278"/>
      <c r="Y48" s="278"/>
      <c r="Z48" s="275"/>
      <c r="AA48" s="275"/>
      <c r="AB48" s="274"/>
      <c r="AC48" s="274"/>
    </row>
  </sheetData>
  <phoneticPr fontId="0" type="noConversion"/>
  <conditionalFormatting sqref="G2:J2 L2:O2 R2:U2">
    <cfRule type="cellIs" dxfId="16" priority="1" stopIfTrue="1" operator="equal">
      <formula>#REF!</formula>
    </cfRule>
  </conditionalFormatting>
  <printOptions gridLines="1"/>
  <pageMargins left="0.5" right="0.5" top="0.75" bottom="0.75" header="0.5" footer="0.5"/>
  <pageSetup paperSize="5" scale="67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G2"/>
  <sheetViews>
    <sheetView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33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33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22</v>
      </c>
      <c r="H2" s="90" t="s">
        <v>23</v>
      </c>
      <c r="I2" s="90" t="s">
        <v>24</v>
      </c>
      <c r="J2" s="90" t="s">
        <v>25</v>
      </c>
      <c r="K2" s="279" t="s">
        <v>11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</sheetData>
  <phoneticPr fontId="0" type="noConversion"/>
  <conditionalFormatting sqref="G2:J2">
    <cfRule type="cellIs" dxfId="15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G93"/>
  <sheetViews>
    <sheetView zoomScaleNormal="100" workbookViewId="0">
      <selection activeCell="K27" sqref="K27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33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33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12</v>
      </c>
      <c r="H2" s="90" t="s">
        <v>13</v>
      </c>
      <c r="I2" s="90" t="s">
        <v>14</v>
      </c>
      <c r="J2" s="90" t="s">
        <v>113</v>
      </c>
      <c r="K2" s="279" t="s">
        <v>15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  <row r="11" spans="1:33" ht="13.5" customHeight="1" x14ac:dyDescent="0.2"/>
    <row r="14" spans="1:33" s="121" customFormat="1" ht="30" customHeight="1" x14ac:dyDescent="0.2">
      <c r="B14" s="274"/>
      <c r="C14" s="274"/>
      <c r="D14" s="274"/>
      <c r="E14" s="274"/>
      <c r="F14" s="274"/>
      <c r="G14" s="274"/>
      <c r="H14" s="274"/>
      <c r="I14" s="274"/>
      <c r="J14" s="274"/>
      <c r="K14" s="278"/>
      <c r="L14" s="278"/>
      <c r="M14" s="278"/>
      <c r="N14" s="275"/>
      <c r="O14" s="275"/>
      <c r="P14" s="274"/>
      <c r="Q14" s="274"/>
    </row>
    <row r="20" spans="2:17" ht="13.5" customHeight="1" x14ac:dyDescent="0.2"/>
    <row r="23" spans="2:17" s="121" customFormat="1" ht="11.25" customHeight="1" x14ac:dyDescent="0.2">
      <c r="B23" s="274"/>
      <c r="C23" s="274"/>
      <c r="D23" s="274"/>
      <c r="E23" s="274"/>
      <c r="F23" s="274"/>
      <c r="G23" s="274"/>
      <c r="H23" s="274"/>
      <c r="I23" s="274"/>
      <c r="J23" s="274"/>
      <c r="K23" s="278"/>
      <c r="L23" s="278"/>
      <c r="M23" s="278"/>
      <c r="N23" s="275"/>
      <c r="O23" s="275"/>
      <c r="P23" s="274"/>
      <c r="Q23" s="274"/>
    </row>
    <row r="36" ht="11.25" customHeight="1" x14ac:dyDescent="0.2"/>
    <row r="46" ht="13.5" customHeight="1" x14ac:dyDescent="0.2"/>
    <row r="56" spans="2:17" ht="12" customHeight="1" x14ac:dyDescent="0.2"/>
    <row r="61" spans="2:17" s="121" customFormat="1" ht="14.25" customHeight="1" x14ac:dyDescent="0.2">
      <c r="B61" s="274"/>
      <c r="C61" s="274"/>
      <c r="D61" s="274"/>
      <c r="E61" s="274"/>
      <c r="F61" s="274"/>
      <c r="G61" s="274"/>
      <c r="H61" s="274"/>
      <c r="I61" s="274"/>
      <c r="J61" s="274"/>
      <c r="K61" s="278"/>
      <c r="L61" s="278"/>
      <c r="M61" s="278"/>
      <c r="N61" s="275"/>
      <c r="O61" s="275"/>
      <c r="P61" s="274"/>
      <c r="Q61" s="274"/>
    </row>
    <row r="82" spans="2:17" ht="12.75" customHeight="1" x14ac:dyDescent="0.2"/>
    <row r="93" spans="2:17" s="121" customFormat="1" ht="30" customHeight="1" x14ac:dyDescent="0.2">
      <c r="B93" s="274"/>
      <c r="C93" s="274"/>
      <c r="D93" s="274"/>
      <c r="E93" s="274"/>
      <c r="F93" s="274"/>
      <c r="G93" s="274"/>
      <c r="H93" s="274"/>
      <c r="I93" s="274"/>
      <c r="J93" s="274"/>
      <c r="K93" s="278"/>
      <c r="L93" s="278"/>
      <c r="M93" s="278"/>
      <c r="N93" s="275"/>
      <c r="O93" s="275"/>
      <c r="P93" s="274"/>
      <c r="Q93" s="274"/>
    </row>
  </sheetData>
  <phoneticPr fontId="0" type="noConversion"/>
  <conditionalFormatting sqref="G2:J2">
    <cfRule type="cellIs" dxfId="14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8</vt:i4>
      </vt:variant>
    </vt:vector>
  </HeadingPairs>
  <TitlesOfParts>
    <vt:vector size="24" baseType="lpstr">
      <vt:lpstr>Setup</vt:lpstr>
      <vt:lpstr>Weigh-in</vt:lpstr>
      <vt:lpstr>Loading Chart</vt:lpstr>
      <vt:lpstr>Lifting</vt:lpstr>
      <vt:lpstr>BarLoad</vt:lpstr>
      <vt:lpstr>Upcoming Flights</vt:lpstr>
      <vt:lpstr>3-Lift</vt:lpstr>
      <vt:lpstr>Squat</vt:lpstr>
      <vt:lpstr>Bench</vt:lpstr>
      <vt:lpstr>Deadlift</vt:lpstr>
      <vt:lpstr>DATA</vt:lpstr>
      <vt:lpstr>Push-Pull</vt:lpstr>
      <vt:lpstr>PrintSheet</vt:lpstr>
      <vt:lpstr>Awards</vt:lpstr>
      <vt:lpstr>Please read</vt:lpstr>
      <vt:lpstr>Black &amp; White load sheet</vt:lpstr>
      <vt:lpstr>'3-Lift'!Yazdırma_Alanı</vt:lpstr>
      <vt:lpstr>Bench!Yazdırma_Alanı</vt:lpstr>
      <vt:lpstr>Deadlift!Yazdırma_Alanı</vt:lpstr>
      <vt:lpstr>PrintSheet!Yazdırma_Alanı</vt:lpstr>
      <vt:lpstr>'Push-Pull'!Yazdırma_Alanı</vt:lpstr>
      <vt:lpstr>Squat!Yazdırma_Alanı</vt:lpstr>
      <vt:lpstr>'Black &amp; White load sheet'!Yazdırma_Başlıkları</vt:lpstr>
      <vt:lpstr>PrintSheet!Yazdırma_Başlıkları</vt:lpstr>
    </vt:vector>
  </TitlesOfParts>
  <Company>GE Aircraft Engines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ZEKİ ÖZER 10</cp:lastModifiedBy>
  <cp:lastPrinted>2019-02-14T11:46:04Z</cp:lastPrinted>
  <dcterms:created xsi:type="dcterms:W3CDTF">2004-08-23T15:45:10Z</dcterms:created>
  <dcterms:modified xsi:type="dcterms:W3CDTF">2021-03-07T16:21:59Z</dcterms:modified>
</cp:coreProperties>
</file>