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OneDrive\One Drive\OneDrive\Desktop\Business Docs\Impact model\"/>
    </mc:Choice>
  </mc:AlternateContent>
  <bookViews>
    <workbookView xWindow="0" yWindow="0" windowWidth="11148" windowHeight="8556"/>
  </bookViews>
  <sheets>
    <sheet name="Value Cre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F13" i="1"/>
  <c r="D13" i="1"/>
  <c r="F37" i="1"/>
  <c r="E37" i="1" s="1"/>
  <c r="N38" i="1"/>
  <c r="H37" i="1"/>
  <c r="B37" i="1"/>
  <c r="D37" i="1" l="1"/>
  <c r="L37" i="1"/>
  <c r="K37" i="1"/>
  <c r="H24" i="1"/>
  <c r="F38" i="1"/>
  <c r="D38" i="1" s="1"/>
  <c r="C33" i="1"/>
  <c r="I33" i="1" s="1"/>
  <c r="G11" i="1"/>
  <c r="D9" i="1"/>
  <c r="D12" i="1"/>
  <c r="D8" i="1"/>
  <c r="E17" i="1"/>
  <c r="E15" i="1"/>
  <c r="C15" i="1"/>
  <c r="C17" i="1" s="1"/>
  <c r="E10" i="1"/>
  <c r="C10" i="1"/>
  <c r="E7" i="1"/>
  <c r="F12" i="1" s="1"/>
  <c r="J37" i="1" l="1"/>
  <c r="O38" i="1"/>
  <c r="E38" i="1"/>
  <c r="G15" i="1"/>
  <c r="G10" i="1"/>
  <c r="D24" i="1" s="1"/>
  <c r="O35" i="1" s="1"/>
  <c r="G12" i="1"/>
  <c r="C26" i="1" s="1"/>
  <c r="F36" i="1" s="1"/>
  <c r="L44" i="1"/>
  <c r="E14" i="1"/>
  <c r="G14" i="1" s="1"/>
  <c r="F8" i="1"/>
  <c r="G8" i="1" s="1"/>
  <c r="D23" i="1" s="1"/>
  <c r="O34" i="1" s="1"/>
  <c r="F9" i="1"/>
  <c r="C16" i="1"/>
  <c r="L38" i="1"/>
  <c r="O39" i="1" s="1"/>
  <c r="G17" i="1"/>
  <c r="D22" i="1" l="1"/>
  <c r="L43" i="1"/>
  <c r="J44" i="1"/>
  <c r="K44" i="1"/>
  <c r="E36" i="1"/>
  <c r="L36" i="1"/>
  <c r="D36" i="1"/>
  <c r="G9" i="1"/>
  <c r="C22" i="1" s="1"/>
  <c r="C25" i="1"/>
  <c r="J38" i="1"/>
  <c r="K38" i="1"/>
  <c r="F35" i="1" l="1"/>
  <c r="F34" i="1"/>
  <c r="C29" i="1"/>
  <c r="E27" i="1" s="1"/>
  <c r="J36" i="1"/>
  <c r="O37" i="1"/>
  <c r="K36" i="1"/>
  <c r="I43" i="1"/>
  <c r="I44" i="1" s="1"/>
  <c r="I45" i="1"/>
  <c r="J43" i="1"/>
  <c r="E22" i="1" l="1"/>
  <c r="E28" i="1"/>
  <c r="E26" i="1"/>
  <c r="E24" i="1"/>
  <c r="E23" i="1"/>
  <c r="E25" i="1"/>
  <c r="L34" i="1"/>
  <c r="E34" i="1"/>
  <c r="D34" i="1"/>
  <c r="C34" i="1" s="1"/>
  <c r="D35" i="1"/>
  <c r="E35" i="1"/>
  <c r="L35" i="1"/>
  <c r="C35" i="1" l="1"/>
  <c r="C36" i="1"/>
  <c r="K34" i="1"/>
  <c r="O33" i="1"/>
  <c r="J34" i="1"/>
  <c r="I34" i="1" s="1"/>
  <c r="E29" i="1"/>
  <c r="O36" i="1"/>
  <c r="K35" i="1"/>
  <c r="J35" i="1"/>
  <c r="C38" i="1" l="1"/>
  <c r="C39" i="1" s="1"/>
  <c r="I40" i="1" s="1"/>
  <c r="L39" i="1" s="1"/>
  <c r="C37" i="1"/>
  <c r="I35" i="1"/>
  <c r="I36" i="1" s="1"/>
  <c r="K39" i="1"/>
  <c r="O40" i="1"/>
  <c r="O41" i="1" s="1"/>
  <c r="P38" i="1" s="1"/>
  <c r="J39" i="1"/>
  <c r="I38" i="1" l="1"/>
  <c r="I37" i="1"/>
  <c r="P35" i="1"/>
  <c r="P34" i="1"/>
  <c r="P36" i="1"/>
  <c r="P39" i="1"/>
  <c r="P37" i="1"/>
  <c r="P40" i="1"/>
  <c r="P33" i="1"/>
  <c r="I39" i="1"/>
  <c r="P41" i="1" l="1"/>
</calcChain>
</file>

<file path=xl/comments1.xml><?xml version="1.0" encoding="utf-8"?>
<comments xmlns="http://schemas.openxmlformats.org/spreadsheetml/2006/main">
  <authors>
    <author>amall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 xml:space="preserve">We suppose that Ownership % doesn't change 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Investment in equity</t>
        </r>
      </text>
    </comment>
  </commentList>
</comments>
</file>

<file path=xl/sharedStrings.xml><?xml version="1.0" encoding="utf-8"?>
<sst xmlns="http://schemas.openxmlformats.org/spreadsheetml/2006/main" count="77" uniqueCount="46">
  <si>
    <t>TND'000</t>
  </si>
  <si>
    <t>Entry</t>
  </si>
  <si>
    <t>Adjusted for AF III</t>
  </si>
  <si>
    <t xml:space="preserve"> EXIT (or as of valuation date)</t>
  </si>
  <si>
    <t>Variance</t>
  </si>
  <si>
    <t>Ownership %</t>
  </si>
  <si>
    <t xml:space="preserve">Revenue </t>
  </si>
  <si>
    <t>EBITDA</t>
  </si>
  <si>
    <t>EBITDA margin</t>
  </si>
  <si>
    <t>EBITDA multiple</t>
  </si>
  <si>
    <t xml:space="preserve">Net debt </t>
  </si>
  <si>
    <t>Fund investment</t>
  </si>
  <si>
    <t xml:space="preserve">Post money equity Value </t>
  </si>
  <si>
    <t xml:space="preserve">Pre money equity value </t>
  </si>
  <si>
    <t>Entreprise Value</t>
  </si>
  <si>
    <t>Value Creation Build</t>
  </si>
  <si>
    <t>%</t>
  </si>
  <si>
    <t>EBITDA Growth</t>
  </si>
  <si>
    <t>Revenue growth</t>
  </si>
  <si>
    <t>Margin Improvement</t>
  </si>
  <si>
    <t>Dividends</t>
  </si>
  <si>
    <t xml:space="preserve">Total Value created </t>
  </si>
  <si>
    <t>Average Fx rate at entry</t>
  </si>
  <si>
    <t>Current Fx rate</t>
  </si>
  <si>
    <t xml:space="preserve">Variance </t>
  </si>
  <si>
    <t>Data for graph ( Lcy'000)</t>
  </si>
  <si>
    <t>Base</t>
  </si>
  <si>
    <t>Fall</t>
  </si>
  <si>
    <t>Rise</t>
  </si>
  <si>
    <t>EBITDA growth</t>
  </si>
  <si>
    <t xml:space="preserve">Total Value </t>
  </si>
  <si>
    <t>Data for graph ( Fcy'000)</t>
  </si>
  <si>
    <t xml:space="preserve">Dividends </t>
  </si>
  <si>
    <t>Fx effect</t>
  </si>
  <si>
    <t>EUR'000</t>
  </si>
  <si>
    <t>Data for EBITDA drivers</t>
  </si>
  <si>
    <t>Revenue Growth</t>
  </si>
  <si>
    <t xml:space="preserve">Margin Improvement </t>
  </si>
  <si>
    <t>Portfolio Company xxxx, Electronics, Tunisia</t>
  </si>
  <si>
    <t>Cost of Investment</t>
  </si>
  <si>
    <t>Multiple arbitrage</t>
  </si>
  <si>
    <t>Debt reduction</t>
  </si>
  <si>
    <t>Leverage effect</t>
  </si>
  <si>
    <t>We suppose here that the dividends of 10,000 served to pay back the LBO debt</t>
  </si>
  <si>
    <t>Comment</t>
  </si>
  <si>
    <t>Example Provided Courtesy of Africinvest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</si>
</sst>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\x"/>
    <numFmt numFmtId="167" formatCode="_(* #,##0.000_);_(* \(#,##0.000\);_(* &quot;-&quot;_);_(@_)"/>
    <numFmt numFmtId="168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60">
    <xf numFmtId="0" fontId="0" fillId="0" borderId="0" xfId="0"/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64" fontId="6" fillId="2" borderId="2" xfId="1" applyNumberFormat="1" applyFont="1" applyFill="1" applyBorder="1"/>
    <xf numFmtId="164" fontId="3" fillId="2" borderId="2" xfId="1" applyNumberFormat="1" applyFont="1" applyFill="1" applyBorder="1"/>
    <xf numFmtId="0" fontId="3" fillId="2" borderId="2" xfId="3" applyFont="1" applyFill="1" applyBorder="1"/>
    <xf numFmtId="0" fontId="7" fillId="0" borderId="3" xfId="2" applyFont="1" applyFill="1" applyBorder="1"/>
    <xf numFmtId="165" fontId="6" fillId="0" borderId="0" xfId="4" applyNumberFormat="1" applyFont="1" applyFill="1" applyBorder="1"/>
    <xf numFmtId="0" fontId="7" fillId="0" borderId="0" xfId="2" applyFont="1" applyFill="1" applyBorder="1"/>
    <xf numFmtId="9" fontId="6" fillId="0" borderId="0" xfId="1" applyFont="1" applyFill="1" applyBorder="1"/>
    <xf numFmtId="166" fontId="6" fillId="3" borderId="0" xfId="0" applyNumberFormat="1" applyFont="1" applyFill="1" applyBorder="1" applyAlignment="1">
      <alignment horizontal="right"/>
    </xf>
    <xf numFmtId="0" fontId="7" fillId="0" borderId="1" xfId="2" applyFont="1" applyFill="1" applyBorder="1"/>
    <xf numFmtId="3" fontId="6" fillId="0" borderId="0" xfId="0" applyNumberFormat="1" applyFont="1" applyBorder="1"/>
    <xf numFmtId="0" fontId="7" fillId="2" borderId="0" xfId="2" applyFont="1" applyFill="1"/>
    <xf numFmtId="165" fontId="6" fillId="2" borderId="3" xfId="4" applyNumberFormat="1" applyFont="1" applyFill="1" applyBorder="1"/>
    <xf numFmtId="0" fontId="7" fillId="0" borderId="0" xfId="2" applyFont="1" applyFill="1"/>
    <xf numFmtId="165" fontId="6" fillId="2" borderId="0" xfId="4" applyNumberFormat="1" applyFont="1" applyFill="1" applyBorder="1"/>
    <xf numFmtId="0" fontId="9" fillId="0" borderId="0" xfId="2" applyFont="1" applyFill="1" applyBorder="1"/>
    <xf numFmtId="0" fontId="0" fillId="0" borderId="0" xfId="0" applyBorder="1"/>
    <xf numFmtId="0" fontId="10" fillId="0" borderId="0" xfId="2" applyFont="1" applyFill="1" applyBorder="1"/>
    <xf numFmtId="0" fontId="6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2" applyFont="1" applyFill="1" applyBorder="1"/>
    <xf numFmtId="41" fontId="5" fillId="0" borderId="0" xfId="0" applyNumberFormat="1" applyFont="1" applyBorder="1"/>
    <xf numFmtId="41" fontId="5" fillId="0" borderId="0" xfId="1" applyNumberFormat="1" applyFont="1" applyBorder="1" applyAlignment="1">
      <alignment horizontal="right"/>
    </xf>
    <xf numFmtId="9" fontId="5" fillId="0" borderId="0" xfId="1" applyFont="1" applyFill="1" applyBorder="1"/>
    <xf numFmtId="0" fontId="7" fillId="0" borderId="0" xfId="2" applyFont="1" applyFill="1" applyBorder="1" applyAlignment="1">
      <alignment horizontal="left" indent="1"/>
    </xf>
    <xf numFmtId="0" fontId="6" fillId="0" borderId="0" xfId="0" applyFont="1" applyBorder="1"/>
    <xf numFmtId="41" fontId="6" fillId="0" borderId="0" xfId="0" applyNumberFormat="1" applyFont="1" applyBorder="1"/>
    <xf numFmtId="9" fontId="6" fillId="0" borderId="0" xfId="1" applyFont="1" applyBorder="1"/>
    <xf numFmtId="0" fontId="5" fillId="0" borderId="0" xfId="0" applyFont="1" applyBorder="1"/>
    <xf numFmtId="9" fontId="5" fillId="0" borderId="0" xfId="1" applyFont="1" applyBorder="1"/>
    <xf numFmtId="0" fontId="5" fillId="2" borderId="3" xfId="0" applyFont="1" applyFill="1" applyBorder="1"/>
    <xf numFmtId="41" fontId="5" fillId="2" borderId="3" xfId="0" applyNumberFormat="1" applyFont="1" applyFill="1" applyBorder="1"/>
    <xf numFmtId="41" fontId="5" fillId="2" borderId="3" xfId="1" applyNumberFormat="1" applyFont="1" applyFill="1" applyBorder="1"/>
    <xf numFmtId="9" fontId="5" fillId="2" borderId="3" xfId="1" applyFont="1" applyFill="1" applyBorder="1"/>
    <xf numFmtId="167" fontId="6" fillId="0" borderId="0" xfId="0" applyNumberFormat="1" applyFont="1" applyBorder="1"/>
    <xf numFmtId="0" fontId="11" fillId="0" borderId="0" xfId="2" applyFont="1" applyFill="1" applyBorder="1"/>
    <xf numFmtId="0" fontId="5" fillId="0" borderId="0" xfId="0" applyFont="1"/>
    <xf numFmtId="0" fontId="4" fillId="2" borderId="0" xfId="2" applyFont="1" applyFill="1" applyBorder="1"/>
    <xf numFmtId="41" fontId="5" fillId="2" borderId="0" xfId="0" applyNumberFormat="1" applyFont="1" applyFill="1" applyBorder="1"/>
    <xf numFmtId="0" fontId="0" fillId="2" borderId="0" xfId="0" applyFill="1"/>
    <xf numFmtId="0" fontId="6" fillId="2" borderId="0" xfId="0" applyFont="1" applyFill="1" applyBorder="1"/>
    <xf numFmtId="0" fontId="4" fillId="0" borderId="0" xfId="2" applyFont="1" applyFill="1" applyBorder="1" applyAlignment="1">
      <alignment horizontal="left"/>
    </xf>
    <xf numFmtId="41" fontId="6" fillId="0" borderId="0" xfId="0" applyNumberFormat="1" applyFont="1" applyFill="1" applyBorder="1"/>
    <xf numFmtId="0" fontId="5" fillId="2" borderId="0" xfId="0" applyFont="1" applyFill="1" applyBorder="1"/>
    <xf numFmtId="41" fontId="6" fillId="2" borderId="0" xfId="0" applyNumberFormat="1" applyFont="1" applyFill="1" applyBorder="1"/>
    <xf numFmtId="41" fontId="5" fillId="2" borderId="0" xfId="1" applyNumberFormat="1" applyFont="1" applyFill="1" applyBorder="1"/>
    <xf numFmtId="0" fontId="5" fillId="0" borderId="0" xfId="0" applyFont="1" applyFill="1" applyBorder="1"/>
    <xf numFmtId="41" fontId="0" fillId="0" borderId="0" xfId="0" applyNumberFormat="1"/>
    <xf numFmtId="0" fontId="7" fillId="0" borderId="0" xfId="2" applyFont="1" applyFill="1" applyBorder="1" applyAlignment="1">
      <alignment horizontal="left"/>
    </xf>
    <xf numFmtId="168" fontId="5" fillId="2" borderId="0" xfId="0" applyNumberFormat="1" applyFont="1" applyFill="1" applyBorder="1"/>
    <xf numFmtId="168" fontId="6" fillId="2" borderId="0" xfId="0" applyNumberFormat="1" applyFont="1" applyFill="1" applyBorder="1"/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2" fillId="0" borderId="0" xfId="2" applyFont="1" applyFill="1" applyBorder="1"/>
    <xf numFmtId="0" fontId="13" fillId="5" borderId="0" xfId="5"/>
    <xf numFmtId="0" fontId="14" fillId="5" borderId="0" xfId="5" applyFont="1"/>
  </cellXfs>
  <cellStyles count="6">
    <cellStyle name="Accent1" xfId="5" builtinId="29"/>
    <cellStyle name="Milliers 11" xfId="4"/>
    <cellStyle name="Normal" xfId="0" builtinId="0"/>
    <cellStyle name="Normal 10 2" xfId="3"/>
    <cellStyle name="Normal 2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Value</a:t>
            </a:r>
            <a:r>
              <a:rPr lang="fr-FR" sz="1200" b="1" baseline="0"/>
              <a:t> Creation Analysis (EUR'000)</a:t>
            </a:r>
            <a:endParaRPr lang="fr-FR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867132188637128E-2"/>
          <c:y val="0.19993735589681125"/>
          <c:w val="0.81359095912403334"/>
          <c:h val="0.67519206508026275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A27-417C-86C3-A88F237221D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BFF29B1-78C3-4594-8A1B-BE98CA2A231D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A27-417C-86C3-A88F237221D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301FC5F-B64F-47CD-9987-395DB1421756}" type="VALUE">
                      <a:rPr lang="en-US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'Value Creation'!$H$33:$H$40</c:f>
              <c:strCache>
                <c:ptCount val="8"/>
                <c:pt idx="0">
                  <c:v>Cost of Investment</c:v>
                </c:pt>
                <c:pt idx="1">
                  <c:v>EBITDA growth</c:v>
                </c:pt>
                <c:pt idx="2">
                  <c:v>Multiple arbitrage</c:v>
                </c:pt>
                <c:pt idx="3">
                  <c:v>Debt reduction</c:v>
                </c:pt>
                <c:pt idx="4">
                  <c:v>Leverage effect</c:v>
                </c:pt>
                <c:pt idx="5">
                  <c:v>Dividends </c:v>
                </c:pt>
                <c:pt idx="6">
                  <c:v>Fx effect</c:v>
                </c:pt>
                <c:pt idx="7">
                  <c:v>Total Value </c:v>
                </c:pt>
              </c:strCache>
            </c:strRef>
          </c:cat>
          <c:val>
            <c:numRef>
              <c:f>'Value Creation'!$I$33:$I$40</c:f>
              <c:numCache>
                <c:formatCode>_(* #,##0_);_(* \(#,##0\);_(* "-"_);_(@_)</c:formatCode>
                <c:ptCount val="8"/>
                <c:pt idx="0" formatCode="#,##0\ &quot;€&quot;">
                  <c:v>14937.300039029091</c:v>
                </c:pt>
                <c:pt idx="1">
                  <c:v>14937.300039029091</c:v>
                </c:pt>
                <c:pt idx="2">
                  <c:v>24991.223086621347</c:v>
                </c:pt>
                <c:pt idx="3">
                  <c:v>24976.362000687077</c:v>
                </c:pt>
                <c:pt idx="4">
                  <c:v>24976.362000687077</c:v>
                </c:pt>
                <c:pt idx="5">
                  <c:v>24976.362000687077</c:v>
                </c:pt>
                <c:pt idx="6">
                  <c:v>20460.874750527706</c:v>
                </c:pt>
                <c:pt idx="7" formatCode="#,##0\ &quot;€&quot;">
                  <c:v>20460.874750527702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27-417C-86C3-A88F237221DB}"/>
            </c:ext>
          </c:extLst>
        </c:ser>
        <c:ser>
          <c:idx val="1"/>
          <c:order val="1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A27-417C-86C3-A88F237221D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A27-417C-86C3-A88F237221D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65C5EDB-AB26-4DD0-91D6-8E986C3D09AF}" type="CELLREF">
                      <a:rPr lang="en-US" b="1"/>
                      <a:pPr>
                        <a:defRPr b="1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A27-417C-86C3-A88F237221DB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{565C5EDB-AB26-4DD0-91D6-8E986C3D09AF}</c15:txfldGUID>
                      <c15:f>'Value Creation'!$P$37</c15:f>
                      <c15:dlblFieldTableCache>
                        <c:ptCount val="1"/>
                        <c:pt idx="0">
                          <c:v>-18%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27-417C-86C3-A88F237221D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F4D847-1514-4A45-A851-A79D0F2F498D}" type="CELLREF">
                      <a:rPr lang="en-US" b="1"/>
                      <a:pPr>
                        <a:defRPr b="1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{4CF4D847-1514-4A45-A851-A79D0F2F498D}</c15:txfldGUID>
                      <c15:f>'Value Creation'!$P$40</c15:f>
                      <c15:dlblFieldTableCache>
                        <c:ptCount val="1"/>
                        <c:pt idx="0">
                          <c:v>-52%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'Value Creation'!$H$33:$H$40</c:f>
              <c:strCache>
                <c:ptCount val="8"/>
                <c:pt idx="0">
                  <c:v>Cost of Investment</c:v>
                </c:pt>
                <c:pt idx="1">
                  <c:v>EBITDA growth</c:v>
                </c:pt>
                <c:pt idx="2">
                  <c:v>Multiple arbitrage</c:v>
                </c:pt>
                <c:pt idx="3">
                  <c:v>Debt reduction</c:v>
                </c:pt>
                <c:pt idx="4">
                  <c:v>Leverage effect</c:v>
                </c:pt>
                <c:pt idx="5">
                  <c:v>Dividends </c:v>
                </c:pt>
                <c:pt idx="6">
                  <c:v>Fx effect</c:v>
                </c:pt>
                <c:pt idx="7">
                  <c:v>Total Value </c:v>
                </c:pt>
              </c:strCache>
            </c:strRef>
          </c:cat>
          <c:val>
            <c:numRef>
              <c:f>'Value Creation'!$J$33:$J$40</c:f>
              <c:numCache>
                <c:formatCode>_(* #,##0_);_(* \(#,##0\);_(* "-"_);_(@_)</c:formatCode>
                <c:ptCount val="8"/>
                <c:pt idx="1">
                  <c:v>0</c:v>
                </c:pt>
                <c:pt idx="2">
                  <c:v>0</c:v>
                </c:pt>
                <c:pt idx="3">
                  <c:v>1546.7063847777947</c:v>
                </c:pt>
                <c:pt idx="4">
                  <c:v>0</c:v>
                </c:pt>
                <c:pt idx="5">
                  <c:v>0</c:v>
                </c:pt>
                <c:pt idx="6">
                  <c:v>4515.4872501593727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27-417C-86C3-A88F237221D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A27-417C-86C3-A88F237221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A27-417C-86C3-A88F237221D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C36-442E-88DC-DACA4BC0C5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2F111D9-93F0-4718-ACE0-9CBA44AFF635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A27-417C-86C3-A88F237221DB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{12F111D9-93F0-4718-ACE0-9CBA44AFF635}</c15:txfldGUID>
                      <c15:f>'Value Creation'!$P$33</c15:f>
                      <c15:dlblFieldTableCache>
                        <c:ptCount val="1"/>
                        <c:pt idx="0">
                          <c:v>116%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C4A9404-8727-445E-86C1-2A238EF2CDA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A27-417C-86C3-A88F237221DB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{FC4A9404-8727-445E-86C1-2A238EF2CDA6}</c15:txfldGUID>
                      <c15:f>'Value Creation'!$P$36</c15:f>
                      <c15:dlblFieldTableCache>
                        <c:ptCount val="1"/>
                        <c:pt idx="0">
                          <c:v>18%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C36-442E-88DC-DACA4BC0C5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A27-417C-86C3-A88F237221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B7BF3B9-1BFF-40D2-8E3B-4BEFE3761F0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{FB7BF3B9-1BFF-40D2-8E3B-4BEFE3761F09}</c15:txfldGUID>
                      <c15:f>'Value Creation'!$P$39</c15:f>
                      <c15:dlblFieldTableCache>
                        <c:ptCount val="1"/>
                        <c:pt idx="0">
                          <c:v>0%</c:v>
                        </c:pt>
                      </c15:dlblFieldTableCache>
                    </c15:dlblFTEntry>
                  </c15:dlblFieldTable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C36-442E-88DC-DACA4BC0C5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C36-442E-88DC-DACA4BC0C5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'Value Creation'!$H$33:$H$40</c:f>
              <c:strCache>
                <c:ptCount val="8"/>
                <c:pt idx="0">
                  <c:v>Cost of Investment</c:v>
                </c:pt>
                <c:pt idx="1">
                  <c:v>EBITDA growth</c:v>
                </c:pt>
                <c:pt idx="2">
                  <c:v>Multiple arbitrage</c:v>
                </c:pt>
                <c:pt idx="3">
                  <c:v>Debt reduction</c:v>
                </c:pt>
                <c:pt idx="4">
                  <c:v>Leverage effect</c:v>
                </c:pt>
                <c:pt idx="5">
                  <c:v>Dividends </c:v>
                </c:pt>
                <c:pt idx="6">
                  <c:v>Fx effect</c:v>
                </c:pt>
                <c:pt idx="7">
                  <c:v>Total Value </c:v>
                </c:pt>
              </c:strCache>
            </c:strRef>
          </c:cat>
          <c:val>
            <c:numRef>
              <c:f>'Value Creation'!$K$33:$K$40</c:f>
              <c:numCache>
                <c:formatCode>_(* #,##0_);_(* \(#,##0\);_(* "-"_);_(@_)</c:formatCode>
                <c:ptCount val="8"/>
                <c:pt idx="1">
                  <c:v>10053.923047592256</c:v>
                </c:pt>
                <c:pt idx="2">
                  <c:v>1531.8452988435229</c:v>
                </c:pt>
                <c:pt idx="3">
                  <c:v>0</c:v>
                </c:pt>
                <c:pt idx="4">
                  <c:v>3171.3814537612584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27-417C-86C3-A88F237221DB}"/>
            </c:ext>
            <c:ext xmlns:c15="http://schemas.microsoft.com/office/drawing/2012/chart" uri="{02D57815-91ED-43cb-92C2-25804820EDAC}">
              <c15:datalabelsRange>
                <c15:f>('Value Creation'!$P$33,'Value Creation'!$P$36,'Value Creation'!$P$38)</c15:f>
                <c15:dlblRangeCache>
                  <c:ptCount val="3"/>
                  <c:pt idx="0">
                    <c:v>116%</c:v>
                  </c:pt>
                  <c:pt idx="1">
                    <c:v>18%</c:v>
                  </c:pt>
                  <c:pt idx="2">
                    <c:v>36%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292606056"/>
        <c:axId val="292602528"/>
      </c:barChart>
      <c:catAx>
        <c:axId val="29260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02528"/>
        <c:crosses val="autoZero"/>
        <c:auto val="1"/>
        <c:lblAlgn val="ctr"/>
        <c:lblOffset val="100"/>
        <c:noMultiLvlLbl val="0"/>
      </c:catAx>
      <c:valAx>
        <c:axId val="292602528"/>
        <c:scaling>
          <c:orientation val="minMax"/>
        </c:scaling>
        <c:delete val="1"/>
        <c:axPos val="l"/>
        <c:numFmt formatCode="#,##0\ &quot;€&quot;" sourceLinked="1"/>
        <c:majorTickMark val="none"/>
        <c:minorTickMark val="none"/>
        <c:tickLblPos val="nextTo"/>
        <c:crossAx val="29260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EBITDA</a:t>
            </a:r>
            <a:r>
              <a:rPr lang="fr-FR" sz="1200" b="1" baseline="0"/>
              <a:t> components </a:t>
            </a:r>
            <a:endParaRPr lang="fr-FR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'Value Creation'!$I$42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226-498D-9C77-F467B17475EC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26-498D-9C77-F467B17475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226-498D-9C77-F467B17475E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D086DE2-B2A7-40FF-A037-50A34F09045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26-498D-9C77-F467B17475E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{2D086DE2-B2A7-40FF-A037-50A34F090453}</c15:txfldGUID>
                      <c15:f>'Value Creation'!$P$34</c15:f>
                      <c15:dlblFieldTableCache>
                        <c:ptCount val="1"/>
                        <c:pt idx="0">
                          <c:v>125%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26-498D-9C77-F467B17475E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811C637-A185-4B94-964F-2D8220E4A69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26-498D-9C77-F467B17475E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{9811C637-A185-4B94-964F-2D8220E4A696}</c15:txfldGUID>
                      <c15:f>'Value Creation'!$P$33</c15:f>
                      <c15:dlblFieldTableCache>
                        <c:ptCount val="1"/>
                        <c:pt idx="0">
                          <c:v>116%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'Value Creation'!$H$43:$H$45</c:f>
              <c:strCache>
                <c:ptCount val="3"/>
                <c:pt idx="0">
                  <c:v>Revenue growth</c:v>
                </c:pt>
                <c:pt idx="1">
                  <c:v>Margin Improvement</c:v>
                </c:pt>
                <c:pt idx="2">
                  <c:v>EBITDA growth</c:v>
                </c:pt>
              </c:strCache>
            </c:strRef>
          </c:cat>
          <c:val>
            <c:numRef>
              <c:f>'Value Creation'!$I$43:$I$45</c:f>
              <c:numCache>
                <c:formatCode>_(* #,##0_);_(* \(#,##0\);_(* "-"_);_(@_)</c:formatCode>
                <c:ptCount val="3"/>
                <c:pt idx="0">
                  <c:v>10880.028947864832</c:v>
                </c:pt>
                <c:pt idx="1">
                  <c:v>10053.923047592252</c:v>
                </c:pt>
                <c:pt idx="2">
                  <c:v>10053.923047592252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6-498D-9C77-F467B17475EC}"/>
            </c:ext>
          </c:extLst>
        </c:ser>
        <c:ser>
          <c:idx val="1"/>
          <c:order val="1"/>
          <c:tx>
            <c:strRef>
              <c:f>'Value Creation'!$J$42</c:f>
              <c:strCache>
                <c:ptCount val="1"/>
                <c:pt idx="0">
                  <c:v>Fall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26-498D-9C77-F467B17475E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2EFF815-3225-47A5-BA73-D5F6067F0AB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26-498D-9C77-F467B17475EC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{B2EFF815-3225-47A5-BA73-D5F6067F0AB3}</c15:txfldGUID>
                      <c15:f>'Value Creation'!$P$35</c15:f>
                      <c15:dlblFieldTableCache>
                        <c:ptCount val="1"/>
                        <c:pt idx="0">
                          <c:v>-10%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'Value Creation'!$H$43:$H$45</c:f>
              <c:strCache>
                <c:ptCount val="3"/>
                <c:pt idx="0">
                  <c:v>Revenue growth</c:v>
                </c:pt>
                <c:pt idx="1">
                  <c:v>Margin Improvement</c:v>
                </c:pt>
                <c:pt idx="2">
                  <c:v>EBITDA growth</c:v>
                </c:pt>
              </c:strCache>
            </c:strRef>
          </c:cat>
          <c:val>
            <c:numRef>
              <c:f>'Value Creation'!$J$43:$J$45</c:f>
              <c:numCache>
                <c:formatCode>_(* #,##0_);_(* \(#,##0\);_(* "-"_);_(@_)</c:formatCode>
                <c:ptCount val="3"/>
                <c:pt idx="0">
                  <c:v>0</c:v>
                </c:pt>
                <c:pt idx="1">
                  <c:v>826.10590027257933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26-498D-9C77-F467B17475EC}"/>
            </c:ext>
          </c:extLst>
        </c:ser>
        <c:ser>
          <c:idx val="2"/>
          <c:order val="2"/>
          <c:tx>
            <c:strRef>
              <c:f>'Value Creation'!$K$42</c:f>
              <c:strCache>
                <c:ptCount val="1"/>
                <c:pt idx="0">
                  <c:v>Rise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'Value Creation'!$H$43:$H$45</c:f>
              <c:strCache>
                <c:ptCount val="3"/>
                <c:pt idx="0">
                  <c:v>Revenue growth</c:v>
                </c:pt>
                <c:pt idx="1">
                  <c:v>Margin Improvement</c:v>
                </c:pt>
                <c:pt idx="2">
                  <c:v>EBITDA growth</c:v>
                </c:pt>
              </c:strCache>
            </c:strRef>
          </c:cat>
          <c:val>
            <c:numRef>
              <c:f>'Value Creation'!$K$43:$K$45</c:f>
              <c:numCache>
                <c:formatCode>_(* #,##0_);_(* \(#,##0\);_(* "-"_);_(@_)</c:formatCode>
                <c:ptCount val="3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26-498D-9C77-F467B174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606840"/>
        <c:axId val="292607624"/>
      </c:barChart>
      <c:catAx>
        <c:axId val="29260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07624"/>
        <c:crosses val="autoZero"/>
        <c:auto val="1"/>
        <c:lblAlgn val="ctr"/>
        <c:lblOffset val="100"/>
        <c:noMultiLvlLbl val="0"/>
      </c:catAx>
      <c:valAx>
        <c:axId val="29260762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9260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79375</xdr:rowOff>
    </xdr:from>
    <xdr:to>
      <xdr:col>6</xdr:col>
      <xdr:colOff>410882</xdr:colOff>
      <xdr:row>60</xdr:row>
      <xdr:rowOff>98425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45</xdr:row>
      <xdr:rowOff>171450</xdr:rowOff>
    </xdr:from>
    <xdr:to>
      <xdr:col>10</xdr:col>
      <xdr:colOff>695325</xdr:colOff>
      <xdr:row>60</xdr:row>
      <xdr:rowOff>57150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61</xdr:row>
      <xdr:rowOff>0</xdr:rowOff>
    </xdr:from>
    <xdr:to>
      <xdr:col>11</xdr:col>
      <xdr:colOff>276765</xdr:colOff>
      <xdr:row>90</xdr:row>
      <xdr:rowOff>9571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09941"/>
          <a:ext cx="11520000" cy="5425749"/>
        </a:xfrm>
        <a:prstGeom prst="rect">
          <a:avLst/>
        </a:prstGeom>
      </xdr:spPr>
    </xdr:pic>
    <xdr:clientData/>
  </xdr:twoCellAnchor>
  <xdr:twoCellAnchor>
    <xdr:from>
      <xdr:col>5</xdr:col>
      <xdr:colOff>194235</xdr:colOff>
      <xdr:row>26</xdr:row>
      <xdr:rowOff>44823</xdr:rowOff>
    </xdr:from>
    <xdr:to>
      <xdr:col>5</xdr:col>
      <xdr:colOff>1001059</xdr:colOff>
      <xdr:row>27</xdr:row>
      <xdr:rowOff>59765</xdr:rowOff>
    </xdr:to>
    <xdr:sp macro="" textlink="">
      <xdr:nvSpPr>
        <xdr:cNvPr id="6" name="Flèche gauche 5"/>
        <xdr:cNvSpPr/>
      </xdr:nvSpPr>
      <xdr:spPr>
        <a:xfrm>
          <a:off x="5080000" y="4878294"/>
          <a:ext cx="806824" cy="20170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0.14154</cdr:x>
      <cdr:y>0.15342</cdr:y>
    </cdr:from>
    <cdr:to>
      <cdr:x>0.37185</cdr:x>
      <cdr:y>0.26796</cdr:y>
    </cdr:to>
    <cdr:sp macro="" textlink="">
      <cdr:nvSpPr>
        <cdr:cNvPr id="5" name="Accolade ouvrante 4"/>
        <cdr:cNvSpPr/>
      </cdr:nvSpPr>
      <cdr:spPr>
        <a:xfrm xmlns:a="http://schemas.openxmlformats.org/drawingml/2006/main" rot="5400000">
          <a:off x="1452926" y="-13924"/>
          <a:ext cx="394908" cy="1480789"/>
        </a:xfrm>
        <a:prstGeom xmlns:a="http://schemas.openxmlformats.org/drawingml/2006/main" prst="leftBrace">
          <a:avLst>
            <a:gd name="adj1" fmla="val 8333"/>
            <a:gd name="adj2" fmla="val 49364"/>
          </a:avLst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0.18675</cdr:x>
      <cdr:y>0.08187</cdr:y>
    </cdr:from>
    <cdr:to>
      <cdr:x>0.5045</cdr:x>
      <cdr:y>0.19519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092163" y="284645"/>
          <a:ext cx="1858354" cy="393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ysClr val="windowText" lastClr="000000"/>
              </a:solidFill>
            </a:rPr>
            <a:t>Operational</a:t>
          </a:r>
          <a:r>
            <a:rPr lang="fr-FR" sz="1000" b="1" baseline="0">
              <a:solidFill>
                <a:sysClr val="windowText" lastClr="000000"/>
              </a:solidFill>
            </a:rPr>
            <a:t> effect 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0.84035</cdr:x>
      <cdr:y>0.37555</cdr:y>
    </cdr:from>
    <cdr:to>
      <cdr:x>0.8861</cdr:x>
      <cdr:y>0.53591</cdr:y>
    </cdr:to>
    <cdr:sp macro="" textlink="">
      <cdr:nvSpPr>
        <cdr:cNvPr id="8" name="Accolade fermante 7"/>
        <cdr:cNvSpPr/>
      </cdr:nvSpPr>
      <cdr:spPr>
        <a:xfrm xmlns:a="http://schemas.openxmlformats.org/drawingml/2006/main">
          <a:off x="5402943" y="1294905"/>
          <a:ext cx="294119" cy="5529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0.86645</cdr:x>
      <cdr:y>0.14521</cdr:y>
    </cdr:from>
    <cdr:to>
      <cdr:x>0.92508</cdr:x>
      <cdr:y>0.26027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5067302" y="504824"/>
          <a:ext cx="3429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0.86815</cdr:x>
      <cdr:y>0.39235</cdr:y>
    </cdr:from>
    <cdr:to>
      <cdr:x>1</cdr:x>
      <cdr:y>0.64365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5250886" y="1352835"/>
          <a:ext cx="797491" cy="8664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r-FR" sz="800" b="1">
              <a:solidFill>
                <a:sysClr val="windowText" lastClr="000000"/>
              </a:solidFill>
            </a:rPr>
            <a:t>Value</a:t>
          </a:r>
          <a:r>
            <a:rPr lang="fr-FR" sz="800" b="1" baseline="0">
              <a:solidFill>
                <a:sysClr val="windowText" lastClr="000000"/>
              </a:solidFill>
            </a:rPr>
            <a:t> creation=</a:t>
          </a:r>
        </a:p>
        <a:p xmlns:a="http://schemas.openxmlformats.org/drawingml/2006/main">
          <a:r>
            <a:rPr lang="fr-FR" sz="800" b="1" baseline="0">
              <a:solidFill>
                <a:sysClr val="windowText" lastClr="000000"/>
              </a:solidFill>
            </a:rPr>
            <a:t>7,277k€</a:t>
          </a:r>
          <a:endParaRPr lang="fr-FR" sz="8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45"/>
  <sheetViews>
    <sheetView showGridLines="0" tabSelected="1" zoomScale="85" zoomScaleNormal="85" workbookViewId="0">
      <selection activeCell="I9" sqref="I9"/>
    </sheetView>
  </sheetViews>
  <sheetFormatPr defaultColWidth="11.5546875" defaultRowHeight="14.4" x14ac:dyDescent="0.3"/>
  <cols>
    <col min="1" max="1" width="5.77734375" customWidth="1"/>
    <col min="2" max="2" width="20.44140625" customWidth="1"/>
    <col min="3" max="3" width="16.5546875" customWidth="1"/>
    <col min="4" max="4" width="16.21875" customWidth="1"/>
    <col min="6" max="6" width="15.44140625" customWidth="1"/>
    <col min="7" max="7" width="22.21875" customWidth="1"/>
    <col min="8" max="8" width="20.5546875" customWidth="1"/>
    <col min="14" max="14" width="21" customWidth="1"/>
  </cols>
  <sheetData>
    <row r="2" spans="2:7" ht="18" x14ac:dyDescent="0.35">
      <c r="B2" s="59" t="s">
        <v>45</v>
      </c>
      <c r="C2" s="59"/>
      <c r="D2" s="58"/>
    </row>
    <row r="4" spans="2:7" x14ac:dyDescent="0.3">
      <c r="B4" s="56" t="s">
        <v>38</v>
      </c>
      <c r="C4" s="55"/>
      <c r="D4" s="55"/>
      <c r="E4" s="55"/>
      <c r="F4" s="55"/>
      <c r="G4" s="55"/>
    </row>
    <row r="6" spans="2:7" ht="41.4" x14ac:dyDescent="0.3">
      <c r="B6" s="1" t="s">
        <v>0</v>
      </c>
      <c r="C6" s="2" t="s">
        <v>1</v>
      </c>
      <c r="D6" s="2" t="s">
        <v>2</v>
      </c>
      <c r="E6" s="3" t="s">
        <v>3</v>
      </c>
      <c r="F6" s="4" t="s">
        <v>2</v>
      </c>
      <c r="G6" s="4" t="s">
        <v>4</v>
      </c>
    </row>
    <row r="7" spans="2:7" x14ac:dyDescent="0.3">
      <c r="B7" s="5" t="s">
        <v>5</v>
      </c>
      <c r="C7" s="5">
        <v>8.7851473880596997E-2</v>
      </c>
      <c r="D7" s="6"/>
      <c r="E7" s="5">
        <f>C7</f>
        <v>8.7851473880596997E-2</v>
      </c>
      <c r="F7" s="7"/>
      <c r="G7" s="7"/>
    </row>
    <row r="8" spans="2:7" x14ac:dyDescent="0.3">
      <c r="B8" s="8" t="s">
        <v>6</v>
      </c>
      <c r="C8" s="9">
        <v>420100</v>
      </c>
      <c r="D8" s="9">
        <f>C8*$C$7</f>
        <v>36906.404177238801</v>
      </c>
      <c r="E8" s="9">
        <v>899986</v>
      </c>
      <c r="F8" s="9">
        <f>E8*$E$7</f>
        <v>79065.096571902963</v>
      </c>
      <c r="G8" s="9">
        <f>F8-D8</f>
        <v>42158.692394664162</v>
      </c>
    </row>
    <row r="9" spans="2:7" x14ac:dyDescent="0.3">
      <c r="B9" s="10" t="s">
        <v>7</v>
      </c>
      <c r="C9" s="9">
        <v>38300</v>
      </c>
      <c r="D9" s="9">
        <f t="shared" ref="D9:D13" si="0">C9*$C$7</f>
        <v>3364.711449626865</v>
      </c>
      <c r="E9" s="9">
        <v>75502</v>
      </c>
      <c r="F9" s="9">
        <f t="shared" ref="F9:F13" si="1">E9*$E$7</f>
        <v>6632.9619809328342</v>
      </c>
      <c r="G9" s="9">
        <f t="shared" ref="G9:G12" si="2">F9-D9</f>
        <v>3268.2505313059692</v>
      </c>
    </row>
    <row r="10" spans="2:7" x14ac:dyDescent="0.3">
      <c r="B10" s="10" t="s">
        <v>8</v>
      </c>
      <c r="C10" s="11">
        <f>C9/C8</f>
        <v>9.1168769340633185E-2</v>
      </c>
      <c r="D10" s="9"/>
      <c r="E10" s="11">
        <f>E9/E8</f>
        <v>8.3892416104250508E-2</v>
      </c>
      <c r="F10" s="9"/>
      <c r="G10" s="11">
        <f>E10-C10</f>
        <v>-7.2763532363826766E-3</v>
      </c>
    </row>
    <row r="11" spans="2:7" x14ac:dyDescent="0.3">
      <c r="B11" s="10" t="s">
        <v>9</v>
      </c>
      <c r="C11" s="12">
        <v>9.6999999999999993</v>
      </c>
      <c r="D11" s="9"/>
      <c r="E11" s="12">
        <v>10.428213822150401</v>
      </c>
      <c r="F11" s="9"/>
      <c r="G11" s="12">
        <f>E11-C11</f>
        <v>0.72821382215040131</v>
      </c>
    </row>
    <row r="12" spans="2:7" x14ac:dyDescent="0.3">
      <c r="B12" s="10" t="s">
        <v>10</v>
      </c>
      <c r="C12" s="14">
        <v>7700</v>
      </c>
      <c r="D12" s="9">
        <f t="shared" si="0"/>
        <v>676.45634888059692</v>
      </c>
      <c r="E12" s="9">
        <v>63215</v>
      </c>
      <c r="F12" s="9">
        <f t="shared" si="1"/>
        <v>5553.5309213619394</v>
      </c>
      <c r="G12" s="9">
        <f t="shared" si="2"/>
        <v>4877.0745724813423</v>
      </c>
    </row>
    <row r="13" spans="2:7" x14ac:dyDescent="0.3">
      <c r="B13" s="13" t="s">
        <v>42</v>
      </c>
      <c r="C13" s="14"/>
      <c r="D13" s="9">
        <f t="shared" si="0"/>
        <v>0</v>
      </c>
      <c r="E13" s="9"/>
      <c r="F13" s="9">
        <f t="shared" si="1"/>
        <v>0</v>
      </c>
      <c r="G13" s="9"/>
    </row>
    <row r="14" spans="2:7" x14ac:dyDescent="0.3">
      <c r="B14" s="15" t="s">
        <v>11</v>
      </c>
      <c r="C14" s="16">
        <v>32862.060085864003</v>
      </c>
      <c r="D14" s="16"/>
      <c r="E14" s="16">
        <f>E15*E7</f>
        <v>63616.414889999949</v>
      </c>
      <c r="F14" s="16"/>
      <c r="G14" s="16">
        <f>E14-C14</f>
        <v>30754.354804135946</v>
      </c>
    </row>
    <row r="15" spans="2:7" x14ac:dyDescent="0.3">
      <c r="B15" s="17" t="s">
        <v>12</v>
      </c>
      <c r="C15" s="9">
        <f>C14/C7</f>
        <v>374063.84474013891</v>
      </c>
      <c r="D15" s="9"/>
      <c r="E15" s="9">
        <f>E17-E12</f>
        <v>724135.99999999953</v>
      </c>
      <c r="F15" s="9"/>
      <c r="G15" s="9">
        <f>E15-C15</f>
        <v>350072.15525986062</v>
      </c>
    </row>
    <row r="16" spans="2:7" x14ac:dyDescent="0.3">
      <c r="B16" s="17" t="s">
        <v>13</v>
      </c>
      <c r="C16" s="9">
        <f>C15-C14</f>
        <v>341201.78465427493</v>
      </c>
      <c r="D16" s="9"/>
      <c r="E16" s="9"/>
      <c r="F16" s="9"/>
      <c r="G16" s="9"/>
    </row>
    <row r="17" spans="2:16" x14ac:dyDescent="0.3">
      <c r="B17" s="15" t="s">
        <v>14</v>
      </c>
      <c r="C17" s="18">
        <f>+C15+C12</f>
        <v>381763.84474013891</v>
      </c>
      <c r="D17" s="18"/>
      <c r="E17" s="18">
        <f>E9*E11</f>
        <v>787350.99999999953</v>
      </c>
      <c r="F17" s="18"/>
      <c r="G17" s="18">
        <f>E17-C17</f>
        <v>405587.15525986062</v>
      </c>
    </row>
    <row r="20" spans="2:16" x14ac:dyDescent="0.3">
      <c r="B20" s="19" t="s">
        <v>15</v>
      </c>
      <c r="C20" s="20"/>
      <c r="D20" s="20"/>
      <c r="E20" s="20"/>
    </row>
    <row r="21" spans="2:16" ht="18" x14ac:dyDescent="0.35">
      <c r="B21" s="21"/>
      <c r="C21" s="22" t="s">
        <v>0</v>
      </c>
      <c r="D21" s="23"/>
      <c r="E21" s="22" t="s">
        <v>16</v>
      </c>
    </row>
    <row r="22" spans="2:16" x14ac:dyDescent="0.3">
      <c r="B22" s="24" t="s">
        <v>17</v>
      </c>
      <c r="C22" s="25">
        <f>C11*G9</f>
        <v>31702.0301536679</v>
      </c>
      <c r="D22" s="26">
        <f>D24+D23</f>
        <v>31702.030153667889</v>
      </c>
      <c r="E22" s="27">
        <f>C22/C29</f>
        <v>1.0014803261490994</v>
      </c>
      <c r="G22" s="24" t="s">
        <v>22</v>
      </c>
      <c r="H22" s="38">
        <v>2.2000000000000002</v>
      </c>
    </row>
    <row r="23" spans="2:16" x14ac:dyDescent="0.3">
      <c r="B23" s="28" t="s">
        <v>18</v>
      </c>
      <c r="C23" s="29"/>
      <c r="D23" s="30">
        <f>C11*G8*E10</f>
        <v>34306.907278407387</v>
      </c>
      <c r="E23" s="31">
        <f>D23/C29</f>
        <v>1.0837694786045486</v>
      </c>
      <c r="G23" s="24" t="s">
        <v>23</v>
      </c>
      <c r="H23" s="38">
        <v>3.1532</v>
      </c>
    </row>
    <row r="24" spans="2:16" x14ac:dyDescent="0.3">
      <c r="B24" s="28" t="s">
        <v>19</v>
      </c>
      <c r="C24" s="30"/>
      <c r="D24" s="30">
        <f>C11*G10*D8</f>
        <v>-2604.877124739497</v>
      </c>
      <c r="E24" s="31">
        <f>D24/C29</f>
        <v>-8.2289152455449655E-2</v>
      </c>
      <c r="G24" s="24" t="s">
        <v>24</v>
      </c>
      <c r="H24" s="31">
        <f>(H23/H22)-1</f>
        <v>0.43327272727272725</v>
      </c>
    </row>
    <row r="25" spans="2:16" x14ac:dyDescent="0.3">
      <c r="B25" s="32" t="s">
        <v>40</v>
      </c>
      <c r="C25" s="26">
        <f>G11*F9</f>
        <v>4830.2145963133962</v>
      </c>
      <c r="D25" s="29"/>
      <c r="E25" s="33">
        <f>C25/$C$29</f>
        <v>0.152588489312455</v>
      </c>
    </row>
    <row r="26" spans="2:16" x14ac:dyDescent="0.3">
      <c r="B26" s="32" t="s">
        <v>41</v>
      </c>
      <c r="C26" s="26">
        <f>-G12</f>
        <v>-4877.0745724813423</v>
      </c>
      <c r="D26" s="29"/>
      <c r="E26" s="33">
        <f>C26/$C$29</f>
        <v>-0.15406881546155443</v>
      </c>
      <c r="G26" s="57" t="s">
        <v>44</v>
      </c>
    </row>
    <row r="27" spans="2:16" x14ac:dyDescent="0.3">
      <c r="B27" s="32" t="s">
        <v>42</v>
      </c>
      <c r="C27" s="26">
        <v>10000</v>
      </c>
      <c r="D27" s="29"/>
      <c r="E27" s="33">
        <f>C27/$C$29</f>
        <v>0.31590416175073532</v>
      </c>
      <c r="G27" s="10" t="s">
        <v>43</v>
      </c>
    </row>
    <row r="28" spans="2:16" x14ac:dyDescent="0.3">
      <c r="B28" s="32" t="s">
        <v>20</v>
      </c>
      <c r="C28" s="26">
        <f>10000-C27</f>
        <v>0</v>
      </c>
      <c r="D28" s="29"/>
      <c r="E28" s="33">
        <f>C28/$C$29</f>
        <v>0</v>
      </c>
    </row>
    <row r="29" spans="2:16" x14ac:dyDescent="0.3">
      <c r="B29" s="34" t="s">
        <v>21</v>
      </c>
      <c r="C29" s="35">
        <f>C22+C25+C26+C28</f>
        <v>31655.170177499956</v>
      </c>
      <c r="D29" s="36"/>
      <c r="E29" s="37">
        <f>E22+E25+E26+E28</f>
        <v>1</v>
      </c>
      <c r="O29" s="51"/>
    </row>
    <row r="32" spans="2:16" x14ac:dyDescent="0.3">
      <c r="B32" s="39" t="s">
        <v>25</v>
      </c>
      <c r="C32" s="32" t="s">
        <v>26</v>
      </c>
      <c r="D32" s="32" t="s">
        <v>27</v>
      </c>
      <c r="E32" s="32" t="s">
        <v>28</v>
      </c>
      <c r="F32" s="40" t="s">
        <v>4</v>
      </c>
      <c r="H32" s="39" t="s">
        <v>31</v>
      </c>
      <c r="I32" s="32" t="s">
        <v>26</v>
      </c>
      <c r="J32" s="32" t="s">
        <v>27</v>
      </c>
      <c r="K32" s="32" t="s">
        <v>28</v>
      </c>
      <c r="L32" s="40" t="s">
        <v>4</v>
      </c>
      <c r="N32" s="39" t="s">
        <v>31</v>
      </c>
      <c r="O32" s="22" t="s">
        <v>34</v>
      </c>
      <c r="P32" s="22" t="s">
        <v>16</v>
      </c>
    </row>
    <row r="33" spans="2:16" x14ac:dyDescent="0.3">
      <c r="B33" s="41" t="s">
        <v>39</v>
      </c>
      <c r="C33" s="42">
        <f>C14</f>
        <v>32862.060085864003</v>
      </c>
      <c r="D33" s="43"/>
      <c r="E33" s="44"/>
      <c r="F33" s="42">
        <v>0</v>
      </c>
      <c r="H33" s="41" t="s">
        <v>39</v>
      </c>
      <c r="I33" s="53">
        <f>C33/H22</f>
        <v>14937.300039029091</v>
      </c>
      <c r="J33" s="43"/>
      <c r="K33" s="43"/>
      <c r="L33" s="42">
        <v>0</v>
      </c>
      <c r="N33" s="24" t="s">
        <v>17</v>
      </c>
      <c r="O33" s="25">
        <f>L34</f>
        <v>10053.923047592256</v>
      </c>
      <c r="P33" s="27">
        <f>O33/$O$41</f>
        <v>1.1562937013716128</v>
      </c>
    </row>
    <row r="34" spans="2:16" x14ac:dyDescent="0.3">
      <c r="B34" s="45" t="s">
        <v>29</v>
      </c>
      <c r="C34" s="30">
        <f>C33+E33-D34</f>
        <v>32862.060085864003</v>
      </c>
      <c r="D34" s="30">
        <f>IF(F34&lt;=0,-F34,0)</f>
        <v>0</v>
      </c>
      <c r="E34" s="30">
        <f>IF(F34&gt;0,F34,0)</f>
        <v>31702.0301536679</v>
      </c>
      <c r="F34" s="30">
        <f>C22</f>
        <v>31702.0301536679</v>
      </c>
      <c r="H34" s="45" t="s">
        <v>29</v>
      </c>
      <c r="I34" s="30">
        <f>I33+K33-J34</f>
        <v>14937.300039029091</v>
      </c>
      <c r="J34" s="30">
        <f>IF(L34&lt;=0,-L34,0)</f>
        <v>0</v>
      </c>
      <c r="K34" s="30">
        <f>IF(L34&gt;0,L34,0)</f>
        <v>10053.923047592256</v>
      </c>
      <c r="L34" s="30">
        <f>F34/$H$23</f>
        <v>10053.923047592256</v>
      </c>
      <c r="N34" s="28" t="s">
        <v>36</v>
      </c>
      <c r="O34" s="30">
        <f>D23/H23</f>
        <v>10880.028947864832</v>
      </c>
      <c r="P34" s="31">
        <f>O34/O41</f>
        <v>1.2513034845805528</v>
      </c>
    </row>
    <row r="35" spans="2:16" x14ac:dyDescent="0.3">
      <c r="B35" s="32" t="s">
        <v>40</v>
      </c>
      <c r="C35" s="30">
        <f>C34+E34-D35</f>
        <v>64564.090239531899</v>
      </c>
      <c r="D35" s="30">
        <f t="shared" ref="D35:D38" si="3">IF(F35&lt;=0,-F35,0)</f>
        <v>0</v>
      </c>
      <c r="E35" s="30">
        <f t="shared" ref="E35:E38" si="4">IF(F35&gt;0,F35,0)</f>
        <v>4830.2145963133962</v>
      </c>
      <c r="F35" s="30">
        <f>C25</f>
        <v>4830.2145963133962</v>
      </c>
      <c r="H35" s="32" t="s">
        <v>40</v>
      </c>
      <c r="I35" s="30">
        <f>I34+K34-J35</f>
        <v>24991.223086621347</v>
      </c>
      <c r="J35" s="30">
        <f t="shared" ref="J35:J39" si="5">IF(L35&lt;=0,-L35,0)</f>
        <v>0</v>
      </c>
      <c r="K35" s="30">
        <f t="shared" ref="K35:K39" si="6">IF(L35&gt;0,L35,0)</f>
        <v>1531.8452988435229</v>
      </c>
      <c r="L35" s="30">
        <f t="shared" ref="L35:L38" si="7">F35/$H$23</f>
        <v>1531.8452988435229</v>
      </c>
      <c r="N35" s="28" t="s">
        <v>37</v>
      </c>
      <c r="O35" s="30">
        <f>D24/H23</f>
        <v>-826.10590027257933</v>
      </c>
      <c r="P35" s="31">
        <f>O35/O41</f>
        <v>-9.5009783208940365E-2</v>
      </c>
    </row>
    <row r="36" spans="2:16" x14ac:dyDescent="0.3">
      <c r="B36" s="32" t="s">
        <v>41</v>
      </c>
      <c r="C36" s="30">
        <f t="shared" ref="C36:C39" si="8">C35+E35-D36</f>
        <v>64517.230263363948</v>
      </c>
      <c r="D36" s="30">
        <f t="shared" si="3"/>
        <v>4877.0745724813423</v>
      </c>
      <c r="E36" s="30">
        <f t="shared" si="4"/>
        <v>0</v>
      </c>
      <c r="F36" s="30">
        <f>C26</f>
        <v>-4877.0745724813423</v>
      </c>
      <c r="H36" s="32" t="s">
        <v>41</v>
      </c>
      <c r="I36" s="30">
        <f>I35+K35-J36</f>
        <v>24976.362000687077</v>
      </c>
      <c r="J36" s="30">
        <f t="shared" si="5"/>
        <v>1546.7063847777947</v>
      </c>
      <c r="K36" s="30">
        <f t="shared" si="6"/>
        <v>0</v>
      </c>
      <c r="L36" s="30">
        <f t="shared" si="7"/>
        <v>-1546.7063847777947</v>
      </c>
      <c r="N36" s="32" t="s">
        <v>40</v>
      </c>
      <c r="O36" s="25">
        <f>L35</f>
        <v>1531.8452988435229</v>
      </c>
      <c r="P36" s="27">
        <f>O36/$O$41</f>
        <v>0.17617631069422887</v>
      </c>
    </row>
    <row r="37" spans="2:16" x14ac:dyDescent="0.3">
      <c r="B37" s="32" t="str">
        <f>$B$27</f>
        <v>Leverage effect</v>
      </c>
      <c r="C37" s="30">
        <f t="shared" si="8"/>
        <v>64517.230263363948</v>
      </c>
      <c r="D37" s="30">
        <f t="shared" si="3"/>
        <v>0</v>
      </c>
      <c r="E37" s="30">
        <f t="shared" si="4"/>
        <v>10000</v>
      </c>
      <c r="F37" s="30">
        <f>C27</f>
        <v>10000</v>
      </c>
      <c r="H37" s="32" t="str">
        <f>$B$27</f>
        <v>Leverage effect</v>
      </c>
      <c r="I37" s="30">
        <f>I36+K36-J37</f>
        <v>24976.362000687077</v>
      </c>
      <c r="J37" s="30">
        <f t="shared" ref="J37" si="9">IF(L37&lt;=0,-L37,0)</f>
        <v>0</v>
      </c>
      <c r="K37" s="30">
        <f t="shared" ref="K37" si="10">IF(L37&gt;0,L37,0)</f>
        <v>3171.3814537612584</v>
      </c>
      <c r="L37" s="30">
        <f t="shared" ref="L37" si="11">F37/$H$23</f>
        <v>3171.3814537612584</v>
      </c>
      <c r="N37" s="32" t="s">
        <v>41</v>
      </c>
      <c r="O37" s="25">
        <f>L36</f>
        <v>-1546.7063847777947</v>
      </c>
      <c r="P37" s="27">
        <f>O37/$O$41</f>
        <v>-0.17788547237967223</v>
      </c>
    </row>
    <row r="38" spans="2:16" x14ac:dyDescent="0.3">
      <c r="B38" s="32" t="s">
        <v>20</v>
      </c>
      <c r="C38" s="46">
        <f>C36+E36-D38</f>
        <v>64517.230263363948</v>
      </c>
      <c r="D38" s="30">
        <f t="shared" si="3"/>
        <v>0</v>
      </c>
      <c r="E38" s="30">
        <f t="shared" si="4"/>
        <v>0</v>
      </c>
      <c r="F38" s="30">
        <f>C28</f>
        <v>0</v>
      </c>
      <c r="H38" s="32" t="s">
        <v>32</v>
      </c>
      <c r="I38" s="30">
        <f>I36+K36-J38</f>
        <v>24976.362000687077</v>
      </c>
      <c r="J38" s="30">
        <f t="shared" si="5"/>
        <v>0</v>
      </c>
      <c r="K38" s="30">
        <f t="shared" si="6"/>
        <v>0</v>
      </c>
      <c r="L38" s="30">
        <f t="shared" si="7"/>
        <v>0</v>
      </c>
      <c r="N38" s="32" t="str">
        <f>$B$27</f>
        <v>Leverage effect</v>
      </c>
      <c r="O38" s="25">
        <f>L37</f>
        <v>3171.3814537612584</v>
      </c>
      <c r="P38" s="27">
        <f>O38/$O$41</f>
        <v>0.36473806117991803</v>
      </c>
    </row>
    <row r="39" spans="2:16" x14ac:dyDescent="0.3">
      <c r="B39" s="47" t="s">
        <v>30</v>
      </c>
      <c r="C39" s="48">
        <f t="shared" si="8"/>
        <v>64517.230263363948</v>
      </c>
      <c r="D39" s="48"/>
      <c r="E39" s="48"/>
      <c r="F39" s="49"/>
      <c r="H39" s="50" t="s">
        <v>33</v>
      </c>
      <c r="I39" s="30">
        <f>I38+K38-J39</f>
        <v>20460.874750527706</v>
      </c>
      <c r="J39" s="30">
        <f t="shared" si="5"/>
        <v>4515.4872501593727</v>
      </c>
      <c r="K39" s="30">
        <f t="shared" si="6"/>
        <v>0</v>
      </c>
      <c r="L39" s="30">
        <f>I40-I33-L34-L35-L36-L38</f>
        <v>-4515.4872501593727</v>
      </c>
      <c r="N39" s="32" t="s">
        <v>20</v>
      </c>
      <c r="O39" s="25">
        <f>L38</f>
        <v>0</v>
      </c>
      <c r="P39" s="27">
        <f>O39/$O$41</f>
        <v>0</v>
      </c>
    </row>
    <row r="40" spans="2:16" x14ac:dyDescent="0.3">
      <c r="H40" s="47" t="s">
        <v>30</v>
      </c>
      <c r="I40" s="54">
        <f>C39/H23</f>
        <v>20460.874750527702</v>
      </c>
      <c r="J40" s="43"/>
      <c r="K40" s="43"/>
      <c r="L40" s="49"/>
      <c r="N40" s="50" t="s">
        <v>33</v>
      </c>
      <c r="O40" s="25">
        <f>L39</f>
        <v>-4515.4872501593727</v>
      </c>
      <c r="P40" s="27">
        <f>O40/$O$41</f>
        <v>-0.51932260086608706</v>
      </c>
    </row>
    <row r="41" spans="2:16" x14ac:dyDescent="0.3">
      <c r="N41" s="34" t="s">
        <v>21</v>
      </c>
      <c r="O41" s="35">
        <f>SUM(O34:O40)</f>
        <v>8694.9561652598659</v>
      </c>
      <c r="P41" s="37">
        <f>SUM(P34:P40)</f>
        <v>1.0000000000000004</v>
      </c>
    </row>
    <row r="42" spans="2:16" x14ac:dyDescent="0.3">
      <c r="H42" s="39" t="s">
        <v>35</v>
      </c>
      <c r="I42" s="32" t="s">
        <v>26</v>
      </c>
      <c r="J42" s="32" t="s">
        <v>27</v>
      </c>
      <c r="K42" s="32" t="s">
        <v>28</v>
      </c>
      <c r="L42" s="40" t="s">
        <v>4</v>
      </c>
    </row>
    <row r="43" spans="2:16" x14ac:dyDescent="0.3">
      <c r="H43" s="52" t="s">
        <v>18</v>
      </c>
      <c r="I43" s="30">
        <f>L43</f>
        <v>10880.028947864832</v>
      </c>
      <c r="J43" s="30">
        <f>IF(L43&lt;=0,-L43,0)</f>
        <v>0</v>
      </c>
      <c r="K43" s="30"/>
      <c r="L43" s="30">
        <f>D23/H23</f>
        <v>10880.028947864832</v>
      </c>
    </row>
    <row r="44" spans="2:16" x14ac:dyDescent="0.3">
      <c r="H44" s="52" t="s">
        <v>19</v>
      </c>
      <c r="I44" s="30">
        <f>I43-J44</f>
        <v>10053.923047592252</v>
      </c>
      <c r="J44" s="30">
        <f>IF(L44&lt;=0,-L44,0)</f>
        <v>826.10590027257933</v>
      </c>
      <c r="K44" s="30">
        <f>IF(L44&gt;0,L44,0)</f>
        <v>0</v>
      </c>
      <c r="L44" s="30">
        <f>D24/H23</f>
        <v>-826.10590027257933</v>
      </c>
    </row>
    <row r="45" spans="2:16" x14ac:dyDescent="0.3">
      <c r="H45" s="24" t="s">
        <v>29</v>
      </c>
      <c r="I45" s="30">
        <f>L43+L44</f>
        <v>10053.923047592252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 Creation</vt:lpstr>
    </vt:vector>
  </TitlesOfParts>
  <Company>Nyrhu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amall</dc:creator>
  <cp:lastModifiedBy>Owner</cp:lastModifiedBy>
  <dcterms:created xsi:type="dcterms:W3CDTF">2020-06-01T21:20:10Z</dcterms:created>
  <dcterms:modified xsi:type="dcterms:W3CDTF">2020-06-08T14:35:49Z</dcterms:modified>
</cp:coreProperties>
</file>