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lawdc1\Folder Redirection\konofriechuck\Desktop\"/>
    </mc:Choice>
  </mc:AlternateContent>
  <xr:revisionPtr revIDLastSave="0" documentId="8_{AB9087DC-9B4B-4282-B37F-E916C9E4EFB6}" xr6:coauthVersionLast="45" xr6:coauthVersionMax="45" xr10:uidLastSave="{00000000-0000-0000-0000-000000000000}"/>
  <bookViews>
    <workbookView xWindow="-120" yWindow="-120" windowWidth="29040" windowHeight="15840" xr2:uid="{1269D338-3E9F-4554-9731-C8C92FB1DB6C}"/>
  </bookViews>
  <sheets>
    <sheet name="FEES ESTIMATOR" sheetId="2" r:id="rId1"/>
    <sheet name="CALCULATION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" l="1"/>
  <c r="D11" i="2"/>
  <c r="C8" i="2" l="1"/>
  <c r="D8" i="1" l="1"/>
  <c r="C11" i="2" l="1"/>
  <c r="C6" i="2"/>
  <c r="D7" i="2" l="1"/>
  <c r="D6" i="2"/>
  <c r="E6" i="2"/>
  <c r="C7" i="2" l="1"/>
  <c r="E7" i="2"/>
  <c r="C5" i="2" s="1"/>
  <c r="E20" i="2"/>
  <c r="E21" i="2" s="1"/>
  <c r="D22" i="2"/>
  <c r="C22" i="2"/>
  <c r="D21" i="2"/>
  <c r="D12" i="2"/>
  <c r="C12" i="2" s="1"/>
  <c r="C10" i="2"/>
  <c r="C21" i="2" l="1"/>
  <c r="C26" i="2" s="1"/>
  <c r="E22" i="2"/>
  <c r="C17" i="2"/>
  <c r="C27" i="2" l="1"/>
  <c r="C15" i="2"/>
  <c r="C16" i="2"/>
  <c r="C25" i="2"/>
  <c r="D28" i="1"/>
  <c r="G23" i="1" s="1"/>
  <c r="C28" i="2" l="1"/>
  <c r="C18" i="2"/>
  <c r="G25" i="1"/>
  <c r="G24" i="1"/>
  <c r="G6" i="1" l="1"/>
  <c r="G7" i="1"/>
  <c r="G26" i="1"/>
  <c r="G28" i="1" s="1"/>
  <c r="G15" i="1"/>
  <c r="G16" i="1" s="1"/>
  <c r="G17" i="1" s="1"/>
  <c r="E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Thomson</author>
  </authors>
  <commentList>
    <comment ref="H5" authorId="0" shapeId="0" xr:uid="{FE4D5A29-0B43-4DEA-9A34-9B6A693C5FF5}">
      <text>
        <r>
          <rPr>
            <b/>
            <sz val="9"/>
            <color indexed="81"/>
            <rFont val="Tahoma"/>
            <charset val="1"/>
          </rPr>
          <t>Andrea Thomson:</t>
        </r>
        <r>
          <rPr>
            <sz val="9"/>
            <color indexed="81"/>
            <rFont val="Tahoma"/>
            <charset val="1"/>
          </rPr>
          <t xml:space="preserve">
Fees - $1000
Disb - $95
ISC Mort - $160
ISC Trans - $630
Title Ins - $213.85
Titles $36.00</t>
        </r>
      </text>
    </comment>
    <comment ref="H6" authorId="0" shapeId="0" xr:uid="{7BD4EB75-C38D-48BE-BD50-17D6F4CBA642}">
      <text>
        <r>
          <rPr>
            <b/>
            <sz val="9"/>
            <color indexed="81"/>
            <rFont val="Tahoma"/>
            <charset val="1"/>
          </rPr>
          <t>Andrea Thomson:</t>
        </r>
        <r>
          <rPr>
            <sz val="9"/>
            <color indexed="81"/>
            <rFont val="Tahoma"/>
            <charset val="1"/>
          </rPr>
          <t xml:space="preserve">
Fees - $700
Disb $95
Titles $36
ISC Trans - $300
Sharon - 250-574-0844</t>
        </r>
      </text>
    </comment>
  </commentList>
</comments>
</file>

<file path=xl/sharedStrings.xml><?xml version="1.0" encoding="utf-8"?>
<sst xmlns="http://schemas.openxmlformats.org/spreadsheetml/2006/main" count="65" uniqueCount="58">
  <si>
    <t>Commission Amount</t>
  </si>
  <si>
    <t>GST</t>
  </si>
  <si>
    <t>PST</t>
  </si>
  <si>
    <t>Total</t>
  </si>
  <si>
    <t>Deposit</t>
  </si>
  <si>
    <t>Balance Owing</t>
  </si>
  <si>
    <t>TOTAL COMMISSION</t>
  </si>
  <si>
    <t>COMMISSION WORKSHEET</t>
  </si>
  <si>
    <t>Tax Levy to Adjust</t>
  </si>
  <si>
    <t>Vendor's Share of Tax</t>
  </si>
  <si>
    <t>Credit Buyer</t>
  </si>
  <si>
    <t>Credit Seller</t>
  </si>
  <si>
    <t>Vendor PAID</t>
  </si>
  <si>
    <t>Adjustment Date</t>
  </si>
  <si>
    <t>Percentage</t>
  </si>
  <si>
    <t>Commission on Balance:</t>
  </si>
  <si>
    <t>Commission on First:</t>
  </si>
  <si>
    <t>PURCHASE PRICE</t>
  </si>
  <si>
    <t>INTEREST CALCULATION</t>
  </si>
  <si>
    <t>Daily Interest</t>
  </si>
  <si>
    <t>Annual Interest Rate</t>
  </si>
  <si>
    <t>Amount over Number of Days</t>
  </si>
  <si>
    <t>only adjust yellow fields as needed, all other fields include calculations to assist with totals</t>
  </si>
  <si>
    <t>TAX ADJUSTMENT</t>
  </si>
  <si>
    <t>Interest Payable to Vendor</t>
  </si>
  <si>
    <t>Number of Days of Interest</t>
  </si>
  <si>
    <t>Amount Interest is calculated on</t>
  </si>
  <si>
    <t>Interest Amount - 4% plus Bank of Canada</t>
  </si>
  <si>
    <t>Real Estate Tarriff Calculator</t>
  </si>
  <si>
    <t>y</t>
  </si>
  <si>
    <t>n</t>
  </si>
  <si>
    <t>Regular Disbursements</t>
  </si>
  <si>
    <t>SUBTOTAL:</t>
  </si>
  <si>
    <t xml:space="preserve">   GST (on fees &amp; disbursements)</t>
  </si>
  <si>
    <t xml:space="preserve">   PST (on fees only)</t>
  </si>
  <si>
    <t>LEGAL FEES VENDOR</t>
  </si>
  <si>
    <t>Title Search</t>
  </si>
  <si>
    <t xml:space="preserve">   GST</t>
  </si>
  <si>
    <t xml:space="preserve">   PST</t>
  </si>
  <si>
    <t>MORTGAGE AMOUNT</t>
  </si>
  <si>
    <t>PURCHASE/SALE PRICE</t>
  </si>
  <si>
    <t>Vendor Estimated Fees</t>
  </si>
  <si>
    <t>PURCHASER TOTAL LEGAL FEES, DISBURSEMENTS &amp; TAXES</t>
  </si>
  <si>
    <t>VENDOR TOTAL LEGAL FEES, DISBURSEMENTS &amp; TAXES</t>
  </si>
  <si>
    <r>
      <t xml:space="preserve">Title Search       </t>
    </r>
    <r>
      <rPr>
        <i/>
        <sz val="10"/>
        <color theme="2" tint="-0.249977111117893"/>
        <rFont val="Arial"/>
        <family val="2"/>
      </rPr>
      <t>($12.00/title - calculated at 3 copies per parcel)</t>
    </r>
  </si>
  <si>
    <r>
      <t xml:space="preserve">Title Insurance  </t>
    </r>
    <r>
      <rPr>
        <i/>
        <sz val="10"/>
        <color theme="2" tint="-0.249977111117893"/>
        <rFont val="Arial"/>
        <family val="2"/>
      </rPr>
      <t xml:space="preserve"> (over $500,000 call for quote)</t>
    </r>
  </si>
  <si>
    <t>NUMBER OF PARCELS</t>
  </si>
  <si>
    <r>
      <rPr>
        <sz val="10"/>
        <rFont val="Arial"/>
        <family val="2"/>
      </rPr>
      <t>Legal Fees</t>
    </r>
    <r>
      <rPr>
        <sz val="10"/>
        <color rgb="FFFF0000"/>
        <rFont val="Arial"/>
        <family val="2"/>
      </rPr>
      <t xml:space="preserve"> PURCHASE (with mortgage)</t>
    </r>
  </si>
  <si>
    <r>
      <rPr>
        <sz val="10"/>
        <rFont val="Arial"/>
        <family val="2"/>
      </rPr>
      <t>Legal Fees</t>
    </r>
    <r>
      <rPr>
        <sz val="10"/>
        <color rgb="FF0070C0"/>
        <rFont val="Arial"/>
        <family val="2"/>
      </rPr>
      <t xml:space="preserve"> PURCHASE (no mortgage)</t>
    </r>
  </si>
  <si>
    <r>
      <rPr>
        <sz val="10"/>
        <rFont val="Arial"/>
        <family val="2"/>
      </rPr>
      <t xml:space="preserve">Legal Fees </t>
    </r>
    <r>
      <rPr>
        <sz val="10"/>
        <color rgb="FF00B050"/>
        <rFont val="Arial"/>
        <family val="2"/>
      </rPr>
      <t>REFINANCE only</t>
    </r>
  </si>
  <si>
    <t>ISC Land Title Transfer Fee</t>
  </si>
  <si>
    <t>ISC Land Title Mortgage Registration Fee (4 parcels)</t>
  </si>
  <si>
    <t>Additional Land title fees for Mortgage (&gt;4 parcels)</t>
  </si>
  <si>
    <t>Other Disbursements  (ie: other tax certs, ILA, SAMA, etc)</t>
  </si>
  <si>
    <t>Other Disbursements (ie: other tax certs, ILA, SAMA, etc)</t>
  </si>
  <si>
    <t>(for refinance only - remove transfer fee)</t>
  </si>
  <si>
    <t>&lt; 199,999.00</t>
  </si>
  <si>
    <t>&gt; 200,000.00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</si>
</sst>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[$-1009]mmmm\ d\,\ yyyy;@"/>
    <numFmt numFmtId="165" formatCode="0.00000000%"/>
    <numFmt numFmtId="166" formatCode="&quot;$&quot;#,##0.00;[Red]&quot;$&quot;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i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i/>
      <sz val="9"/>
      <color theme="2" tint="-0.249977111117893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Font="1" applyAlignment="1">
      <alignment vertical="center"/>
    </xf>
    <xf numFmtId="44" fontId="1" fillId="0" borderId="0" xfId="1" applyFont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44" fontId="1" fillId="2" borderId="0" xfId="1" applyFont="1" applyFill="1" applyBorder="1" applyAlignment="1">
      <alignment vertical="center"/>
    </xf>
    <xf numFmtId="10" fontId="0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44" fontId="1" fillId="2" borderId="1" xfId="1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5" fontId="6" fillId="2" borderId="0" xfId="0" applyNumberFormat="1" applyFont="1" applyFill="1" applyBorder="1" applyAlignment="1">
      <alignment horizontal="left"/>
    </xf>
    <xf numFmtId="0" fontId="5" fillId="2" borderId="1" xfId="0" applyFont="1" applyFill="1" applyBorder="1"/>
    <xf numFmtId="0" fontId="0" fillId="2" borderId="0" xfId="0" applyFont="1" applyFill="1" applyAlignment="1">
      <alignment vertical="center"/>
    </xf>
    <xf numFmtId="44" fontId="1" fillId="2" borderId="0" xfId="1" applyFont="1" applyFill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165" fontId="9" fillId="2" borderId="0" xfId="2" applyNumberFormat="1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right" vertical="center"/>
    </xf>
    <xf numFmtId="164" fontId="3" fillId="3" borderId="9" xfId="0" applyNumberFormat="1" applyFont="1" applyFill="1" applyBorder="1" applyAlignment="1">
      <alignment vertical="center"/>
    </xf>
    <xf numFmtId="44" fontId="4" fillId="3" borderId="9" xfId="1" applyFont="1" applyFill="1" applyBorder="1" applyAlignment="1">
      <alignment horizontal="right" vertical="center"/>
    </xf>
    <xf numFmtId="44" fontId="4" fillId="2" borderId="9" xfId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/>
    </xf>
    <xf numFmtId="165" fontId="4" fillId="3" borderId="9" xfId="2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vertical="center"/>
    </xf>
    <xf numFmtId="44" fontId="1" fillId="3" borderId="9" xfId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10" fontId="1" fillId="3" borderId="9" xfId="1" applyNumberFormat="1" applyFont="1" applyFill="1" applyBorder="1" applyAlignment="1">
      <alignment vertical="center"/>
    </xf>
    <xf numFmtId="10" fontId="0" fillId="3" borderId="9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horizontal="right" vertical="center"/>
    </xf>
    <xf numFmtId="44" fontId="4" fillId="2" borderId="9" xfId="1" applyFont="1" applyFill="1" applyBorder="1" applyAlignment="1">
      <alignment vertical="center"/>
    </xf>
    <xf numFmtId="0" fontId="0" fillId="2" borderId="9" xfId="0" applyFont="1" applyFill="1" applyBorder="1" applyAlignment="1">
      <alignment horizontal="right" vertical="center"/>
    </xf>
    <xf numFmtId="44" fontId="12" fillId="2" borderId="9" xfId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right" vertical="center"/>
    </xf>
    <xf numFmtId="8" fontId="11" fillId="2" borderId="9" xfId="1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7" fillId="3" borderId="10" xfId="0" applyFont="1" applyFill="1" applyBorder="1" applyAlignment="1">
      <alignment horizontal="left" vertical="center" shrinkToFit="1"/>
    </xf>
    <xf numFmtId="0" fontId="15" fillId="3" borderId="10" xfId="0" applyFont="1" applyFill="1" applyBorder="1" applyAlignment="1">
      <alignment vertical="center"/>
    </xf>
    <xf numFmtId="44" fontId="18" fillId="3" borderId="10" xfId="1" applyFont="1" applyFill="1" applyBorder="1" applyAlignment="1">
      <alignment horizontal="center" vertical="center"/>
    </xf>
    <xf numFmtId="0" fontId="19" fillId="0" borderId="0" xfId="0" applyFont="1" applyAlignment="1">
      <alignment horizontal="right" shrinkToFit="1"/>
    </xf>
    <xf numFmtId="0" fontId="20" fillId="7" borderId="10" xfId="0" applyFont="1" applyFill="1" applyBorder="1" applyAlignment="1">
      <alignment horizontal="left" vertical="center" shrinkToFit="1"/>
    </xf>
    <xf numFmtId="0" fontId="20" fillId="7" borderId="10" xfId="0" applyFont="1" applyFill="1" applyBorder="1" applyAlignment="1">
      <alignment horizontal="center" vertical="center"/>
    </xf>
    <xf numFmtId="0" fontId="0" fillId="7" borderId="10" xfId="0" applyFill="1" applyBorder="1" applyAlignment="1">
      <alignment vertical="center"/>
    </xf>
    <xf numFmtId="0" fontId="21" fillId="0" borderId="0" xfId="0" applyFont="1" applyAlignment="1">
      <alignment horizontal="right" shrinkToFit="1"/>
    </xf>
    <xf numFmtId="166" fontId="16" fillId="0" borderId="11" xfId="0" applyNumberFormat="1" applyFont="1" applyBorder="1" applyAlignment="1">
      <alignment vertical="center"/>
    </xf>
    <xf numFmtId="0" fontId="16" fillId="0" borderId="0" xfId="0" applyFont="1"/>
    <xf numFmtId="166" fontId="22" fillId="0" borderId="0" xfId="0" applyNumberFormat="1" applyFont="1" applyAlignment="1">
      <alignment vertical="center"/>
    </xf>
    <xf numFmtId="166" fontId="22" fillId="0" borderId="12" xfId="0" applyNumberFormat="1" applyFont="1" applyBorder="1" applyAlignment="1">
      <alignment vertical="center"/>
    </xf>
    <xf numFmtId="0" fontId="16" fillId="0" borderId="0" xfId="0" applyFont="1" applyAlignment="1">
      <alignment vertical="center" shrinkToFit="1"/>
    </xf>
    <xf numFmtId="44" fontId="16" fillId="0" borderId="0" xfId="1" applyFont="1" applyFill="1" applyAlignment="1">
      <alignment horizontal="center" vertical="center"/>
    </xf>
    <xf numFmtId="166" fontId="16" fillId="0" borderId="0" xfId="0" applyNumberFormat="1" applyFont="1" applyAlignment="1">
      <alignment vertical="center"/>
    </xf>
    <xf numFmtId="0" fontId="23" fillId="0" borderId="0" xfId="0" applyFont="1" applyAlignment="1">
      <alignment vertical="center" shrinkToFit="1"/>
    </xf>
    <xf numFmtId="0" fontId="16" fillId="0" borderId="11" xfId="0" applyFont="1" applyBorder="1" applyAlignment="1">
      <alignment vertical="center" shrinkToFit="1"/>
    </xf>
    <xf numFmtId="44" fontId="16" fillId="0" borderId="11" xfId="1" applyFont="1" applyFill="1" applyBorder="1" applyAlignment="1">
      <alignment horizontal="center" vertical="center"/>
    </xf>
    <xf numFmtId="44" fontId="16" fillId="0" borderId="0" xfId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12" xfId="0" applyFont="1" applyBorder="1" applyAlignment="1">
      <alignment vertical="center" shrinkToFit="1"/>
    </xf>
    <xf numFmtId="44" fontId="16" fillId="0" borderId="12" xfId="1" applyFont="1" applyFill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44" fontId="20" fillId="0" borderId="13" xfId="1" applyFont="1" applyFill="1" applyBorder="1" applyAlignment="1">
      <alignment horizontal="center" vertical="center"/>
    </xf>
    <xf numFmtId="166" fontId="16" fillId="0" borderId="13" xfId="0" applyNumberFormat="1" applyFont="1" applyBorder="1" applyAlignment="1">
      <alignment vertical="center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vertical="center"/>
    </xf>
    <xf numFmtId="44" fontId="16" fillId="0" borderId="0" xfId="1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4" fontId="16" fillId="0" borderId="11" xfId="1" applyFont="1" applyBorder="1" applyAlignment="1">
      <alignment horizontal="center" vertical="center"/>
    </xf>
    <xf numFmtId="166" fontId="0" fillId="0" borderId="11" xfId="0" applyNumberFormat="1" applyBorder="1" applyAlignment="1">
      <alignment vertical="center"/>
    </xf>
    <xf numFmtId="44" fontId="16" fillId="0" borderId="0" xfId="1" applyFont="1" applyBorder="1" applyAlignment="1">
      <alignment horizontal="center" vertical="center"/>
    </xf>
    <xf numFmtId="44" fontId="16" fillId="0" borderId="12" xfId="1" applyFont="1" applyBorder="1" applyAlignment="1">
      <alignment horizontal="center" vertical="center"/>
    </xf>
    <xf numFmtId="166" fontId="0" fillId="0" borderId="12" xfId="0" applyNumberFormat="1" applyBorder="1" applyAlignment="1">
      <alignment vertical="center"/>
    </xf>
    <xf numFmtId="44" fontId="20" fillId="0" borderId="13" xfId="1" applyFont="1" applyBorder="1" applyAlignment="1">
      <alignment horizontal="center" vertical="center"/>
    </xf>
    <xf numFmtId="166" fontId="0" fillId="0" borderId="13" xfId="0" applyNumberFormat="1" applyBorder="1" applyAlignment="1">
      <alignment vertical="center"/>
    </xf>
    <xf numFmtId="0" fontId="16" fillId="0" borderId="0" xfId="0" applyFont="1" applyAlignment="1">
      <alignment shrinkToFit="1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0" fontId="15" fillId="8" borderId="10" xfId="0" applyFont="1" applyFill="1" applyBorder="1" applyAlignment="1">
      <alignment vertical="center"/>
    </xf>
    <xf numFmtId="44" fontId="18" fillId="8" borderId="10" xfId="1" applyFont="1" applyFill="1" applyBorder="1" applyAlignment="1">
      <alignment horizontal="center" vertical="center"/>
    </xf>
    <xf numFmtId="0" fontId="25" fillId="0" borderId="0" xfId="0" applyFont="1" applyAlignment="1">
      <alignment horizontal="right" shrinkToFit="1"/>
    </xf>
    <xf numFmtId="0" fontId="6" fillId="2" borderId="9" xfId="0" applyFont="1" applyFill="1" applyBorder="1" applyAlignment="1">
      <alignment vertical="center"/>
    </xf>
    <xf numFmtId="44" fontId="6" fillId="0" borderId="9" xfId="1" applyFont="1" applyFill="1" applyBorder="1" applyAlignment="1">
      <alignment vertical="center"/>
    </xf>
    <xf numFmtId="0" fontId="17" fillId="8" borderId="10" xfId="0" applyFont="1" applyFill="1" applyBorder="1" applyAlignment="1">
      <alignment vertical="center" shrinkToFit="1"/>
    </xf>
    <xf numFmtId="0" fontId="19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166" fontId="22" fillId="0" borderId="0" xfId="0" applyNumberFormat="1" applyFont="1" applyBorder="1" applyAlignment="1">
      <alignment vertical="center"/>
    </xf>
    <xf numFmtId="0" fontId="21" fillId="0" borderId="12" xfId="0" applyFont="1" applyBorder="1" applyAlignment="1">
      <alignment horizontal="center"/>
    </xf>
    <xf numFmtId="0" fontId="26" fillId="0" borderId="0" xfId="0" applyFont="1" applyAlignment="1">
      <alignment vertical="center" shrinkToFit="1"/>
    </xf>
    <xf numFmtId="0" fontId="19" fillId="0" borderId="11" xfId="0" applyFont="1" applyBorder="1" applyAlignment="1">
      <alignment horizontal="left" vertical="center" shrinkToFit="1"/>
    </xf>
    <xf numFmtId="0" fontId="25" fillId="0" borderId="0" xfId="0" applyFont="1" applyBorder="1" applyAlignment="1">
      <alignment horizontal="left" vertical="center" shrinkToFit="1"/>
    </xf>
    <xf numFmtId="0" fontId="21" fillId="0" borderId="12" xfId="0" applyFont="1" applyBorder="1" applyAlignment="1">
      <alignment horizontal="left" vertical="center" shrinkToFit="1"/>
    </xf>
    <xf numFmtId="44" fontId="19" fillId="0" borderId="11" xfId="1" applyFont="1" applyFill="1" applyBorder="1" applyAlignment="1">
      <alignment horizontal="center" vertical="center"/>
    </xf>
    <xf numFmtId="44" fontId="25" fillId="0" borderId="0" xfId="1" applyFont="1" applyBorder="1" applyAlignment="1">
      <alignment horizontal="center" vertical="center"/>
    </xf>
    <xf numFmtId="44" fontId="21" fillId="0" borderId="12" xfId="1" applyFont="1" applyBorder="1" applyAlignment="1">
      <alignment horizontal="center" vertical="center"/>
    </xf>
    <xf numFmtId="8" fontId="16" fillId="0" borderId="0" xfId="0" applyNumberFormat="1" applyFont="1"/>
    <xf numFmtId="0" fontId="20" fillId="0" borderId="13" xfId="0" applyFont="1" applyBorder="1" applyAlignment="1">
      <alignment horizontal="left" vertical="center" shrinkToFit="1"/>
    </xf>
    <xf numFmtId="166" fontId="28" fillId="0" borderId="11" xfId="0" applyNumberFormat="1" applyFont="1" applyBorder="1" applyAlignment="1">
      <alignment horizontal="left" vertical="center"/>
    </xf>
    <xf numFmtId="166" fontId="27" fillId="0" borderId="11" xfId="0" applyNumberFormat="1" applyFont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/>
    </xf>
    <xf numFmtId="164" fontId="3" fillId="2" borderId="9" xfId="0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887E7-CCAF-4B7A-B554-9E95B2EB7516}">
  <dimension ref="A1:H29"/>
  <sheetViews>
    <sheetView tabSelected="1" workbookViewId="0">
      <selection activeCell="D9" sqref="D9"/>
    </sheetView>
  </sheetViews>
  <sheetFormatPr defaultColWidth="106.5703125" defaultRowHeight="15" x14ac:dyDescent="0.25"/>
  <cols>
    <col min="1" max="1" width="55.28515625" bestFit="1" customWidth="1"/>
    <col min="2" max="2" width="4.7109375" customWidth="1"/>
    <col min="3" max="3" width="11.7109375" customWidth="1"/>
    <col min="4" max="4" width="21.140625" customWidth="1"/>
    <col min="5" max="5" width="21.85546875" bestFit="1" customWidth="1"/>
    <col min="6" max="6" width="17.28515625" customWidth="1"/>
    <col min="7" max="7" width="12.140625" customWidth="1"/>
    <col min="258" max="258" width="101.5703125" bestFit="1" customWidth="1"/>
    <col min="259" max="259" width="10.42578125" bestFit="1" customWidth="1"/>
    <col min="260" max="260" width="21.140625" customWidth="1"/>
    <col min="261" max="261" width="21.85546875" bestFit="1" customWidth="1"/>
    <col min="262" max="262" width="23.85546875" bestFit="1" customWidth="1"/>
    <col min="263" max="263" width="4.28515625" customWidth="1"/>
    <col min="514" max="514" width="101.5703125" bestFit="1" customWidth="1"/>
    <col min="515" max="515" width="10.42578125" bestFit="1" customWidth="1"/>
    <col min="516" max="516" width="21.140625" customWidth="1"/>
    <col min="517" max="517" width="21.85546875" bestFit="1" customWidth="1"/>
    <col min="518" max="518" width="23.85546875" bestFit="1" customWidth="1"/>
    <col min="519" max="519" width="4.28515625" customWidth="1"/>
    <col min="770" max="770" width="101.5703125" bestFit="1" customWidth="1"/>
    <col min="771" max="771" width="10.42578125" bestFit="1" customWidth="1"/>
    <col min="772" max="772" width="21.140625" customWidth="1"/>
    <col min="773" max="773" width="21.85546875" bestFit="1" customWidth="1"/>
    <col min="774" max="774" width="23.85546875" bestFit="1" customWidth="1"/>
    <col min="775" max="775" width="4.28515625" customWidth="1"/>
    <col min="1026" max="1026" width="101.5703125" bestFit="1" customWidth="1"/>
    <col min="1027" max="1027" width="10.42578125" bestFit="1" customWidth="1"/>
    <col min="1028" max="1028" width="21.140625" customWidth="1"/>
    <col min="1029" max="1029" width="21.85546875" bestFit="1" customWidth="1"/>
    <col min="1030" max="1030" width="23.85546875" bestFit="1" customWidth="1"/>
    <col min="1031" max="1031" width="4.28515625" customWidth="1"/>
    <col min="1282" max="1282" width="101.5703125" bestFit="1" customWidth="1"/>
    <col min="1283" max="1283" width="10.42578125" bestFit="1" customWidth="1"/>
    <col min="1284" max="1284" width="21.140625" customWidth="1"/>
    <col min="1285" max="1285" width="21.85546875" bestFit="1" customWidth="1"/>
    <col min="1286" max="1286" width="23.85546875" bestFit="1" customWidth="1"/>
    <col min="1287" max="1287" width="4.28515625" customWidth="1"/>
    <col min="1538" max="1538" width="101.5703125" bestFit="1" customWidth="1"/>
    <col min="1539" max="1539" width="10.42578125" bestFit="1" customWidth="1"/>
    <col min="1540" max="1540" width="21.140625" customWidth="1"/>
    <col min="1541" max="1541" width="21.85546875" bestFit="1" customWidth="1"/>
    <col min="1542" max="1542" width="23.85546875" bestFit="1" customWidth="1"/>
    <col min="1543" max="1543" width="4.28515625" customWidth="1"/>
    <col min="1794" max="1794" width="101.5703125" bestFit="1" customWidth="1"/>
    <col min="1795" max="1795" width="10.42578125" bestFit="1" customWidth="1"/>
    <col min="1796" max="1796" width="21.140625" customWidth="1"/>
    <col min="1797" max="1797" width="21.85546875" bestFit="1" customWidth="1"/>
    <col min="1798" max="1798" width="23.85546875" bestFit="1" customWidth="1"/>
    <col min="1799" max="1799" width="4.28515625" customWidth="1"/>
    <col min="2050" max="2050" width="101.5703125" bestFit="1" customWidth="1"/>
    <col min="2051" max="2051" width="10.42578125" bestFit="1" customWidth="1"/>
    <col min="2052" max="2052" width="21.140625" customWidth="1"/>
    <col min="2053" max="2053" width="21.85546875" bestFit="1" customWidth="1"/>
    <col min="2054" max="2054" width="23.85546875" bestFit="1" customWidth="1"/>
    <col min="2055" max="2055" width="4.28515625" customWidth="1"/>
    <col min="2306" max="2306" width="101.5703125" bestFit="1" customWidth="1"/>
    <col min="2307" max="2307" width="10.42578125" bestFit="1" customWidth="1"/>
    <col min="2308" max="2308" width="21.140625" customWidth="1"/>
    <col min="2309" max="2309" width="21.85546875" bestFit="1" customWidth="1"/>
    <col min="2310" max="2310" width="23.85546875" bestFit="1" customWidth="1"/>
    <col min="2311" max="2311" width="4.28515625" customWidth="1"/>
    <col min="2562" max="2562" width="101.5703125" bestFit="1" customWidth="1"/>
    <col min="2563" max="2563" width="10.42578125" bestFit="1" customWidth="1"/>
    <col min="2564" max="2564" width="21.140625" customWidth="1"/>
    <col min="2565" max="2565" width="21.85546875" bestFit="1" customWidth="1"/>
    <col min="2566" max="2566" width="23.85546875" bestFit="1" customWidth="1"/>
    <col min="2567" max="2567" width="4.28515625" customWidth="1"/>
    <col min="2818" max="2818" width="101.5703125" bestFit="1" customWidth="1"/>
    <col min="2819" max="2819" width="10.42578125" bestFit="1" customWidth="1"/>
    <col min="2820" max="2820" width="21.140625" customWidth="1"/>
    <col min="2821" max="2821" width="21.85546875" bestFit="1" customWidth="1"/>
    <col min="2822" max="2822" width="23.85546875" bestFit="1" customWidth="1"/>
    <col min="2823" max="2823" width="4.28515625" customWidth="1"/>
    <col min="3074" max="3074" width="101.5703125" bestFit="1" customWidth="1"/>
    <col min="3075" max="3075" width="10.42578125" bestFit="1" customWidth="1"/>
    <col min="3076" max="3076" width="21.140625" customWidth="1"/>
    <col min="3077" max="3077" width="21.85546875" bestFit="1" customWidth="1"/>
    <col min="3078" max="3078" width="23.85546875" bestFit="1" customWidth="1"/>
    <col min="3079" max="3079" width="4.28515625" customWidth="1"/>
    <col min="3330" max="3330" width="101.5703125" bestFit="1" customWidth="1"/>
    <col min="3331" max="3331" width="10.42578125" bestFit="1" customWidth="1"/>
    <col min="3332" max="3332" width="21.140625" customWidth="1"/>
    <col min="3333" max="3333" width="21.85546875" bestFit="1" customWidth="1"/>
    <col min="3334" max="3334" width="23.85546875" bestFit="1" customWidth="1"/>
    <col min="3335" max="3335" width="4.28515625" customWidth="1"/>
    <col min="3586" max="3586" width="101.5703125" bestFit="1" customWidth="1"/>
    <col min="3587" max="3587" width="10.42578125" bestFit="1" customWidth="1"/>
    <col min="3588" max="3588" width="21.140625" customWidth="1"/>
    <col min="3589" max="3589" width="21.85546875" bestFit="1" customWidth="1"/>
    <col min="3590" max="3590" width="23.85546875" bestFit="1" customWidth="1"/>
    <col min="3591" max="3591" width="4.28515625" customWidth="1"/>
    <col min="3842" max="3842" width="101.5703125" bestFit="1" customWidth="1"/>
    <col min="3843" max="3843" width="10.42578125" bestFit="1" customWidth="1"/>
    <col min="3844" max="3844" width="21.140625" customWidth="1"/>
    <col min="3845" max="3845" width="21.85546875" bestFit="1" customWidth="1"/>
    <col min="3846" max="3846" width="23.85546875" bestFit="1" customWidth="1"/>
    <col min="3847" max="3847" width="4.28515625" customWidth="1"/>
    <col min="4098" max="4098" width="101.5703125" bestFit="1" customWidth="1"/>
    <col min="4099" max="4099" width="10.42578125" bestFit="1" customWidth="1"/>
    <col min="4100" max="4100" width="21.140625" customWidth="1"/>
    <col min="4101" max="4101" width="21.85546875" bestFit="1" customWidth="1"/>
    <col min="4102" max="4102" width="23.85546875" bestFit="1" customWidth="1"/>
    <col min="4103" max="4103" width="4.28515625" customWidth="1"/>
    <col min="4354" max="4354" width="101.5703125" bestFit="1" customWidth="1"/>
    <col min="4355" max="4355" width="10.42578125" bestFit="1" customWidth="1"/>
    <col min="4356" max="4356" width="21.140625" customWidth="1"/>
    <col min="4357" max="4357" width="21.85546875" bestFit="1" customWidth="1"/>
    <col min="4358" max="4358" width="23.85546875" bestFit="1" customWidth="1"/>
    <col min="4359" max="4359" width="4.28515625" customWidth="1"/>
    <col min="4610" max="4610" width="101.5703125" bestFit="1" customWidth="1"/>
    <col min="4611" max="4611" width="10.42578125" bestFit="1" customWidth="1"/>
    <col min="4612" max="4612" width="21.140625" customWidth="1"/>
    <col min="4613" max="4613" width="21.85546875" bestFit="1" customWidth="1"/>
    <col min="4614" max="4614" width="23.85546875" bestFit="1" customWidth="1"/>
    <col min="4615" max="4615" width="4.28515625" customWidth="1"/>
    <col min="4866" max="4866" width="101.5703125" bestFit="1" customWidth="1"/>
    <col min="4867" max="4867" width="10.42578125" bestFit="1" customWidth="1"/>
    <col min="4868" max="4868" width="21.140625" customWidth="1"/>
    <col min="4869" max="4869" width="21.85546875" bestFit="1" customWidth="1"/>
    <col min="4870" max="4870" width="23.85546875" bestFit="1" customWidth="1"/>
    <col min="4871" max="4871" width="4.28515625" customWidth="1"/>
    <col min="5122" max="5122" width="101.5703125" bestFit="1" customWidth="1"/>
    <col min="5123" max="5123" width="10.42578125" bestFit="1" customWidth="1"/>
    <col min="5124" max="5124" width="21.140625" customWidth="1"/>
    <col min="5125" max="5125" width="21.85546875" bestFit="1" customWidth="1"/>
    <col min="5126" max="5126" width="23.85546875" bestFit="1" customWidth="1"/>
    <col min="5127" max="5127" width="4.28515625" customWidth="1"/>
    <col min="5378" max="5378" width="101.5703125" bestFit="1" customWidth="1"/>
    <col min="5379" max="5379" width="10.42578125" bestFit="1" customWidth="1"/>
    <col min="5380" max="5380" width="21.140625" customWidth="1"/>
    <col min="5381" max="5381" width="21.85546875" bestFit="1" customWidth="1"/>
    <col min="5382" max="5382" width="23.85546875" bestFit="1" customWidth="1"/>
    <col min="5383" max="5383" width="4.28515625" customWidth="1"/>
    <col min="5634" max="5634" width="101.5703125" bestFit="1" customWidth="1"/>
    <col min="5635" max="5635" width="10.42578125" bestFit="1" customWidth="1"/>
    <col min="5636" max="5636" width="21.140625" customWidth="1"/>
    <col min="5637" max="5637" width="21.85546875" bestFit="1" customWidth="1"/>
    <col min="5638" max="5638" width="23.85546875" bestFit="1" customWidth="1"/>
    <col min="5639" max="5639" width="4.28515625" customWidth="1"/>
    <col min="5890" max="5890" width="101.5703125" bestFit="1" customWidth="1"/>
    <col min="5891" max="5891" width="10.42578125" bestFit="1" customWidth="1"/>
    <col min="5892" max="5892" width="21.140625" customWidth="1"/>
    <col min="5893" max="5893" width="21.85546875" bestFit="1" customWidth="1"/>
    <col min="5894" max="5894" width="23.85546875" bestFit="1" customWidth="1"/>
    <col min="5895" max="5895" width="4.28515625" customWidth="1"/>
    <col min="6146" max="6146" width="101.5703125" bestFit="1" customWidth="1"/>
    <col min="6147" max="6147" width="10.42578125" bestFit="1" customWidth="1"/>
    <col min="6148" max="6148" width="21.140625" customWidth="1"/>
    <col min="6149" max="6149" width="21.85546875" bestFit="1" customWidth="1"/>
    <col min="6150" max="6150" width="23.85546875" bestFit="1" customWidth="1"/>
    <col min="6151" max="6151" width="4.28515625" customWidth="1"/>
    <col min="6402" max="6402" width="101.5703125" bestFit="1" customWidth="1"/>
    <col min="6403" max="6403" width="10.42578125" bestFit="1" customWidth="1"/>
    <col min="6404" max="6404" width="21.140625" customWidth="1"/>
    <col min="6405" max="6405" width="21.85546875" bestFit="1" customWidth="1"/>
    <col min="6406" max="6406" width="23.85546875" bestFit="1" customWidth="1"/>
    <col min="6407" max="6407" width="4.28515625" customWidth="1"/>
    <col min="6658" max="6658" width="101.5703125" bestFit="1" customWidth="1"/>
    <col min="6659" max="6659" width="10.42578125" bestFit="1" customWidth="1"/>
    <col min="6660" max="6660" width="21.140625" customWidth="1"/>
    <col min="6661" max="6661" width="21.85546875" bestFit="1" customWidth="1"/>
    <col min="6662" max="6662" width="23.85546875" bestFit="1" customWidth="1"/>
    <col min="6663" max="6663" width="4.28515625" customWidth="1"/>
    <col min="6914" max="6914" width="101.5703125" bestFit="1" customWidth="1"/>
    <col min="6915" max="6915" width="10.42578125" bestFit="1" customWidth="1"/>
    <col min="6916" max="6916" width="21.140625" customWidth="1"/>
    <col min="6917" max="6917" width="21.85546875" bestFit="1" customWidth="1"/>
    <col min="6918" max="6918" width="23.85546875" bestFit="1" customWidth="1"/>
    <col min="6919" max="6919" width="4.28515625" customWidth="1"/>
    <col min="7170" max="7170" width="101.5703125" bestFit="1" customWidth="1"/>
    <col min="7171" max="7171" width="10.42578125" bestFit="1" customWidth="1"/>
    <col min="7172" max="7172" width="21.140625" customWidth="1"/>
    <col min="7173" max="7173" width="21.85546875" bestFit="1" customWidth="1"/>
    <col min="7174" max="7174" width="23.85546875" bestFit="1" customWidth="1"/>
    <col min="7175" max="7175" width="4.28515625" customWidth="1"/>
    <col min="7426" max="7426" width="101.5703125" bestFit="1" customWidth="1"/>
    <col min="7427" max="7427" width="10.42578125" bestFit="1" customWidth="1"/>
    <col min="7428" max="7428" width="21.140625" customWidth="1"/>
    <col min="7429" max="7429" width="21.85546875" bestFit="1" customWidth="1"/>
    <col min="7430" max="7430" width="23.85546875" bestFit="1" customWidth="1"/>
    <col min="7431" max="7431" width="4.28515625" customWidth="1"/>
    <col min="7682" max="7682" width="101.5703125" bestFit="1" customWidth="1"/>
    <col min="7683" max="7683" width="10.42578125" bestFit="1" customWidth="1"/>
    <col min="7684" max="7684" width="21.140625" customWidth="1"/>
    <col min="7685" max="7685" width="21.85546875" bestFit="1" customWidth="1"/>
    <col min="7686" max="7686" width="23.85546875" bestFit="1" customWidth="1"/>
    <col min="7687" max="7687" width="4.28515625" customWidth="1"/>
    <col min="7938" max="7938" width="101.5703125" bestFit="1" customWidth="1"/>
    <col min="7939" max="7939" width="10.42578125" bestFit="1" customWidth="1"/>
    <col min="7940" max="7940" width="21.140625" customWidth="1"/>
    <col min="7941" max="7941" width="21.85546875" bestFit="1" customWidth="1"/>
    <col min="7942" max="7942" width="23.85546875" bestFit="1" customWidth="1"/>
    <col min="7943" max="7943" width="4.28515625" customWidth="1"/>
    <col min="8194" max="8194" width="101.5703125" bestFit="1" customWidth="1"/>
    <col min="8195" max="8195" width="10.42578125" bestFit="1" customWidth="1"/>
    <col min="8196" max="8196" width="21.140625" customWidth="1"/>
    <col min="8197" max="8197" width="21.85546875" bestFit="1" customWidth="1"/>
    <col min="8198" max="8198" width="23.85546875" bestFit="1" customWidth="1"/>
    <col min="8199" max="8199" width="4.28515625" customWidth="1"/>
    <col min="8450" max="8450" width="101.5703125" bestFit="1" customWidth="1"/>
    <col min="8451" max="8451" width="10.42578125" bestFit="1" customWidth="1"/>
    <col min="8452" max="8452" width="21.140625" customWidth="1"/>
    <col min="8453" max="8453" width="21.85546875" bestFit="1" customWidth="1"/>
    <col min="8454" max="8454" width="23.85546875" bestFit="1" customWidth="1"/>
    <col min="8455" max="8455" width="4.28515625" customWidth="1"/>
    <col min="8706" max="8706" width="101.5703125" bestFit="1" customWidth="1"/>
    <col min="8707" max="8707" width="10.42578125" bestFit="1" customWidth="1"/>
    <col min="8708" max="8708" width="21.140625" customWidth="1"/>
    <col min="8709" max="8709" width="21.85546875" bestFit="1" customWidth="1"/>
    <col min="8710" max="8710" width="23.85546875" bestFit="1" customWidth="1"/>
    <col min="8711" max="8711" width="4.28515625" customWidth="1"/>
    <col min="8962" max="8962" width="101.5703125" bestFit="1" customWidth="1"/>
    <col min="8963" max="8963" width="10.42578125" bestFit="1" customWidth="1"/>
    <col min="8964" max="8964" width="21.140625" customWidth="1"/>
    <col min="8965" max="8965" width="21.85546875" bestFit="1" customWidth="1"/>
    <col min="8966" max="8966" width="23.85546875" bestFit="1" customWidth="1"/>
    <col min="8967" max="8967" width="4.28515625" customWidth="1"/>
    <col min="9218" max="9218" width="101.5703125" bestFit="1" customWidth="1"/>
    <col min="9219" max="9219" width="10.42578125" bestFit="1" customWidth="1"/>
    <col min="9220" max="9220" width="21.140625" customWidth="1"/>
    <col min="9221" max="9221" width="21.85546875" bestFit="1" customWidth="1"/>
    <col min="9222" max="9222" width="23.85546875" bestFit="1" customWidth="1"/>
    <col min="9223" max="9223" width="4.28515625" customWidth="1"/>
    <col min="9474" max="9474" width="101.5703125" bestFit="1" customWidth="1"/>
    <col min="9475" max="9475" width="10.42578125" bestFit="1" customWidth="1"/>
    <col min="9476" max="9476" width="21.140625" customWidth="1"/>
    <col min="9477" max="9477" width="21.85546875" bestFit="1" customWidth="1"/>
    <col min="9478" max="9478" width="23.85546875" bestFit="1" customWidth="1"/>
    <col min="9479" max="9479" width="4.28515625" customWidth="1"/>
    <col min="9730" max="9730" width="101.5703125" bestFit="1" customWidth="1"/>
    <col min="9731" max="9731" width="10.42578125" bestFit="1" customWidth="1"/>
    <col min="9732" max="9732" width="21.140625" customWidth="1"/>
    <col min="9733" max="9733" width="21.85546875" bestFit="1" customWidth="1"/>
    <col min="9734" max="9734" width="23.85546875" bestFit="1" customWidth="1"/>
    <col min="9735" max="9735" width="4.28515625" customWidth="1"/>
    <col min="9986" max="9986" width="101.5703125" bestFit="1" customWidth="1"/>
    <col min="9987" max="9987" width="10.42578125" bestFit="1" customWidth="1"/>
    <col min="9988" max="9988" width="21.140625" customWidth="1"/>
    <col min="9989" max="9989" width="21.85546875" bestFit="1" customWidth="1"/>
    <col min="9990" max="9990" width="23.85546875" bestFit="1" customWidth="1"/>
    <col min="9991" max="9991" width="4.28515625" customWidth="1"/>
    <col min="10242" max="10242" width="101.5703125" bestFit="1" customWidth="1"/>
    <col min="10243" max="10243" width="10.42578125" bestFit="1" customWidth="1"/>
    <col min="10244" max="10244" width="21.140625" customWidth="1"/>
    <col min="10245" max="10245" width="21.85546875" bestFit="1" customWidth="1"/>
    <col min="10246" max="10246" width="23.85546875" bestFit="1" customWidth="1"/>
    <col min="10247" max="10247" width="4.28515625" customWidth="1"/>
    <col min="10498" max="10498" width="101.5703125" bestFit="1" customWidth="1"/>
    <col min="10499" max="10499" width="10.42578125" bestFit="1" customWidth="1"/>
    <col min="10500" max="10500" width="21.140625" customWidth="1"/>
    <col min="10501" max="10501" width="21.85546875" bestFit="1" customWidth="1"/>
    <col min="10502" max="10502" width="23.85546875" bestFit="1" customWidth="1"/>
    <col min="10503" max="10503" width="4.28515625" customWidth="1"/>
    <col min="10754" max="10754" width="101.5703125" bestFit="1" customWidth="1"/>
    <col min="10755" max="10755" width="10.42578125" bestFit="1" customWidth="1"/>
    <col min="10756" max="10756" width="21.140625" customWidth="1"/>
    <col min="10757" max="10757" width="21.85546875" bestFit="1" customWidth="1"/>
    <col min="10758" max="10758" width="23.85546875" bestFit="1" customWidth="1"/>
    <col min="10759" max="10759" width="4.28515625" customWidth="1"/>
    <col min="11010" max="11010" width="101.5703125" bestFit="1" customWidth="1"/>
    <col min="11011" max="11011" width="10.42578125" bestFit="1" customWidth="1"/>
    <col min="11012" max="11012" width="21.140625" customWidth="1"/>
    <col min="11013" max="11013" width="21.85546875" bestFit="1" customWidth="1"/>
    <col min="11014" max="11014" width="23.85546875" bestFit="1" customWidth="1"/>
    <col min="11015" max="11015" width="4.28515625" customWidth="1"/>
    <col min="11266" max="11266" width="101.5703125" bestFit="1" customWidth="1"/>
    <col min="11267" max="11267" width="10.42578125" bestFit="1" customWidth="1"/>
    <col min="11268" max="11268" width="21.140625" customWidth="1"/>
    <col min="11269" max="11269" width="21.85546875" bestFit="1" customWidth="1"/>
    <col min="11270" max="11270" width="23.85546875" bestFit="1" customWidth="1"/>
    <col min="11271" max="11271" width="4.28515625" customWidth="1"/>
    <col min="11522" max="11522" width="101.5703125" bestFit="1" customWidth="1"/>
    <col min="11523" max="11523" width="10.42578125" bestFit="1" customWidth="1"/>
    <col min="11524" max="11524" width="21.140625" customWidth="1"/>
    <col min="11525" max="11525" width="21.85546875" bestFit="1" customWidth="1"/>
    <col min="11526" max="11526" width="23.85546875" bestFit="1" customWidth="1"/>
    <col min="11527" max="11527" width="4.28515625" customWidth="1"/>
    <col min="11778" max="11778" width="101.5703125" bestFit="1" customWidth="1"/>
    <col min="11779" max="11779" width="10.42578125" bestFit="1" customWidth="1"/>
    <col min="11780" max="11780" width="21.140625" customWidth="1"/>
    <col min="11781" max="11781" width="21.85546875" bestFit="1" customWidth="1"/>
    <col min="11782" max="11782" width="23.85546875" bestFit="1" customWidth="1"/>
    <col min="11783" max="11783" width="4.28515625" customWidth="1"/>
    <col min="12034" max="12034" width="101.5703125" bestFit="1" customWidth="1"/>
    <col min="12035" max="12035" width="10.42578125" bestFit="1" customWidth="1"/>
    <col min="12036" max="12036" width="21.140625" customWidth="1"/>
    <col min="12037" max="12037" width="21.85546875" bestFit="1" customWidth="1"/>
    <col min="12038" max="12038" width="23.85546875" bestFit="1" customWidth="1"/>
    <col min="12039" max="12039" width="4.28515625" customWidth="1"/>
    <col min="12290" max="12290" width="101.5703125" bestFit="1" customWidth="1"/>
    <col min="12291" max="12291" width="10.42578125" bestFit="1" customWidth="1"/>
    <col min="12292" max="12292" width="21.140625" customWidth="1"/>
    <col min="12293" max="12293" width="21.85546875" bestFit="1" customWidth="1"/>
    <col min="12294" max="12294" width="23.85546875" bestFit="1" customWidth="1"/>
    <col min="12295" max="12295" width="4.28515625" customWidth="1"/>
    <col min="12546" max="12546" width="101.5703125" bestFit="1" customWidth="1"/>
    <col min="12547" max="12547" width="10.42578125" bestFit="1" customWidth="1"/>
    <col min="12548" max="12548" width="21.140625" customWidth="1"/>
    <col min="12549" max="12549" width="21.85546875" bestFit="1" customWidth="1"/>
    <col min="12550" max="12550" width="23.85546875" bestFit="1" customWidth="1"/>
    <col min="12551" max="12551" width="4.28515625" customWidth="1"/>
    <col min="12802" max="12802" width="101.5703125" bestFit="1" customWidth="1"/>
    <col min="12803" max="12803" width="10.42578125" bestFit="1" customWidth="1"/>
    <col min="12804" max="12804" width="21.140625" customWidth="1"/>
    <col min="12805" max="12805" width="21.85546875" bestFit="1" customWidth="1"/>
    <col min="12806" max="12806" width="23.85546875" bestFit="1" customWidth="1"/>
    <col min="12807" max="12807" width="4.28515625" customWidth="1"/>
    <col min="13058" max="13058" width="101.5703125" bestFit="1" customWidth="1"/>
    <col min="13059" max="13059" width="10.42578125" bestFit="1" customWidth="1"/>
    <col min="13060" max="13060" width="21.140625" customWidth="1"/>
    <col min="13061" max="13061" width="21.85546875" bestFit="1" customWidth="1"/>
    <col min="13062" max="13062" width="23.85546875" bestFit="1" customWidth="1"/>
    <col min="13063" max="13063" width="4.28515625" customWidth="1"/>
    <col min="13314" max="13314" width="101.5703125" bestFit="1" customWidth="1"/>
    <col min="13315" max="13315" width="10.42578125" bestFit="1" customWidth="1"/>
    <col min="13316" max="13316" width="21.140625" customWidth="1"/>
    <col min="13317" max="13317" width="21.85546875" bestFit="1" customWidth="1"/>
    <col min="13318" max="13318" width="23.85546875" bestFit="1" customWidth="1"/>
    <col min="13319" max="13319" width="4.28515625" customWidth="1"/>
    <col min="13570" max="13570" width="101.5703125" bestFit="1" customWidth="1"/>
    <col min="13571" max="13571" width="10.42578125" bestFit="1" customWidth="1"/>
    <col min="13572" max="13572" width="21.140625" customWidth="1"/>
    <col min="13573" max="13573" width="21.85546875" bestFit="1" customWidth="1"/>
    <col min="13574" max="13574" width="23.85546875" bestFit="1" customWidth="1"/>
    <col min="13575" max="13575" width="4.28515625" customWidth="1"/>
    <col min="13826" max="13826" width="101.5703125" bestFit="1" customWidth="1"/>
    <col min="13827" max="13827" width="10.42578125" bestFit="1" customWidth="1"/>
    <col min="13828" max="13828" width="21.140625" customWidth="1"/>
    <col min="13829" max="13829" width="21.85546875" bestFit="1" customWidth="1"/>
    <col min="13830" max="13830" width="23.85546875" bestFit="1" customWidth="1"/>
    <col min="13831" max="13831" width="4.28515625" customWidth="1"/>
    <col min="14082" max="14082" width="101.5703125" bestFit="1" customWidth="1"/>
    <col min="14083" max="14083" width="10.42578125" bestFit="1" customWidth="1"/>
    <col min="14084" max="14084" width="21.140625" customWidth="1"/>
    <col min="14085" max="14085" width="21.85546875" bestFit="1" customWidth="1"/>
    <col min="14086" max="14086" width="23.85546875" bestFit="1" customWidth="1"/>
    <col min="14087" max="14087" width="4.28515625" customWidth="1"/>
    <col min="14338" max="14338" width="101.5703125" bestFit="1" customWidth="1"/>
    <col min="14339" max="14339" width="10.42578125" bestFit="1" customWidth="1"/>
    <col min="14340" max="14340" width="21.140625" customWidth="1"/>
    <col min="14341" max="14341" width="21.85546875" bestFit="1" customWidth="1"/>
    <col min="14342" max="14342" width="23.85546875" bestFit="1" customWidth="1"/>
    <col min="14343" max="14343" width="4.28515625" customWidth="1"/>
    <col min="14594" max="14594" width="101.5703125" bestFit="1" customWidth="1"/>
    <col min="14595" max="14595" width="10.42578125" bestFit="1" customWidth="1"/>
    <col min="14596" max="14596" width="21.140625" customWidth="1"/>
    <col min="14597" max="14597" width="21.85546875" bestFit="1" customWidth="1"/>
    <col min="14598" max="14598" width="23.85546875" bestFit="1" customWidth="1"/>
    <col min="14599" max="14599" width="4.28515625" customWidth="1"/>
    <col min="14850" max="14850" width="101.5703125" bestFit="1" customWidth="1"/>
    <col min="14851" max="14851" width="10.42578125" bestFit="1" customWidth="1"/>
    <col min="14852" max="14852" width="21.140625" customWidth="1"/>
    <col min="14853" max="14853" width="21.85546875" bestFit="1" customWidth="1"/>
    <col min="14854" max="14854" width="23.85546875" bestFit="1" customWidth="1"/>
    <col min="14855" max="14855" width="4.28515625" customWidth="1"/>
    <col min="15106" max="15106" width="101.5703125" bestFit="1" customWidth="1"/>
    <col min="15107" max="15107" width="10.42578125" bestFit="1" customWidth="1"/>
    <col min="15108" max="15108" width="21.140625" customWidth="1"/>
    <col min="15109" max="15109" width="21.85546875" bestFit="1" customWidth="1"/>
    <col min="15110" max="15110" width="23.85546875" bestFit="1" customWidth="1"/>
    <col min="15111" max="15111" width="4.28515625" customWidth="1"/>
    <col min="15362" max="15362" width="101.5703125" bestFit="1" customWidth="1"/>
    <col min="15363" max="15363" width="10.42578125" bestFit="1" customWidth="1"/>
    <col min="15364" max="15364" width="21.140625" customWidth="1"/>
    <col min="15365" max="15365" width="21.85546875" bestFit="1" customWidth="1"/>
    <col min="15366" max="15366" width="23.85546875" bestFit="1" customWidth="1"/>
    <col min="15367" max="15367" width="4.28515625" customWidth="1"/>
    <col min="15618" max="15618" width="101.5703125" bestFit="1" customWidth="1"/>
    <col min="15619" max="15619" width="10.42578125" bestFit="1" customWidth="1"/>
    <col min="15620" max="15620" width="21.140625" customWidth="1"/>
    <col min="15621" max="15621" width="21.85546875" bestFit="1" customWidth="1"/>
    <col min="15622" max="15622" width="23.85546875" bestFit="1" customWidth="1"/>
    <col min="15623" max="15623" width="4.28515625" customWidth="1"/>
    <col min="15874" max="15874" width="101.5703125" bestFit="1" customWidth="1"/>
    <col min="15875" max="15875" width="10.42578125" bestFit="1" customWidth="1"/>
    <col min="15876" max="15876" width="21.140625" customWidth="1"/>
    <col min="15877" max="15877" width="21.85546875" bestFit="1" customWidth="1"/>
    <col min="15878" max="15878" width="23.85546875" bestFit="1" customWidth="1"/>
    <col min="15879" max="15879" width="4.28515625" customWidth="1"/>
    <col min="16130" max="16130" width="101.5703125" bestFit="1" customWidth="1"/>
    <col min="16131" max="16131" width="10.42578125" bestFit="1" customWidth="1"/>
    <col min="16132" max="16132" width="21.140625" customWidth="1"/>
    <col min="16133" max="16133" width="21.85546875" bestFit="1" customWidth="1"/>
    <col min="16134" max="16134" width="23.85546875" bestFit="1" customWidth="1"/>
    <col min="16135" max="16135" width="4.28515625" customWidth="1"/>
  </cols>
  <sheetData>
    <row r="1" spans="1:8" ht="18" x14ac:dyDescent="0.25">
      <c r="A1" s="43" t="s">
        <v>28</v>
      </c>
      <c r="B1" s="43"/>
      <c r="C1" s="44"/>
      <c r="D1" s="45" t="s">
        <v>56</v>
      </c>
      <c r="E1" s="45" t="s">
        <v>57</v>
      </c>
    </row>
    <row r="2" spans="1:8" ht="18.600000000000001" customHeight="1" x14ac:dyDescent="0.25">
      <c r="A2" s="46" t="s">
        <v>40</v>
      </c>
      <c r="B2" s="46"/>
      <c r="C2" s="47"/>
      <c r="D2" s="48"/>
      <c r="E2" s="48">
        <v>0</v>
      </c>
      <c r="F2" s="49"/>
    </row>
    <row r="3" spans="1:8" ht="18.600000000000001" customHeight="1" x14ac:dyDescent="0.25">
      <c r="A3" s="91" t="s">
        <v>39</v>
      </c>
      <c r="B3" s="91"/>
      <c r="C3" s="86"/>
      <c r="D3" s="87"/>
      <c r="E3" s="87">
        <v>0</v>
      </c>
      <c r="F3" s="88"/>
    </row>
    <row r="4" spans="1:8" ht="18.600000000000001" customHeight="1" x14ac:dyDescent="0.25">
      <c r="A4" s="50" t="s">
        <v>46</v>
      </c>
      <c r="B4" s="50"/>
      <c r="C4" s="51">
        <v>1</v>
      </c>
      <c r="D4" s="52"/>
      <c r="E4" s="52"/>
      <c r="F4" s="53"/>
    </row>
    <row r="5" spans="1:8" s="55" customFormat="1" ht="12.75" x14ac:dyDescent="0.2">
      <c r="A5" s="97" t="s">
        <v>47</v>
      </c>
      <c r="B5" s="92" t="s">
        <v>29</v>
      </c>
      <c r="C5" s="100">
        <f>IF(B5="Y",D6+D7+E6+E7)</f>
        <v>0</v>
      </c>
      <c r="D5" s="54"/>
      <c r="E5" s="54"/>
    </row>
    <row r="6" spans="1:8" s="55" customFormat="1" ht="12.75" x14ac:dyDescent="0.2">
      <c r="A6" s="98" t="s">
        <v>48</v>
      </c>
      <c r="B6" s="93" t="s">
        <v>30</v>
      </c>
      <c r="C6" s="101" t="b">
        <f>IF(B6="Y",D6+E6)</f>
        <v>0</v>
      </c>
      <c r="D6" s="94">
        <f>IF(D2=0,0,(600))</f>
        <v>0</v>
      </c>
      <c r="E6" s="94">
        <f>IF(E2=0,0,(((E2-200000)*0.000625)+125+175+300))</f>
        <v>0</v>
      </c>
    </row>
    <row r="7" spans="1:8" s="55" customFormat="1" ht="12.75" x14ac:dyDescent="0.2">
      <c r="A7" s="99" t="s">
        <v>49</v>
      </c>
      <c r="B7" s="95" t="s">
        <v>30</v>
      </c>
      <c r="C7" s="102" t="b">
        <f>IF(B7="Y",D7+E7)</f>
        <v>0</v>
      </c>
      <c r="D7" s="57">
        <f>IF(D3=0,0,(600))</f>
        <v>0</v>
      </c>
      <c r="E7" s="57">
        <f>IF(E3=0,0,(((E3-200000)*0.000625)+125+175+300))</f>
        <v>0</v>
      </c>
    </row>
    <row r="8" spans="1:8" s="55" customFormat="1" ht="12.75" x14ac:dyDescent="0.2">
      <c r="A8" s="58" t="s">
        <v>50</v>
      </c>
      <c r="B8" s="58"/>
      <c r="C8" s="59">
        <f>IF(D2+E2&lt;8401,25,(D2+E2)*0.003)</f>
        <v>25</v>
      </c>
      <c r="D8" s="105" t="s">
        <v>55</v>
      </c>
      <c r="E8" s="106"/>
    </row>
    <row r="9" spans="1:8" s="55" customFormat="1" ht="12.75" x14ac:dyDescent="0.2">
      <c r="A9" s="58" t="s">
        <v>51</v>
      </c>
      <c r="B9" s="58"/>
      <c r="C9" s="59">
        <v>160</v>
      </c>
      <c r="D9" s="60"/>
      <c r="E9" s="60"/>
    </row>
    <row r="10" spans="1:8" s="55" customFormat="1" ht="12.75" x14ac:dyDescent="0.2">
      <c r="A10" s="96" t="s">
        <v>52</v>
      </c>
      <c r="B10" s="61"/>
      <c r="C10" s="59">
        <f>IF(C4&gt;4,(55*(C4-4)),0)</f>
        <v>0</v>
      </c>
      <c r="D10" s="60"/>
      <c r="E10" s="60"/>
    </row>
    <row r="11" spans="1:8" s="55" customFormat="1" ht="12.75" x14ac:dyDescent="0.2">
      <c r="A11" s="58" t="s">
        <v>45</v>
      </c>
      <c r="B11" s="58"/>
      <c r="C11" s="59">
        <f>IF(B5="Y",D11+E11)</f>
        <v>181.7</v>
      </c>
      <c r="D11" s="56">
        <f>IF(D3&lt;200000,181.7)</f>
        <v>181.7</v>
      </c>
      <c r="E11" s="56" t="b">
        <f>IF(E3&gt;200001,29.29)</f>
        <v>0</v>
      </c>
    </row>
    <row r="12" spans="1:8" s="55" customFormat="1" ht="12.75" x14ac:dyDescent="0.2">
      <c r="A12" s="58" t="s">
        <v>44</v>
      </c>
      <c r="B12" s="58"/>
      <c r="C12" s="59">
        <f>SUM(D12*12)</f>
        <v>36</v>
      </c>
      <c r="D12" s="56">
        <f>SUM(C4*3)</f>
        <v>3</v>
      </c>
      <c r="E12" s="60"/>
    </row>
    <row r="13" spans="1:8" s="55" customFormat="1" ht="12.75" x14ac:dyDescent="0.2">
      <c r="A13" s="58" t="s">
        <v>31</v>
      </c>
      <c r="B13" s="58"/>
      <c r="C13" s="59">
        <v>95</v>
      </c>
      <c r="D13" s="60"/>
      <c r="E13" s="60"/>
    </row>
    <row r="14" spans="1:8" s="55" customFormat="1" ht="12.75" x14ac:dyDescent="0.2">
      <c r="A14" s="96" t="s">
        <v>53</v>
      </c>
      <c r="B14" s="61"/>
      <c r="C14" s="59">
        <v>0</v>
      </c>
      <c r="D14" s="60"/>
      <c r="E14" s="60"/>
    </row>
    <row r="15" spans="1:8" s="55" customFormat="1" ht="12.75" x14ac:dyDescent="0.2">
      <c r="A15" s="62" t="s">
        <v>32</v>
      </c>
      <c r="B15" s="62"/>
      <c r="C15" s="63">
        <f>SUM(C5:C14)</f>
        <v>497.7</v>
      </c>
      <c r="D15" s="54"/>
      <c r="E15" s="54"/>
    </row>
    <row r="16" spans="1:8" s="55" customFormat="1" ht="12.75" x14ac:dyDescent="0.2">
      <c r="A16" s="58" t="s">
        <v>33</v>
      </c>
      <c r="B16" s="58"/>
      <c r="C16" s="64">
        <f>SUM(C6+C5+C7+C11+C12+C13+C14)*0.05</f>
        <v>15.635</v>
      </c>
      <c r="D16" s="65"/>
      <c r="E16" s="65"/>
    </row>
    <row r="17" spans="1:7" s="55" customFormat="1" ht="12.75" x14ac:dyDescent="0.2">
      <c r="A17" s="66" t="s">
        <v>34</v>
      </c>
      <c r="B17" s="66"/>
      <c r="C17" s="67">
        <f>SUM(C6+C5+C7)*0.06</f>
        <v>0</v>
      </c>
      <c r="D17" s="68"/>
      <c r="E17" s="68"/>
      <c r="G17" s="103"/>
    </row>
    <row r="18" spans="1:7" s="55" customFormat="1" ht="15" customHeight="1" thickBot="1" x14ac:dyDescent="0.25">
      <c r="A18" s="104" t="s">
        <v>42</v>
      </c>
      <c r="B18" s="104"/>
      <c r="C18" s="69">
        <f>SUM(C15:C17)</f>
        <v>513.33500000000004</v>
      </c>
      <c r="D18" s="70"/>
      <c r="E18" s="70"/>
    </row>
    <row r="19" spans="1:7" x14ac:dyDescent="0.25">
      <c r="A19" s="58"/>
      <c r="B19" s="58"/>
      <c r="C19" s="71"/>
      <c r="D19" s="72"/>
      <c r="E19" s="72"/>
    </row>
    <row r="20" spans="1:7" ht="15.75" x14ac:dyDescent="0.25">
      <c r="A20" s="46" t="s">
        <v>41</v>
      </c>
      <c r="B20" s="46"/>
      <c r="C20" s="47"/>
      <c r="D20" s="48"/>
      <c r="E20" s="48">
        <f>SUM(D2+E2)</f>
        <v>0</v>
      </c>
    </row>
    <row r="21" spans="1:7" x14ac:dyDescent="0.25">
      <c r="A21" s="58" t="s">
        <v>35</v>
      </c>
      <c r="B21" s="58"/>
      <c r="C21" s="73">
        <f>SUM(D6+E6)</f>
        <v>0</v>
      </c>
      <c r="D21" s="74">
        <f>IF(D20=0,0,(((D20-100000)*0.00125)+300+175))</f>
        <v>0</v>
      </c>
      <c r="E21" s="74">
        <f>IF(E20=0,0,(((E20-200000)*0.000625)+125+175+300))</f>
        <v>0</v>
      </c>
    </row>
    <row r="22" spans="1:7" x14ac:dyDescent="0.25">
      <c r="A22" s="58" t="s">
        <v>36</v>
      </c>
      <c r="B22" s="58"/>
      <c r="C22" s="59">
        <f>SUM(C4*12)</f>
        <v>12</v>
      </c>
      <c r="D22" s="74">
        <f>IF(D20=0,0,(((D20-100000)*0.00125)+300+175))</f>
        <v>0</v>
      </c>
      <c r="E22" s="74">
        <f>IF(E20=0,0,(((E20-200000)*0.000625)+125+175+300))</f>
        <v>0</v>
      </c>
    </row>
    <row r="23" spans="1:7" x14ac:dyDescent="0.25">
      <c r="A23" s="58" t="s">
        <v>31</v>
      </c>
      <c r="B23" s="58"/>
      <c r="C23" s="73">
        <v>70</v>
      </c>
      <c r="D23" s="75"/>
      <c r="E23" s="75"/>
    </row>
    <row r="24" spans="1:7" x14ac:dyDescent="0.25">
      <c r="A24" s="96" t="s">
        <v>54</v>
      </c>
      <c r="B24" s="61"/>
      <c r="C24" s="73">
        <v>0</v>
      </c>
      <c r="D24" s="72"/>
      <c r="E24" s="72"/>
    </row>
    <row r="25" spans="1:7" x14ac:dyDescent="0.25">
      <c r="A25" s="62" t="s">
        <v>32</v>
      </c>
      <c r="B25" s="62"/>
      <c r="C25" s="76">
        <f>SUM(C21+C22+C23+C24)</f>
        <v>82</v>
      </c>
      <c r="D25" s="77"/>
      <c r="E25" s="77"/>
    </row>
    <row r="26" spans="1:7" x14ac:dyDescent="0.25">
      <c r="A26" s="58" t="s">
        <v>37</v>
      </c>
      <c r="B26" s="58"/>
      <c r="C26" s="78">
        <f>SUM(C21+C22+C23+C24)*0.05</f>
        <v>4.1000000000000005</v>
      </c>
      <c r="D26" s="72"/>
      <c r="E26" s="72"/>
    </row>
    <row r="27" spans="1:7" x14ac:dyDescent="0.25">
      <c r="A27" s="66" t="s">
        <v>38</v>
      </c>
      <c r="B27" s="66"/>
      <c r="C27" s="79">
        <f>SUM(C21*0.06)</f>
        <v>0</v>
      </c>
      <c r="D27" s="80"/>
      <c r="E27" s="80"/>
    </row>
    <row r="28" spans="1:7" ht="15.75" thickBot="1" x14ac:dyDescent="0.3">
      <c r="A28" s="104" t="s">
        <v>43</v>
      </c>
      <c r="B28" s="104"/>
      <c r="C28" s="81">
        <f>SUM(C25+C26+C27)</f>
        <v>86.1</v>
      </c>
      <c r="D28" s="82"/>
      <c r="E28" s="82"/>
    </row>
    <row r="29" spans="1:7" x14ac:dyDescent="0.25">
      <c r="A29" s="83"/>
      <c r="B29" s="83"/>
      <c r="C29" s="84"/>
      <c r="D29" s="85"/>
      <c r="E29" s="85"/>
    </row>
  </sheetData>
  <sortState xmlns:xlrd2="http://schemas.microsoft.com/office/spreadsheetml/2017/richdata2" ref="F5:H10">
    <sortCondition ref="F5"/>
  </sortState>
  <mergeCells count="3">
    <mergeCell ref="A18:B18"/>
    <mergeCell ref="A28:B28"/>
    <mergeCell ref="D8:E8"/>
  </mergeCells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329C7-FB3C-495D-A5F3-C59E78C2407E}">
  <dimension ref="A1:I30"/>
  <sheetViews>
    <sheetView workbookViewId="0">
      <selection activeCell="E1" sqref="E1"/>
    </sheetView>
  </sheetViews>
  <sheetFormatPr defaultColWidth="8.85546875" defaultRowHeight="15" x14ac:dyDescent="0.25"/>
  <cols>
    <col min="1" max="1" width="3.42578125" style="17" customWidth="1"/>
    <col min="2" max="2" width="8.85546875" style="1"/>
    <col min="3" max="3" width="19.28515625" style="1" customWidth="1"/>
    <col min="4" max="4" width="17.28515625" style="1" bestFit="1" customWidth="1"/>
    <col min="5" max="5" width="13.5703125" style="1" customWidth="1"/>
    <col min="6" max="6" width="30.5703125" style="1" customWidth="1"/>
    <col min="7" max="7" width="13.140625" style="2" bestFit="1" customWidth="1"/>
    <col min="8" max="8" width="8.85546875" style="1"/>
    <col min="9" max="9" width="8.85546875" style="17"/>
    <col min="10" max="16384" width="8.85546875" style="1"/>
  </cols>
  <sheetData>
    <row r="1" spans="2:8" ht="15.75" thickBot="1" x14ac:dyDescent="0.3">
      <c r="B1" s="8"/>
      <c r="C1" s="8"/>
      <c r="D1" s="8"/>
      <c r="E1" s="8"/>
      <c r="F1" s="8"/>
      <c r="G1" s="6"/>
      <c r="H1" s="8"/>
    </row>
    <row r="2" spans="2:8" ht="18.75" x14ac:dyDescent="0.25">
      <c r="B2" s="115" t="s">
        <v>23</v>
      </c>
      <c r="C2" s="116"/>
      <c r="D2" s="116"/>
      <c r="E2" s="116"/>
      <c r="F2" s="116"/>
      <c r="G2" s="116"/>
      <c r="H2" s="117"/>
    </row>
    <row r="3" spans="2:8" x14ac:dyDescent="0.25">
      <c r="B3" s="118" t="s">
        <v>22</v>
      </c>
      <c r="C3" s="119"/>
      <c r="D3" s="119"/>
      <c r="E3" s="119"/>
      <c r="F3" s="119"/>
      <c r="G3" s="119"/>
      <c r="H3" s="120"/>
    </row>
    <row r="4" spans="2:8" x14ac:dyDescent="0.25">
      <c r="B4" s="3"/>
      <c r="C4" s="8"/>
      <c r="D4" s="8"/>
      <c r="E4" s="8"/>
      <c r="F4" s="8"/>
      <c r="G4" s="6"/>
      <c r="H4" s="4"/>
    </row>
    <row r="5" spans="2:8" x14ac:dyDescent="0.25">
      <c r="B5" s="3"/>
      <c r="C5" s="21" t="s">
        <v>13</v>
      </c>
      <c r="D5" s="22"/>
      <c r="E5" s="13"/>
      <c r="F5" s="124" t="s">
        <v>23</v>
      </c>
      <c r="G5" s="124"/>
      <c r="H5" s="4"/>
    </row>
    <row r="6" spans="2:8" ht="18.75" x14ac:dyDescent="0.25">
      <c r="B6" s="3"/>
      <c r="C6" s="21" t="s">
        <v>8</v>
      </c>
      <c r="D6" s="23"/>
      <c r="E6" s="14"/>
      <c r="F6" s="25" t="s">
        <v>10</v>
      </c>
      <c r="G6" s="40">
        <f>IF(D7&lt;D8,(D8-D7),0)</f>
        <v>0</v>
      </c>
      <c r="H6" s="4"/>
    </row>
    <row r="7" spans="2:8" ht="18.75" x14ac:dyDescent="0.25">
      <c r="B7" s="3"/>
      <c r="C7" s="21" t="s">
        <v>12</v>
      </c>
      <c r="D7" s="23"/>
      <c r="E7" s="14"/>
      <c r="F7" s="25" t="s">
        <v>11</v>
      </c>
      <c r="G7" s="40">
        <f>IF(D7&gt;D8,(D7-D8),0)</f>
        <v>0</v>
      </c>
      <c r="H7" s="4"/>
    </row>
    <row r="8" spans="2:8" x14ac:dyDescent="0.25">
      <c r="B8" s="3"/>
      <c r="C8" s="21" t="s">
        <v>9</v>
      </c>
      <c r="D8" s="24">
        <f>((D5-F8)/366)*D6</f>
        <v>0</v>
      </c>
      <c r="E8" s="14"/>
      <c r="F8" s="15">
        <v>43831</v>
      </c>
      <c r="G8" s="14"/>
      <c r="H8" s="4"/>
    </row>
    <row r="9" spans="2:8" ht="15.75" thickBot="1" x14ac:dyDescent="0.25">
      <c r="B9" s="9"/>
      <c r="C9" s="16"/>
      <c r="D9" s="16"/>
      <c r="E9" s="16"/>
      <c r="F9" s="16"/>
      <c r="G9" s="16"/>
      <c r="H9" s="12"/>
    </row>
    <row r="10" spans="2:8" ht="15.75" thickBot="1" x14ac:dyDescent="0.3">
      <c r="B10" s="17"/>
      <c r="C10" s="17"/>
      <c r="D10" s="17"/>
      <c r="E10" s="17"/>
      <c r="F10" s="17"/>
      <c r="G10" s="18"/>
      <c r="H10" s="17"/>
    </row>
    <row r="11" spans="2:8" ht="18.75" x14ac:dyDescent="0.25">
      <c r="B11" s="121" t="s">
        <v>18</v>
      </c>
      <c r="C11" s="122"/>
      <c r="D11" s="122"/>
      <c r="E11" s="122"/>
      <c r="F11" s="122"/>
      <c r="G11" s="122"/>
      <c r="H11" s="123"/>
    </row>
    <row r="12" spans="2:8" x14ac:dyDescent="0.25">
      <c r="B12" s="118" t="s">
        <v>22</v>
      </c>
      <c r="C12" s="119"/>
      <c r="D12" s="119"/>
      <c r="E12" s="119"/>
      <c r="F12" s="119"/>
      <c r="G12" s="119"/>
      <c r="H12" s="120"/>
    </row>
    <row r="13" spans="2:8" x14ac:dyDescent="0.25">
      <c r="B13" s="27"/>
      <c r="C13" s="28"/>
      <c r="D13" s="28"/>
      <c r="E13" s="28"/>
      <c r="F13" s="28"/>
      <c r="G13" s="28"/>
      <c r="H13" s="29"/>
    </row>
    <row r="14" spans="2:8" x14ac:dyDescent="0.25">
      <c r="B14" s="3"/>
      <c r="C14" s="114" t="s">
        <v>25</v>
      </c>
      <c r="D14" s="114"/>
      <c r="E14" s="30"/>
      <c r="F14" s="8"/>
      <c r="G14" s="6"/>
      <c r="H14" s="4"/>
    </row>
    <row r="15" spans="2:8" x14ac:dyDescent="0.25">
      <c r="B15" s="3"/>
      <c r="C15" s="114" t="s">
        <v>26</v>
      </c>
      <c r="D15" s="114"/>
      <c r="E15" s="23"/>
      <c r="F15" s="19" t="s">
        <v>20</v>
      </c>
      <c r="G15" s="20">
        <f>SUM(E16/1)</f>
        <v>0</v>
      </c>
      <c r="H15" s="4"/>
    </row>
    <row r="16" spans="2:8" x14ac:dyDescent="0.25">
      <c r="B16" s="3"/>
      <c r="C16" s="114" t="s">
        <v>27</v>
      </c>
      <c r="D16" s="114"/>
      <c r="E16" s="26"/>
      <c r="F16" s="19" t="s">
        <v>19</v>
      </c>
      <c r="G16" s="20">
        <f>SUM(G15/365)</f>
        <v>0</v>
      </c>
      <c r="H16" s="4"/>
    </row>
    <row r="17" spans="2:8" ht="18.75" x14ac:dyDescent="0.25">
      <c r="B17" s="3"/>
      <c r="C17" s="113" t="s">
        <v>24</v>
      </c>
      <c r="D17" s="113"/>
      <c r="E17" s="40">
        <f>SUM(E15*G17)</f>
        <v>0</v>
      </c>
      <c r="F17" s="19" t="s">
        <v>21</v>
      </c>
      <c r="G17" s="20">
        <f>SUM(E14*G16)</f>
        <v>0</v>
      </c>
      <c r="H17" s="4"/>
    </row>
    <row r="18" spans="2:8" ht="15.75" thickBot="1" x14ac:dyDescent="0.3">
      <c r="B18" s="9"/>
      <c r="C18" s="10"/>
      <c r="D18" s="10"/>
      <c r="E18" s="10"/>
      <c r="F18" s="10"/>
      <c r="G18" s="11"/>
      <c r="H18" s="12"/>
    </row>
    <row r="19" spans="2:8" ht="15.75" thickBot="1" x14ac:dyDescent="0.3">
      <c r="B19" s="17"/>
      <c r="C19" s="17"/>
      <c r="D19" s="17"/>
      <c r="E19" s="17"/>
      <c r="F19" s="17"/>
      <c r="G19" s="18"/>
      <c r="H19" s="17"/>
    </row>
    <row r="20" spans="2:8" ht="18.75" x14ac:dyDescent="0.25">
      <c r="B20" s="110" t="s">
        <v>7</v>
      </c>
      <c r="C20" s="111"/>
      <c r="D20" s="111"/>
      <c r="E20" s="111"/>
      <c r="F20" s="111"/>
      <c r="G20" s="111"/>
      <c r="H20" s="112"/>
    </row>
    <row r="21" spans="2:8" x14ac:dyDescent="0.25">
      <c r="B21" s="107" t="s">
        <v>22</v>
      </c>
      <c r="C21" s="108"/>
      <c r="D21" s="108"/>
      <c r="E21" s="108"/>
      <c r="F21" s="108"/>
      <c r="G21" s="108"/>
      <c r="H21" s="109"/>
    </row>
    <row r="22" spans="2:8" x14ac:dyDescent="0.25">
      <c r="B22" s="3"/>
      <c r="C22" s="5"/>
      <c r="D22" s="5"/>
      <c r="E22" s="5"/>
      <c r="F22" s="5"/>
      <c r="G22" s="5"/>
      <c r="H22" s="4"/>
    </row>
    <row r="23" spans="2:8" x14ac:dyDescent="0.25">
      <c r="B23" s="3"/>
      <c r="C23" s="89" t="s">
        <v>17</v>
      </c>
      <c r="D23" s="90">
        <v>275000</v>
      </c>
      <c r="E23" s="6"/>
      <c r="F23" s="37" t="s">
        <v>0</v>
      </c>
      <c r="G23" s="38">
        <f>SUM(D28)</f>
        <v>15000</v>
      </c>
      <c r="H23" s="4"/>
    </row>
    <row r="24" spans="2:8" x14ac:dyDescent="0.25">
      <c r="B24" s="3"/>
      <c r="C24" s="33" t="s">
        <v>16</v>
      </c>
      <c r="D24" s="32">
        <v>200000</v>
      </c>
      <c r="E24" s="7"/>
      <c r="F24" s="37" t="s">
        <v>1</v>
      </c>
      <c r="G24" s="38">
        <f>SUM(G23*5%)</f>
        <v>750</v>
      </c>
      <c r="H24" s="4"/>
    </row>
    <row r="25" spans="2:8" x14ac:dyDescent="0.25">
      <c r="B25" s="3"/>
      <c r="C25" s="34" t="s">
        <v>14</v>
      </c>
      <c r="D25" s="35">
        <v>0.06</v>
      </c>
      <c r="E25" s="6"/>
      <c r="F25" s="37" t="s">
        <v>2</v>
      </c>
      <c r="G25" s="38">
        <f>SUM(G23*6%)</f>
        <v>900</v>
      </c>
      <c r="H25" s="4"/>
    </row>
    <row r="26" spans="2:8" x14ac:dyDescent="0.25">
      <c r="B26" s="3"/>
      <c r="C26" s="33" t="s">
        <v>15</v>
      </c>
      <c r="D26" s="32">
        <v>75000</v>
      </c>
      <c r="E26" s="8"/>
      <c r="F26" s="37" t="s">
        <v>3</v>
      </c>
      <c r="G26" s="38">
        <f>SUM(G23:G25)</f>
        <v>16650</v>
      </c>
      <c r="H26" s="4"/>
    </row>
    <row r="27" spans="2:8" x14ac:dyDescent="0.25">
      <c r="B27" s="3"/>
      <c r="C27" s="34" t="s">
        <v>14</v>
      </c>
      <c r="D27" s="36">
        <v>0.04</v>
      </c>
      <c r="E27" s="8"/>
      <c r="F27" s="39" t="s">
        <v>4</v>
      </c>
      <c r="G27" s="32">
        <v>2500</v>
      </c>
      <c r="H27" s="4"/>
    </row>
    <row r="28" spans="2:8" ht="18.75" x14ac:dyDescent="0.25">
      <c r="B28" s="3"/>
      <c r="C28" s="31" t="s">
        <v>6</v>
      </c>
      <c r="D28" s="38">
        <f>SUM(D24*D25)+(D26*D27)</f>
        <v>15000</v>
      </c>
      <c r="E28" s="8"/>
      <c r="F28" s="41" t="s">
        <v>5</v>
      </c>
      <c r="G28" s="42">
        <f>SUM(G26-G27)</f>
        <v>14150</v>
      </c>
      <c r="H28" s="4"/>
    </row>
    <row r="29" spans="2:8" ht="15.75" thickBot="1" x14ac:dyDescent="0.3">
      <c r="B29" s="9"/>
      <c r="C29" s="10"/>
      <c r="D29" s="10"/>
      <c r="E29" s="10"/>
      <c r="F29" s="10"/>
      <c r="G29" s="11"/>
      <c r="H29" s="12"/>
    </row>
    <row r="30" spans="2:8" x14ac:dyDescent="0.25">
      <c r="B30" s="8"/>
      <c r="C30" s="8"/>
      <c r="D30" s="8"/>
      <c r="E30" s="8"/>
      <c r="F30" s="8"/>
      <c r="G30" s="6"/>
      <c r="H30" s="8"/>
    </row>
  </sheetData>
  <mergeCells count="11">
    <mergeCell ref="B2:H2"/>
    <mergeCell ref="B3:H3"/>
    <mergeCell ref="B11:H11"/>
    <mergeCell ref="B12:H12"/>
    <mergeCell ref="F5:G5"/>
    <mergeCell ref="B21:H21"/>
    <mergeCell ref="B20:H20"/>
    <mergeCell ref="C17:D17"/>
    <mergeCell ref="C14:D14"/>
    <mergeCell ref="C15:D15"/>
    <mergeCell ref="C16:D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FEES ESTIMATOR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Thomson</dc:creator>
  <cp:lastModifiedBy>Kylee Onofriechuck</cp:lastModifiedBy>
  <cp:lastPrinted>2020-02-14T00:25:10Z</cp:lastPrinted>
  <dcterms:created xsi:type="dcterms:W3CDTF">2019-10-03T19:56:19Z</dcterms:created>
  <dcterms:modified xsi:type="dcterms:W3CDTF">2020-10-21T17:31:22Z</dcterms:modified>
</cp:coreProperties>
</file>